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embeddings/oleObject1.bin" ContentType="application/vnd.openxmlformats-officedocument.oleObject"/>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drawings/drawing5.xml" ContentType="application/vnd.openxmlformats-officedocument.drawing+xml"/>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drawings/drawing6.xml" ContentType="application/vnd.openxmlformats-officedocument.drawing+xml"/>
  <Override PartName="/xl/embeddings/oleObject38.bin" ContentType="application/vnd.openxmlformats-officedocument.oleObject"/>
  <Override PartName="/xl/ctrlProps/ctrlProp19.xml" ContentType="application/vnd.ms-excel.controlproperties+xml"/>
  <Override PartName="/xl/ctrlProps/ctrlProp20.xml" ContentType="application/vnd.ms-excel.controlproperties+xml"/>
  <Override PartName="/xl/comments3.xml" ContentType="application/vnd.openxmlformats-officedocument.spreadsheetml.comments+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backupFile="1" codeName="ThisWorkbook"/>
  <mc:AlternateContent xmlns:mc="http://schemas.openxmlformats.org/markup-compatibility/2006">
    <mc:Choice Requires="x15">
      <x15ac:absPath xmlns:x15ac="http://schemas.microsoft.com/office/spreadsheetml/2010/11/ac" url="C:\Users\alexi\Documents\scolaire\IPSA\AeroIpsa\SP02\STABTRAJ\pro24_4_4_new\Alpha_Beta\"/>
    </mc:Choice>
  </mc:AlternateContent>
  <xr:revisionPtr revIDLastSave="0" documentId="13_ncr:1_{C73C2825-12A4-4AF6-9CEC-4DC569F60F0C}" xr6:coauthVersionLast="47" xr6:coauthVersionMax="47" xr10:uidLastSave="{00000000-0000-0000-0000-000000000000}"/>
  <bookViews>
    <workbookView xWindow="-120" yWindow="-120" windowWidth="29040" windowHeight="15990" activeTab="1" xr2:uid="{00000000-000D-0000-FFFF-FFFF00000000}"/>
  </bookViews>
  <sheets>
    <sheet name="Stabilito" sheetId="6" r:id="rId1"/>
    <sheet name="Trajecto" sheetId="1" r:id="rId2"/>
    <sheet name="Courbes" sheetId="2" r:id="rId3"/>
    <sheet name="Propu" sheetId="4" r:id="rId4"/>
    <sheet name="Calculs" sheetId="3" r:id="rId5"/>
    <sheet name="Abaco" sheetId="8" r:id="rId6"/>
    <sheet name="Info" sheetId="5" r:id="rId7"/>
    <sheet name="Controle" sheetId="7" r:id="rId8"/>
  </sheets>
  <definedNames>
    <definedName name="_xlnm._FilterDatabase" localSheetId="3" hidden="1">Propu!$O$317:$P$345</definedName>
    <definedName name="a_prop">Abaco!$G$43:$G$69</definedName>
    <definedName name="Acc_max">Trajecto!$L$25</definedName>
    <definedName name="acc_x">Calculs!$D$4:$D$1004</definedName>
    <definedName name="acc_xz">Calculs!$F$4:$F$1004</definedName>
    <definedName name="acc_z">Calculs!$E$4:$E$1004</definedName>
    <definedName name="Alt_para">Trajecto!$I$28</definedName>
    <definedName name="alt_prop">Abaco!$J$43:$J$69</definedName>
    <definedName name="Alt_rampe">Trajecto!$C$21</definedName>
    <definedName name="Alt_sat">Trajecto!$I$26</definedName>
    <definedName name="Altitude_culmi">Trajecto!$I$27</definedName>
    <definedName name="b_bal">Abaco!$I$43:$I$69</definedName>
    <definedName name="b_prop">Abaco!$H$43:$H$69</definedName>
    <definedName name="Beta">Calculs!$M$4:$M$1004</definedName>
    <definedName name="Beta_rampe">Trajecto!$C$20</definedName>
    <definedName name="BetaD">Calculs!$N$4:$N$1004</definedName>
    <definedName name="CdP">Propu!$B$3:$Y$4</definedName>
    <definedName name="CdP_P">Propu!$B$4:$Y$4</definedName>
    <definedName name="CdP_t">Propu!$B$3:$Y$3</definedName>
    <definedName name="Club">Stabilito!$C$9</definedName>
    <definedName name="Cn">Stabilito!$H$28</definedName>
    <definedName name="Cn0">Stabilito!$I$28</definedName>
    <definedName name="Cnai" localSheetId="0">Stabilito!$O$19</definedName>
    <definedName name="Cnai0">Stabilito!$P$19</definedName>
    <definedName name="Cnail" localSheetId="0">Stabilito!$O$20</definedName>
    <definedName name="Cnc" localSheetId="0">Stabilito!$O$21</definedName>
    <definedName name="Cni" localSheetId="0">Stabilito!$O$22</definedName>
    <definedName name="Cni0">Stabilito!$P$22</definedName>
    <definedName name="Cnj" localSheetId="0">Stabilito!$O$23</definedName>
    <definedName name="Cno" localSheetId="0">Stabilito!$O$18</definedName>
    <definedName name="Cnr" localSheetId="0">Stabilito!$O$24</definedName>
    <definedName name="Combustion">Propu!$X$2</definedName>
    <definedName name="CritCnmax" localSheetId="0">Stabilito!$J$28</definedName>
    <definedName name="CritCnmin" localSheetId="0">Stabilito!$G$28</definedName>
    <definedName name="CritFinessemax" localSheetId="0">Stabilito!$J$27</definedName>
    <definedName name="CritFinessemin" localSheetId="0">Stabilito!$G$27</definedName>
    <definedName name="CritMsCnmax" localSheetId="0">Stabilito!$J$30</definedName>
    <definedName name="CritMsCnmin" localSheetId="0">Stabilito!$G$30</definedName>
    <definedName name="CritMsmax" localSheetId="0">Stabilito!$J$29</definedName>
    <definedName name="CritMsmin" localSheetId="0">Stabilito!$G$29</definedName>
    <definedName name="Cx">Trajecto!$C$16</definedName>
    <definedName name="Cx_para">Trajecto!$C$30</definedName>
    <definedName name="Cx_satellite">Trajecto!$D$30</definedName>
    <definedName name="D_ail">Stabilito!$C$35</definedName>
    <definedName name="D_can" localSheetId="0">Stabilito!$D$35</definedName>
    <definedName name="D_int" localSheetId="0">Stabilito!$E$34</definedName>
    <definedName name="D_og">Stabilito!$C$24</definedName>
    <definedName name="D_ref">Stabilito!$C$15</definedName>
    <definedName name="D_var">Abaco!$B$43:$B$69</definedName>
    <definedName name="D1j">Stabilito!$M$7</definedName>
    <definedName name="D1r">Stabilito!$O$7</definedName>
    <definedName name="D2j">Stabilito!$M$8</definedName>
    <definedName name="D2r">Stabilito!$O$8</definedName>
    <definedName name="Débit">Calculs!$R$4:$R$1004</definedName>
    <definedName name="Depotage">Propu!$Z$2</definedName>
    <definedName name="Diam_propu">Propu!$T$2</definedName>
    <definedName name="Dt_para">Trajecto!$C$33</definedName>
    <definedName name="Dt_satellite">Trajecto!$D$33</definedName>
    <definedName name="Dx_para">Trajecto!$C$35</definedName>
    <definedName name="Dx_sat">Trajecto!$D$35</definedName>
    <definedName name="E_ail">Stabilito!$C$31</definedName>
    <definedName name="E_can">Stabilito!$D$31</definedName>
    <definedName name="E_int" localSheetId="0">Stabilito!$E$30</definedName>
    <definedName name="ep_ail">Stabilito!$C$32</definedName>
    <definedName name="ep_can">Stabilito!$D$32</definedName>
    <definedName name="ep_int" localSheetId="0">Stabilito!$E$31</definedName>
    <definedName name="Event">Calculs!$Y$4:$Y$1004</definedName>
    <definedName name="Event_para">Calculs!$Z$4:$Z$1004</definedName>
    <definedName name="Event_sat">Calculs!$AA$4:$AA$1004</definedName>
    <definedName name="f_ail" localSheetId="0">Stabilito!$C$36</definedName>
    <definedName name="f_can" localSheetId="0">Stabilito!$D$36</definedName>
    <definedName name="f_int" localSheetId="0">Stabilito!$E$35</definedName>
    <definedName name="Finesse">Stabilito!$H$27</definedName>
    <definedName name="Forme_ogive">Stabilito!$C$22</definedName>
    <definedName name="g">Info!$E$54</definedName>
    <definedName name="i_P">Calculs!$P$4:$P$1004</definedName>
    <definedName name="I_total">Propu!$D$2</definedName>
    <definedName name="ISP">Propu!$F$2</definedName>
    <definedName name="l_j">Stabilito!$M$6</definedName>
    <definedName name="l_r">Stabilito!$O$6</definedName>
    <definedName name="L_rampe">Trajecto!$C$19</definedName>
    <definedName name="Lang">Stabilito!$M$2</definedName>
    <definedName name="Liste_µfu">Propu!$F$317:$F$346</definedName>
    <definedName name="Liste_fusex">Propu!$R$317:$R$346</definedName>
    <definedName name="Liste_H2O">Propu!$C$317:$D$346</definedName>
    <definedName name="Liste_minif">Propu!$L$317:$M$346</definedName>
    <definedName name="Liste_minifT">Propu!$O$317:$O$346</definedName>
    <definedName name="Liste_propu">Propu!$A$317:$A$324</definedName>
    <definedName name="Liste_RC">Propu!$I$317:$J$346</definedName>
    <definedName name="Liste_Type_para">Trajecto!$I$104:$I$106</definedName>
    <definedName name="Long_ogive">Stabilito!$C$23</definedName>
    <definedName name="Long_propu">Propu!$R$2</definedName>
    <definedName name="Long_tot">Stabilito!$C$14</definedName>
    <definedName name="m">Calculs!$S$4:$S$1004</definedName>
    <definedName name="m_ail">Stabilito!$C$28</definedName>
    <definedName name="m_bal">Abaco!$F$43:$F$69</definedName>
    <definedName name="m_can">Stabilito!$D$28</definedName>
    <definedName name="m_int" localSheetId="0">Stabilito!$E$27</definedName>
    <definedName name="m_poudre">Propu!$J$2</definedName>
    <definedName name="m_prop">Abaco!$E$43:$E$69</definedName>
    <definedName name="m_satellite">Trajecto!$D$25</definedName>
    <definedName name="m_tot">Trajecto!$C$11</definedName>
    <definedName name="m_var">Abaco!$D$43:$D$69</definedName>
    <definedName name="m_vide">Trajecto!$C$25</definedName>
    <definedName name="Masse_ail">Controle!$H$63</definedName>
    <definedName name="MassePlein">Stabilito!$M$14</definedName>
    <definedName name="MasseSans">Stabilito!$P$14</definedName>
    <definedName name="MasseVide">Stabilito!$N$14</definedName>
    <definedName name="Matricule">Stabilito!$E$10</definedName>
    <definedName name="Menu_Empennage">Stabilito!$B$111:$B$112</definedName>
    <definedName name="Menu_Lang">Stabilito!$B$94:$B$95</definedName>
    <definedName name="Menu_Ogive">Stabilito!$B$107:$B$109</definedName>
    <definedName name="Menu_sat">Trajecto!$B$105:$B$106</definedName>
    <definedName name="Menu_Transitions">Stabilito!$B$114:$B$115</definedName>
    <definedName name="Menu_Type">Stabilito!$B$97:$B$100</definedName>
    <definedName name="Menu_with_motor">Stabilito!$B$103:$B$105</definedName>
    <definedName name="MpropuPlein">Propu!$H$2</definedName>
    <definedName name="MpropuVide">Propu!$L$2</definedName>
    <definedName name="MS_Cn_max">Stabilito!$I$30</definedName>
    <definedName name="MS_Cn_max0">Stabilito!#REF!</definedName>
    <definedName name="MS_Cn_min">Stabilito!$H$30</definedName>
    <definedName name="MS_Cn_min0">Stabilito!#REF!</definedName>
    <definedName name="MS_max">Stabilito!$I$29</definedName>
    <definedName name="MS_max0">Stabilito!#REF!</definedName>
    <definedName name="MS_min">Stabilito!$H$29</definedName>
    <definedName name="MS_min0">Stabilito!#REF!</definedName>
    <definedName name="n_ail">Stabilito!$C$29</definedName>
    <definedName name="n_can">Stabilito!$D$29</definedName>
    <definedName name="n_int" localSheetId="0">Stabilito!$E$28</definedName>
    <definedName name="Nb_diam">Stabilito!$M$4</definedName>
    <definedName name="Nb_sat">Trajecto!$D$24</definedName>
    <definedName name="Nom">Stabilito!$C$8</definedName>
    <definedName name="p_ail">Stabilito!$C$30</definedName>
    <definedName name="p_can">Stabilito!$D$30</definedName>
    <definedName name="p_int" localSheetId="0">Stabilito!$E$29</definedName>
    <definedName name="pas">Calculs!$A$4:$A$1004</definedName>
    <definedName name="Poids">Calculs!$T$4:$T$1004</definedName>
    <definedName name="Portee_balistique">Trajecto!$J$29</definedName>
    <definedName name="pos_x">Calculs!$J$4:$J$1004</definedName>
    <definedName name="pos_xz">Calculs!$L$4:$L$1004</definedName>
    <definedName name="pos_z">Calculs!$K$4:$K$1004</definedName>
    <definedName name="pos_z_montant">Calculs!$AE$4:$AE$1004</definedName>
    <definedName name="Poussee">Calculs!$Q$4:$Q$1004</definedName>
    <definedName name="Propu">Stabilito!$C$18</definedName>
    <definedName name="Q_ail">Stabilito!$C$33</definedName>
    <definedName name="Q_can">Stabilito!$D$33</definedName>
    <definedName name="Q_int" localSheetId="0">Stabilito!$E$32</definedName>
    <definedName name="Q_var">Abaco!$C$43:$C$69</definedName>
    <definedName name="R_rampe">Calculs!$U$4:$U$1004</definedName>
    <definedName name="Rho">Calculs!$V$4:$V$1004</definedName>
    <definedName name="Rho_moyen">Info!$E$55</definedName>
    <definedName name="S_ail">Controle!$H$64</definedName>
    <definedName name="S_para">Trajecto!$C$29</definedName>
    <definedName name="S_para_croix">Trajecto!$B$48</definedName>
    <definedName name="S_para_rond">Trajecto!$B$56</definedName>
    <definedName name="S_satellite">Trajecto!$D$29</definedName>
    <definedName name="Sref">Trajecto!$C$15</definedName>
    <definedName name="sS">Trajecto!$F$136</definedName>
    <definedName name="t">Calculs!$B$4:$B$1004</definedName>
    <definedName name="T_balistique">Trajecto!$H$29</definedName>
    <definedName name="T_ini">Trajecto!$H$42</definedName>
    <definedName name="T_para">Trajecto!$C$114</definedName>
    <definedName name="T_satellite">Trajecto!$D$27</definedName>
    <definedName name="Temps_culmi">Trajecto!$H$27</definedName>
    <definedName name="Temps_fin_propu">Propu!$X$3</definedName>
    <definedName name="Trainee">Calculs!$W$4:$W$1004</definedName>
    <definedName name="tT_fus">Trajecto!$F$137</definedName>
    <definedName name="tT_sat">Trajecto!$F$154</definedName>
    <definedName name="Type_fusee">Stabilito!$C$11</definedName>
    <definedName name="Type_masquage" localSheetId="5">Stabilito!$C$27</definedName>
    <definedName name="Type_masquage" localSheetId="0">Stabilito!$C$27</definedName>
    <definedName name="Type_propu">Propu!$V$2</definedName>
    <definedName name="V_ini">Trajecto!$K$42</definedName>
    <definedName name="V_ouv_sat">Trajecto!$K$26</definedName>
    <definedName name="V_ouverture">Trajecto!$K$28</definedName>
    <definedName name="V_para">Trajecto!$C$32</definedName>
    <definedName name="V_prop">Abaco!$K$43:$K$69</definedName>
    <definedName name="V_satellite">Trajecto!$D$32</definedName>
    <definedName name="V_vent">Trajecto!$C$31</definedName>
    <definedName name="V_vent_sat">Trajecto!$D$31</definedName>
    <definedName name="Version" localSheetId="0">Stabilito!$Q$37</definedName>
    <definedName name="Version" localSheetId="1">Trajecto!$N$37</definedName>
    <definedName name="Vit_culmi">Trajecto!$K$27</definedName>
    <definedName name="Vit_max">Trajecto!$K$25</definedName>
    <definedName name="vit_x">Calculs!$G$4:$G$1004</definedName>
    <definedName name="vit_xz">Calculs!$I$4:$I$1004</definedName>
    <definedName name="vit_z">Calculs!$H$4:$H$1004</definedName>
    <definedName name="Vsortie_de_rampe">Trajecto!$K$24</definedName>
    <definedName name="X_ail">Stabilito!$C$34</definedName>
    <definedName name="X_can">Stabilito!$D$34</definedName>
    <definedName name="X_culmi">Trajecto!$J$27</definedName>
    <definedName name="X_ini">Trajecto!$J$42</definedName>
    <definedName name="X_int" localSheetId="0">Stabilito!$E$33</definedName>
    <definedName name="X_j">Stabilito!$M$9</definedName>
    <definedName name="X_para">Trajecto!$J$28</definedName>
    <definedName name="X_r">Stabilito!$O$9</definedName>
    <definedName name="X_satellite">Trajecto!$J$26</definedName>
    <definedName name="XcgPlein">Stabilito!$M$15</definedName>
    <definedName name="XcgSans">Stabilito!$P$15</definedName>
    <definedName name="XcgVide">Stabilito!$N$15</definedName>
    <definedName name="XCp" localSheetId="0">Stabilito!$H$31</definedName>
    <definedName name="XCp0">Stabilito!$I$31</definedName>
    <definedName name="XCpa" localSheetId="0">Stabilito!$M$20</definedName>
    <definedName name="XCpai" localSheetId="0">Stabilito!$M$19</definedName>
    <definedName name="XCpai0">Stabilito!$N$19</definedName>
    <definedName name="XCpc" localSheetId="0">Stabilito!$M$21</definedName>
    <definedName name="XCpi" localSheetId="0">Stabilito!$M$22</definedName>
    <definedName name="XCpi0">Stabilito!$N$22</definedName>
    <definedName name="XCpj" localSheetId="0">Stabilito!$M$23</definedName>
    <definedName name="XCpo" localSheetId="0">Stabilito!$M$18</definedName>
    <definedName name="XCpr" localSheetId="0">Stabilito!$M$24</definedName>
    <definedName name="XpropuPlein">Propu!$N$2</definedName>
    <definedName name="XpropuRef">Stabilito!$C$19</definedName>
    <definedName name="XpropuVide">Propu!$P$2</definedName>
    <definedName name="Z_ini">Trajecto!$I$42</definedName>
    <definedName name="_xlnm.Print_Area" localSheetId="5">Abaco!$A$1:$M$37</definedName>
    <definedName name="_xlnm.Print_Area" localSheetId="2">Courbes!$A$1:$K$78</definedName>
    <definedName name="_xlnm.Print_Area" localSheetId="0">Stabilito!$A$1:$Q$37</definedName>
    <definedName name="_xlnm.Print_Area" localSheetId="1">Trajecto!$A$1:$N$36</definedName>
    <definedName name="zZ_fus">Trajecto!$F$138</definedName>
    <definedName name="zZ_sat">Trajecto!$F$155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5" i="6" l="1"/>
  <c r="B45" i="1" l="1"/>
  <c r="B43" i="1"/>
  <c r="C10" i="6"/>
  <c r="E10" i="6" s="1"/>
  <c r="C10" i="8" s="1"/>
  <c r="L324" i="4"/>
  <c r="L323" i="4"/>
  <c r="L322" i="4"/>
  <c r="L321" i="4"/>
  <c r="L320" i="4"/>
  <c r="L319" i="4"/>
  <c r="L318" i="4"/>
  <c r="L317" i="4"/>
  <c r="R319" i="4"/>
  <c r="R318" i="4"/>
  <c r="R317" i="4"/>
  <c r="R320" i="4"/>
  <c r="N294" i="4"/>
  <c r="X307" i="4"/>
  <c r="W307" i="4"/>
  <c r="V307" i="4"/>
  <c r="U307" i="4"/>
  <c r="T307" i="4"/>
  <c r="S307" i="4"/>
  <c r="R307" i="4"/>
  <c r="Q307" i="4"/>
  <c r="P307" i="4"/>
  <c r="O307" i="4"/>
  <c r="N307" i="4"/>
  <c r="M307" i="4"/>
  <c r="L307" i="4"/>
  <c r="K307" i="4"/>
  <c r="J307" i="4"/>
  <c r="I307" i="4"/>
  <c r="H307" i="4"/>
  <c r="G307" i="4"/>
  <c r="F307" i="4"/>
  <c r="E307" i="4"/>
  <c r="D307" i="4"/>
  <c r="C307" i="4"/>
  <c r="B307" i="4"/>
  <c r="J304" i="4"/>
  <c r="B304" i="4"/>
  <c r="K25" i="7"/>
  <c r="H6" i="7"/>
  <c r="C20" i="6"/>
  <c r="I321" i="4"/>
  <c r="I320" i="4"/>
  <c r="I319" i="4"/>
  <c r="I318" i="4"/>
  <c r="I317" i="4"/>
  <c r="X151" i="4"/>
  <c r="W151" i="4"/>
  <c r="V151" i="4"/>
  <c r="U151" i="4"/>
  <c r="T151" i="4"/>
  <c r="S151" i="4"/>
  <c r="R151" i="4"/>
  <c r="Q151" i="4"/>
  <c r="P151" i="4"/>
  <c r="O151" i="4"/>
  <c r="N151" i="4"/>
  <c r="M151" i="4"/>
  <c r="L151" i="4"/>
  <c r="K151" i="4"/>
  <c r="J151" i="4"/>
  <c r="I151" i="4"/>
  <c r="H151" i="4"/>
  <c r="G151" i="4"/>
  <c r="F151" i="4"/>
  <c r="E151" i="4"/>
  <c r="D151" i="4"/>
  <c r="C151" i="4"/>
  <c r="B151" i="4"/>
  <c r="J148" i="4"/>
  <c r="B148" i="4"/>
  <c r="D103" i="4"/>
  <c r="E103" i="4"/>
  <c r="F103" i="4"/>
  <c r="G103" i="4"/>
  <c r="H103" i="4"/>
  <c r="I103" i="4"/>
  <c r="J103" i="4"/>
  <c r="K103" i="4"/>
  <c r="L103" i="4"/>
  <c r="M103" i="4"/>
  <c r="N103" i="4"/>
  <c r="O103" i="4"/>
  <c r="P103" i="4"/>
  <c r="Q103" i="4"/>
  <c r="R103" i="4"/>
  <c r="S103" i="4"/>
  <c r="T103" i="4"/>
  <c r="U103" i="4"/>
  <c r="V103" i="4"/>
  <c r="W103" i="4"/>
  <c r="X103" i="4"/>
  <c r="S98" i="4"/>
  <c r="T98" i="4"/>
  <c r="U98" i="4"/>
  <c r="V98" i="4"/>
  <c r="W98" i="4"/>
  <c r="X98" i="4"/>
  <c r="D98" i="4"/>
  <c r="E98" i="4"/>
  <c r="F98" i="4"/>
  <c r="G98" i="4"/>
  <c r="H98" i="4"/>
  <c r="I98" i="4"/>
  <c r="J98" i="4"/>
  <c r="K98" i="4"/>
  <c r="L98" i="4"/>
  <c r="M98" i="4"/>
  <c r="N98" i="4"/>
  <c r="O98" i="4"/>
  <c r="P98" i="4"/>
  <c r="Q98" i="4"/>
  <c r="R98" i="4"/>
  <c r="C103" i="4"/>
  <c r="C98" i="4"/>
  <c r="X104" i="4"/>
  <c r="W104" i="4"/>
  <c r="V104" i="4"/>
  <c r="U104" i="4"/>
  <c r="T105" i="4" s="1"/>
  <c r="T104" i="4"/>
  <c r="S104" i="4"/>
  <c r="R104" i="4"/>
  <c r="Q104" i="4"/>
  <c r="P104" i="4"/>
  <c r="O104" i="4"/>
  <c r="N105" i="4" s="1"/>
  <c r="N104" i="4"/>
  <c r="M104" i="4"/>
  <c r="L104" i="4"/>
  <c r="K104" i="4"/>
  <c r="J104" i="4"/>
  <c r="I105" i="4" s="1"/>
  <c r="I104" i="4"/>
  <c r="H104" i="4"/>
  <c r="G104" i="4"/>
  <c r="G105" i="4" s="1"/>
  <c r="F104" i="4"/>
  <c r="E104" i="4"/>
  <c r="E105" i="4" s="1"/>
  <c r="D104" i="4"/>
  <c r="C104" i="4"/>
  <c r="B104" i="4"/>
  <c r="L102" i="4"/>
  <c r="H102" i="4"/>
  <c r="B102" i="4"/>
  <c r="X99" i="4"/>
  <c r="W99" i="4"/>
  <c r="V99" i="4"/>
  <c r="U99" i="4"/>
  <c r="T99" i="4"/>
  <c r="S99" i="4"/>
  <c r="R100" i="4" s="1"/>
  <c r="R99" i="4"/>
  <c r="Q99" i="4"/>
  <c r="P99" i="4"/>
  <c r="P100" i="4" s="1"/>
  <c r="O99" i="4"/>
  <c r="N99" i="4"/>
  <c r="M99" i="4"/>
  <c r="L99" i="4"/>
  <c r="K99" i="4"/>
  <c r="J99" i="4"/>
  <c r="J100" i="4" s="1"/>
  <c r="I99" i="4"/>
  <c r="H99" i="4"/>
  <c r="G99" i="4"/>
  <c r="F99" i="4"/>
  <c r="E100" i="4"/>
  <c r="E99" i="4"/>
  <c r="D99" i="4"/>
  <c r="C99" i="4"/>
  <c r="B99" i="4"/>
  <c r="L97" i="4"/>
  <c r="H97" i="4"/>
  <c r="B97" i="4"/>
  <c r="X95" i="4"/>
  <c r="W95" i="4"/>
  <c r="V95" i="4"/>
  <c r="U95" i="4"/>
  <c r="T95" i="4"/>
  <c r="S95" i="4"/>
  <c r="R95" i="4"/>
  <c r="Q95" i="4"/>
  <c r="P95" i="4"/>
  <c r="O95" i="4"/>
  <c r="N95" i="4"/>
  <c r="M95" i="4"/>
  <c r="L95" i="4"/>
  <c r="K95" i="4"/>
  <c r="J95" i="4"/>
  <c r="I95" i="4"/>
  <c r="H95" i="4"/>
  <c r="D92" i="4" s="1"/>
  <c r="F92" i="4" s="1"/>
  <c r="G95" i="4"/>
  <c r="F95" i="4"/>
  <c r="E95" i="4"/>
  <c r="D95" i="4"/>
  <c r="C95" i="4"/>
  <c r="B95" i="4"/>
  <c r="J92" i="4"/>
  <c r="B92" i="4"/>
  <c r="O344" i="4"/>
  <c r="O343" i="4"/>
  <c r="O342" i="4"/>
  <c r="O341" i="4"/>
  <c r="Q206" i="4"/>
  <c r="P206" i="4"/>
  <c r="O206" i="4"/>
  <c r="N206" i="4"/>
  <c r="M206" i="4"/>
  <c r="L206" i="4"/>
  <c r="K206" i="4"/>
  <c r="J206" i="4"/>
  <c r="I206" i="4"/>
  <c r="H206" i="4"/>
  <c r="G206" i="4"/>
  <c r="F206" i="4"/>
  <c r="E206" i="4"/>
  <c r="D206" i="4"/>
  <c r="C206" i="4"/>
  <c r="B206" i="4"/>
  <c r="J203" i="4"/>
  <c r="B203" i="4"/>
  <c r="E5" i="7"/>
  <c r="H7" i="7"/>
  <c r="E7" i="7"/>
  <c r="E6" i="7"/>
  <c r="H9" i="7"/>
  <c r="K26" i="7"/>
  <c r="K23" i="7"/>
  <c r="J26" i="7"/>
  <c r="J25" i="7"/>
  <c r="J23" i="7"/>
  <c r="G27" i="7"/>
  <c r="G26" i="7"/>
  <c r="F26" i="7"/>
  <c r="G25" i="7"/>
  <c r="F25" i="7"/>
  <c r="G24" i="7"/>
  <c r="F24" i="7"/>
  <c r="G23" i="7"/>
  <c r="F23" i="7"/>
  <c r="D27" i="7"/>
  <c r="D24" i="7"/>
  <c r="B32" i="6"/>
  <c r="B31" i="6"/>
  <c r="B30" i="6"/>
  <c r="B29" i="6"/>
  <c r="B28" i="6"/>
  <c r="B36" i="6"/>
  <c r="B35" i="6"/>
  <c r="B34" i="6"/>
  <c r="B33" i="6"/>
  <c r="U35" i="7"/>
  <c r="U34" i="7"/>
  <c r="U33" i="7"/>
  <c r="U32" i="7"/>
  <c r="U31" i="7"/>
  <c r="U30" i="7"/>
  <c r="P32" i="7"/>
  <c r="P31" i="7"/>
  <c r="Q34" i="7"/>
  <c r="P29" i="7"/>
  <c r="U20" i="7"/>
  <c r="Q17" i="7"/>
  <c r="U16" i="7"/>
  <c r="U13" i="7"/>
  <c r="Q12" i="7"/>
  <c r="U11" i="7"/>
  <c r="Q3" i="7"/>
  <c r="E17" i="7"/>
  <c r="E16" i="7"/>
  <c r="E15" i="7"/>
  <c r="E13" i="7"/>
  <c r="B53" i="1"/>
  <c r="B51" i="1"/>
  <c r="B56" i="1"/>
  <c r="D29" i="1"/>
  <c r="I69" i="7" s="1"/>
  <c r="D25" i="1"/>
  <c r="E30" i="1" s="1"/>
  <c r="C19" i="1"/>
  <c r="H8" i="7" s="1"/>
  <c r="C161" i="6"/>
  <c r="C162" i="6"/>
  <c r="C160" i="6"/>
  <c r="C159" i="6"/>
  <c r="C158" i="6"/>
  <c r="C26" i="6"/>
  <c r="M21" i="6"/>
  <c r="C140" i="6"/>
  <c r="D25" i="7"/>
  <c r="F110" i="1"/>
  <c r="C114" i="1" s="1"/>
  <c r="C155" i="1"/>
  <c r="C153" i="1"/>
  <c r="C151" i="1"/>
  <c r="N35" i="1"/>
  <c r="C134" i="1"/>
  <c r="B26" i="1"/>
  <c r="J30" i="6"/>
  <c r="E191" i="6" s="1"/>
  <c r="G30" i="6"/>
  <c r="E182" i="6" s="1"/>
  <c r="J29" i="6"/>
  <c r="B188" i="6" s="1"/>
  <c r="G29" i="6"/>
  <c r="J28" i="6"/>
  <c r="C185" i="6" s="1"/>
  <c r="J27" i="6"/>
  <c r="G28" i="6"/>
  <c r="G27" i="6"/>
  <c r="W35" i="6"/>
  <c r="B100" i="6"/>
  <c r="B98" i="6"/>
  <c r="B99" i="6"/>
  <c r="Q241" i="4"/>
  <c r="P241" i="4"/>
  <c r="O241" i="4"/>
  <c r="N241" i="4"/>
  <c r="M241" i="4"/>
  <c r="L241" i="4"/>
  <c r="K241" i="4"/>
  <c r="J241" i="4"/>
  <c r="I241" i="4"/>
  <c r="H241" i="4"/>
  <c r="G241" i="4"/>
  <c r="F241" i="4"/>
  <c r="E241" i="4"/>
  <c r="D241" i="4"/>
  <c r="C241" i="4"/>
  <c r="B241" i="4"/>
  <c r="S240" i="4"/>
  <c r="T240" i="4" s="1"/>
  <c r="U240" i="4" s="1"/>
  <c r="V240" i="4" s="1"/>
  <c r="W240" i="4" s="1"/>
  <c r="S239" i="4"/>
  <c r="T239" i="4" s="1"/>
  <c r="J238" i="4"/>
  <c r="B238" i="4"/>
  <c r="O321" i="4"/>
  <c r="O320" i="4"/>
  <c r="S131" i="4"/>
  <c r="R131" i="4"/>
  <c r="Q131" i="4"/>
  <c r="P131" i="4"/>
  <c r="O131" i="4"/>
  <c r="N131" i="4"/>
  <c r="M131" i="4"/>
  <c r="L131" i="4"/>
  <c r="K131" i="4"/>
  <c r="J131" i="4"/>
  <c r="I131" i="4"/>
  <c r="H131" i="4"/>
  <c r="G131" i="4"/>
  <c r="F131" i="4"/>
  <c r="E131" i="4"/>
  <c r="D131" i="4"/>
  <c r="C131" i="4"/>
  <c r="B131" i="4"/>
  <c r="V130" i="4"/>
  <c r="U131" i="4" s="1"/>
  <c r="T131" i="4"/>
  <c r="J128" i="4"/>
  <c r="B128" i="4"/>
  <c r="R126" i="4"/>
  <c r="Q126" i="4"/>
  <c r="P126" i="4"/>
  <c r="O126" i="4"/>
  <c r="N126" i="4"/>
  <c r="M126" i="4"/>
  <c r="L126" i="4"/>
  <c r="K126" i="4"/>
  <c r="J126" i="4"/>
  <c r="I126" i="4"/>
  <c r="H126" i="4"/>
  <c r="G126" i="4"/>
  <c r="F126" i="4"/>
  <c r="E126" i="4"/>
  <c r="D126" i="4"/>
  <c r="C126" i="4"/>
  <c r="B126" i="4"/>
  <c r="T125" i="4"/>
  <c r="S126" i="4" s="1"/>
  <c r="J123" i="4"/>
  <c r="B123" i="4"/>
  <c r="O340" i="4"/>
  <c r="T256" i="4"/>
  <c r="S256" i="4"/>
  <c r="R256" i="4"/>
  <c r="Q256" i="4"/>
  <c r="P256" i="4"/>
  <c r="O256" i="4"/>
  <c r="N256" i="4"/>
  <c r="M256" i="4"/>
  <c r="L256" i="4"/>
  <c r="K256" i="4"/>
  <c r="J256" i="4"/>
  <c r="I256" i="4"/>
  <c r="H256" i="4"/>
  <c r="G256" i="4"/>
  <c r="F256" i="4"/>
  <c r="E256" i="4"/>
  <c r="D256" i="4"/>
  <c r="C256" i="4"/>
  <c r="B256" i="4"/>
  <c r="V255" i="4"/>
  <c r="W255" i="4" s="1"/>
  <c r="V254" i="4"/>
  <c r="W254" i="4" s="1"/>
  <c r="X254" i="4" s="1"/>
  <c r="J253" i="4"/>
  <c r="B253" i="4"/>
  <c r="O337" i="4"/>
  <c r="Q236" i="4"/>
  <c r="P236" i="4"/>
  <c r="O236" i="4"/>
  <c r="N236" i="4"/>
  <c r="M236" i="4"/>
  <c r="L236" i="4"/>
  <c r="K236" i="4"/>
  <c r="J236" i="4"/>
  <c r="I236" i="4"/>
  <c r="H236" i="4"/>
  <c r="G236" i="4"/>
  <c r="F236" i="4"/>
  <c r="E236" i="4"/>
  <c r="D236" i="4"/>
  <c r="C236" i="4"/>
  <c r="B236" i="4"/>
  <c r="S235" i="4"/>
  <c r="T235" i="4" s="1"/>
  <c r="S234" i="4"/>
  <c r="R236" i="4" s="1"/>
  <c r="J233" i="4"/>
  <c r="B233" i="4"/>
  <c r="O346" i="4"/>
  <c r="Q211" i="4"/>
  <c r="P211" i="4"/>
  <c r="O211" i="4"/>
  <c r="N211" i="4"/>
  <c r="M211" i="4"/>
  <c r="L211" i="4"/>
  <c r="K211" i="4"/>
  <c r="J211" i="4"/>
  <c r="I211" i="4"/>
  <c r="H211" i="4"/>
  <c r="G211" i="4"/>
  <c r="F211" i="4"/>
  <c r="E211" i="4"/>
  <c r="D211" i="4"/>
  <c r="C211" i="4"/>
  <c r="B211" i="4"/>
  <c r="S211" i="4"/>
  <c r="R211" i="4"/>
  <c r="J208" i="4"/>
  <c r="B208" i="4"/>
  <c r="O336" i="4"/>
  <c r="O335" i="4"/>
  <c r="O334" i="4"/>
  <c r="O333" i="4"/>
  <c r="O338" i="4"/>
  <c r="O339" i="4"/>
  <c r="O345" i="4"/>
  <c r="O323" i="4"/>
  <c r="O324" i="4"/>
  <c r="O325" i="4"/>
  <c r="O326" i="4"/>
  <c r="O327" i="4"/>
  <c r="O319" i="4"/>
  <c r="O322" i="4"/>
  <c r="O328" i="4"/>
  <c r="O329" i="4"/>
  <c r="O330" i="4"/>
  <c r="O331" i="4"/>
  <c r="O332" i="4"/>
  <c r="O318" i="4"/>
  <c r="O317" i="4"/>
  <c r="X231" i="4"/>
  <c r="W231" i="4"/>
  <c r="V231" i="4"/>
  <c r="U231" i="4"/>
  <c r="T231" i="4"/>
  <c r="S231" i="4"/>
  <c r="R231" i="4"/>
  <c r="Q231" i="4"/>
  <c r="P231" i="4"/>
  <c r="O231" i="4"/>
  <c r="N231" i="4"/>
  <c r="M231" i="4"/>
  <c r="L231" i="4"/>
  <c r="K231" i="4"/>
  <c r="J231" i="4"/>
  <c r="I231" i="4"/>
  <c r="H231" i="4"/>
  <c r="G231" i="4"/>
  <c r="D228" i="4" s="1"/>
  <c r="F228" i="4" s="1"/>
  <c r="F231" i="4"/>
  <c r="E231" i="4"/>
  <c r="D231" i="4"/>
  <c r="C231" i="4"/>
  <c r="B231" i="4"/>
  <c r="J228" i="4"/>
  <c r="B228" i="4"/>
  <c r="Q226" i="4"/>
  <c r="P226" i="4"/>
  <c r="O226" i="4"/>
  <c r="N226" i="4"/>
  <c r="M226" i="4"/>
  <c r="L226" i="4"/>
  <c r="K226" i="4"/>
  <c r="J226" i="4"/>
  <c r="I226" i="4"/>
  <c r="H226" i="4"/>
  <c r="G226" i="4"/>
  <c r="F226" i="4"/>
  <c r="E226" i="4"/>
  <c r="D226" i="4"/>
  <c r="C226" i="4"/>
  <c r="B226" i="4"/>
  <c r="T225" i="4"/>
  <c r="U225" i="4" s="1"/>
  <c r="R226" i="4"/>
  <c r="T224" i="4"/>
  <c r="U224" i="4" s="1"/>
  <c r="V224" i="4" s="1"/>
  <c r="W224" i="4" s="1"/>
  <c r="J223" i="4"/>
  <c r="B223" i="4"/>
  <c r="V249" i="4"/>
  <c r="W249" i="4" s="1"/>
  <c r="W244" i="4"/>
  <c r="Q251" i="4"/>
  <c r="P251" i="4"/>
  <c r="O251" i="4"/>
  <c r="N251" i="4"/>
  <c r="M251" i="4"/>
  <c r="L251" i="4"/>
  <c r="K251" i="4"/>
  <c r="J251" i="4"/>
  <c r="I251" i="4"/>
  <c r="H251" i="4"/>
  <c r="G251" i="4"/>
  <c r="F251" i="4"/>
  <c r="E251" i="4"/>
  <c r="D251" i="4"/>
  <c r="C251" i="4"/>
  <c r="B251" i="4"/>
  <c r="J248" i="4"/>
  <c r="B248" i="4"/>
  <c r="J246" i="4"/>
  <c r="I246" i="4"/>
  <c r="H246" i="4"/>
  <c r="G246" i="4"/>
  <c r="F246" i="4"/>
  <c r="E246" i="4"/>
  <c r="D246" i="4"/>
  <c r="C246" i="4"/>
  <c r="B246" i="4"/>
  <c r="J243" i="4"/>
  <c r="B243" i="4"/>
  <c r="L194" i="4"/>
  <c r="M194" i="4" s="1"/>
  <c r="R334" i="4"/>
  <c r="R335" i="4"/>
  <c r="R336" i="4"/>
  <c r="R337" i="4"/>
  <c r="R338" i="4"/>
  <c r="R339" i="4"/>
  <c r="S195" i="4"/>
  <c r="T195" i="4"/>
  <c r="U195" i="4" s="1"/>
  <c r="V195" i="4" s="1"/>
  <c r="W195" i="4" s="1"/>
  <c r="X195" i="4" s="1"/>
  <c r="X196" i="4" s="1"/>
  <c r="J196" i="4"/>
  <c r="I196" i="4"/>
  <c r="H196" i="4"/>
  <c r="G196" i="4"/>
  <c r="F196" i="4"/>
  <c r="E196" i="4"/>
  <c r="D196" i="4"/>
  <c r="C196" i="4"/>
  <c r="B196" i="4"/>
  <c r="J193" i="4"/>
  <c r="B193" i="4"/>
  <c r="S200" i="4"/>
  <c r="T200" i="4" s="1"/>
  <c r="S199" i="4"/>
  <c r="T199" i="4" s="1"/>
  <c r="U199" i="4" s="1"/>
  <c r="V199" i="4" s="1"/>
  <c r="W199" i="4" s="1"/>
  <c r="X199" i="4" s="1"/>
  <c r="Q201" i="4"/>
  <c r="P201" i="4"/>
  <c r="O201" i="4"/>
  <c r="N201" i="4"/>
  <c r="M201" i="4"/>
  <c r="L201" i="4"/>
  <c r="K201" i="4"/>
  <c r="J201" i="4"/>
  <c r="I201" i="4"/>
  <c r="H201" i="4"/>
  <c r="G201" i="4"/>
  <c r="F201" i="4"/>
  <c r="E201" i="4"/>
  <c r="D201" i="4"/>
  <c r="C201" i="4"/>
  <c r="B201" i="4"/>
  <c r="J198" i="4"/>
  <c r="B198" i="4"/>
  <c r="B213" i="4"/>
  <c r="B216" i="4"/>
  <c r="C216" i="4"/>
  <c r="D216" i="4"/>
  <c r="E216" i="4"/>
  <c r="F216" i="4"/>
  <c r="G216" i="4"/>
  <c r="H216" i="4"/>
  <c r="I216" i="4"/>
  <c r="J216" i="4"/>
  <c r="K216" i="4"/>
  <c r="L216" i="4"/>
  <c r="M216" i="4"/>
  <c r="N216" i="4"/>
  <c r="O216" i="4"/>
  <c r="P216" i="4"/>
  <c r="Q216" i="4"/>
  <c r="S215" i="4"/>
  <c r="T215" i="4" s="1"/>
  <c r="S214" i="4"/>
  <c r="J213" i="4"/>
  <c r="A2" i="4"/>
  <c r="B133" i="4"/>
  <c r="B4" i="3"/>
  <c r="AC4" i="3" s="1"/>
  <c r="B136" i="4"/>
  <c r="C136" i="4"/>
  <c r="D136" i="4"/>
  <c r="D133" i="4" s="1"/>
  <c r="F133" i="4" s="1"/>
  <c r="E136" i="4"/>
  <c r="F136" i="4"/>
  <c r="G136" i="4"/>
  <c r="H136" i="4"/>
  <c r="I136" i="4"/>
  <c r="J136" i="4"/>
  <c r="K136" i="4"/>
  <c r="L136" i="4"/>
  <c r="M136" i="4"/>
  <c r="N136" i="4"/>
  <c r="O136" i="4"/>
  <c r="P136" i="4"/>
  <c r="Q136" i="4"/>
  <c r="R136" i="4"/>
  <c r="S136" i="4"/>
  <c r="T136" i="4"/>
  <c r="U136" i="4"/>
  <c r="V136" i="4"/>
  <c r="W136" i="4"/>
  <c r="X136" i="4"/>
  <c r="J133" i="4"/>
  <c r="N4" i="3"/>
  <c r="M4" i="3" s="1"/>
  <c r="J4" i="3"/>
  <c r="K4" i="3"/>
  <c r="V4" i="3" s="1"/>
  <c r="I4" i="3"/>
  <c r="B113" i="4"/>
  <c r="C36" i="6"/>
  <c r="M18" i="6"/>
  <c r="B116" i="4"/>
  <c r="C116" i="4"/>
  <c r="D116" i="4"/>
  <c r="E116" i="4"/>
  <c r="F116" i="4"/>
  <c r="G116" i="4"/>
  <c r="H116" i="4"/>
  <c r="I116" i="4"/>
  <c r="J116" i="4"/>
  <c r="K116" i="4"/>
  <c r="L116" i="4"/>
  <c r="M116" i="4"/>
  <c r="N116" i="4"/>
  <c r="O116" i="4"/>
  <c r="P116" i="4"/>
  <c r="Q116" i="4"/>
  <c r="R116" i="4"/>
  <c r="S116" i="4"/>
  <c r="U115" i="4"/>
  <c r="T116" i="4" s="1"/>
  <c r="J113" i="4"/>
  <c r="B166" i="4"/>
  <c r="C166" i="4"/>
  <c r="D166" i="4"/>
  <c r="E166" i="4"/>
  <c r="F166" i="4"/>
  <c r="G166" i="4"/>
  <c r="H166" i="4"/>
  <c r="I166" i="4"/>
  <c r="J166" i="4"/>
  <c r="K166" i="4"/>
  <c r="L166" i="4"/>
  <c r="M166" i="4"/>
  <c r="N166" i="4"/>
  <c r="O166" i="4"/>
  <c r="P166" i="4"/>
  <c r="Q166" i="4"/>
  <c r="R166" i="4"/>
  <c r="T165" i="4"/>
  <c r="S166" i="4" s="1"/>
  <c r="X164" i="4"/>
  <c r="L163" i="4"/>
  <c r="J163" i="4" s="1"/>
  <c r="B48" i="1"/>
  <c r="C29" i="1" s="1"/>
  <c r="E127" i="7" s="1"/>
  <c r="D31" i="1"/>
  <c r="B29" i="4"/>
  <c r="C29" i="4"/>
  <c r="D29" i="4"/>
  <c r="E29" i="4"/>
  <c r="F29" i="4"/>
  <c r="G29" i="4"/>
  <c r="H29" i="4"/>
  <c r="I29" i="4"/>
  <c r="J29" i="4"/>
  <c r="K29" i="4"/>
  <c r="L29" i="4"/>
  <c r="M29" i="4"/>
  <c r="N29" i="4"/>
  <c r="O29" i="4"/>
  <c r="P29" i="4"/>
  <c r="Q29" i="4"/>
  <c r="R29" i="4"/>
  <c r="S29" i="4"/>
  <c r="T29" i="4"/>
  <c r="U29" i="4"/>
  <c r="V29" i="4"/>
  <c r="W29" i="4"/>
  <c r="X29" i="4"/>
  <c r="J26" i="4"/>
  <c r="B34" i="4"/>
  <c r="C34" i="4"/>
  <c r="D34" i="4"/>
  <c r="E34" i="4"/>
  <c r="F34" i="4"/>
  <c r="G34" i="4"/>
  <c r="H34" i="4"/>
  <c r="I34" i="4"/>
  <c r="J34" i="4"/>
  <c r="K34" i="4"/>
  <c r="L34" i="4"/>
  <c r="M34" i="4"/>
  <c r="N34" i="4"/>
  <c r="O34" i="4"/>
  <c r="P34" i="4"/>
  <c r="Q34" i="4"/>
  <c r="R34" i="4"/>
  <c r="S34" i="4"/>
  <c r="T34" i="4"/>
  <c r="U34" i="4"/>
  <c r="V34" i="4"/>
  <c r="W34" i="4"/>
  <c r="X34" i="4"/>
  <c r="J31" i="4"/>
  <c r="B39" i="4"/>
  <c r="C39" i="4"/>
  <c r="D39" i="4"/>
  <c r="E39" i="4"/>
  <c r="F39" i="4"/>
  <c r="G39" i="4"/>
  <c r="H39" i="4"/>
  <c r="I39" i="4"/>
  <c r="J39" i="4"/>
  <c r="K39" i="4"/>
  <c r="L39" i="4"/>
  <c r="M39" i="4"/>
  <c r="N39" i="4"/>
  <c r="O39" i="4"/>
  <c r="P39" i="4"/>
  <c r="Q39" i="4"/>
  <c r="R39" i="4"/>
  <c r="S39" i="4"/>
  <c r="T39" i="4"/>
  <c r="U39" i="4"/>
  <c r="V39" i="4"/>
  <c r="W39" i="4"/>
  <c r="X39" i="4"/>
  <c r="J36" i="4"/>
  <c r="B44" i="4"/>
  <c r="C44" i="4"/>
  <c r="D44" i="4"/>
  <c r="E44" i="4"/>
  <c r="F44" i="4"/>
  <c r="G44" i="4"/>
  <c r="H44" i="4"/>
  <c r="I44" i="4"/>
  <c r="J44" i="4"/>
  <c r="K44" i="4"/>
  <c r="L44" i="4"/>
  <c r="M44" i="4"/>
  <c r="N44" i="4"/>
  <c r="O44" i="4"/>
  <c r="P44" i="4"/>
  <c r="Q44" i="4"/>
  <c r="R44" i="4"/>
  <c r="S44" i="4"/>
  <c r="T44" i="4"/>
  <c r="U44" i="4"/>
  <c r="V44" i="4"/>
  <c r="W44" i="4"/>
  <c r="X44" i="4"/>
  <c r="J41" i="4"/>
  <c r="B49" i="4"/>
  <c r="C49" i="4"/>
  <c r="D49" i="4"/>
  <c r="E49" i="4"/>
  <c r="F49" i="4"/>
  <c r="G49" i="4"/>
  <c r="H49" i="4"/>
  <c r="I49" i="4"/>
  <c r="J49" i="4"/>
  <c r="K49" i="4"/>
  <c r="L49" i="4"/>
  <c r="M49" i="4"/>
  <c r="N49" i="4"/>
  <c r="O49" i="4"/>
  <c r="P49" i="4"/>
  <c r="Q49" i="4"/>
  <c r="R49" i="4"/>
  <c r="S49" i="4"/>
  <c r="T49" i="4"/>
  <c r="U49" i="4"/>
  <c r="V49" i="4"/>
  <c r="W49" i="4"/>
  <c r="X49" i="4"/>
  <c r="J46" i="4"/>
  <c r="B54" i="4"/>
  <c r="C54" i="4"/>
  <c r="D54" i="4"/>
  <c r="E54" i="4"/>
  <c r="F54" i="4"/>
  <c r="G54" i="4"/>
  <c r="H54" i="4"/>
  <c r="I54" i="4"/>
  <c r="J54" i="4"/>
  <c r="K54" i="4"/>
  <c r="L54" i="4"/>
  <c r="M54" i="4"/>
  <c r="N54" i="4"/>
  <c r="O54" i="4"/>
  <c r="P54" i="4"/>
  <c r="Q54" i="4"/>
  <c r="D51" i="4" s="1"/>
  <c r="F51" i="4" s="1"/>
  <c r="R54" i="4"/>
  <c r="S54" i="4"/>
  <c r="T54" i="4"/>
  <c r="U54" i="4"/>
  <c r="V54" i="4"/>
  <c r="W54" i="4"/>
  <c r="X54" i="4"/>
  <c r="J51" i="4"/>
  <c r="B59" i="4"/>
  <c r="C59" i="4"/>
  <c r="D59" i="4"/>
  <c r="E59" i="4"/>
  <c r="F59" i="4"/>
  <c r="G59" i="4"/>
  <c r="H59" i="4"/>
  <c r="I59" i="4"/>
  <c r="J59" i="4"/>
  <c r="K59" i="4"/>
  <c r="L59" i="4"/>
  <c r="M59" i="4"/>
  <c r="N59" i="4"/>
  <c r="O59" i="4"/>
  <c r="P59" i="4"/>
  <c r="Q59" i="4"/>
  <c r="R59" i="4"/>
  <c r="S59" i="4"/>
  <c r="T59" i="4"/>
  <c r="U59" i="4"/>
  <c r="V59" i="4"/>
  <c r="W59" i="4"/>
  <c r="X59" i="4"/>
  <c r="D56" i="4" s="1"/>
  <c r="F56" i="4" s="1"/>
  <c r="J56" i="4"/>
  <c r="B64" i="4"/>
  <c r="C64" i="4"/>
  <c r="D64" i="4"/>
  <c r="E64" i="4"/>
  <c r="F64" i="4"/>
  <c r="G64" i="4"/>
  <c r="H64" i="4"/>
  <c r="I64" i="4"/>
  <c r="J64" i="4"/>
  <c r="K64" i="4"/>
  <c r="L64" i="4"/>
  <c r="M64" i="4"/>
  <c r="N64" i="4"/>
  <c r="O64" i="4"/>
  <c r="P64" i="4"/>
  <c r="Q64" i="4"/>
  <c r="R64" i="4"/>
  <c r="S64" i="4"/>
  <c r="T64" i="4"/>
  <c r="U64" i="4"/>
  <c r="V64" i="4"/>
  <c r="W64" i="4"/>
  <c r="X64" i="4"/>
  <c r="J61" i="4"/>
  <c r="B70" i="4"/>
  <c r="C70" i="4"/>
  <c r="D70" i="4"/>
  <c r="E70" i="4"/>
  <c r="F70" i="4"/>
  <c r="G70" i="4"/>
  <c r="H70" i="4"/>
  <c r="I70" i="4"/>
  <c r="J70" i="4"/>
  <c r="K70" i="4"/>
  <c r="L70" i="4"/>
  <c r="M70" i="4"/>
  <c r="N70" i="4"/>
  <c r="O70" i="4"/>
  <c r="P70" i="4"/>
  <c r="Q70" i="4"/>
  <c r="R70" i="4"/>
  <c r="S70" i="4"/>
  <c r="T70" i="4"/>
  <c r="U70" i="4"/>
  <c r="V70" i="4"/>
  <c r="W70" i="4"/>
  <c r="X70" i="4"/>
  <c r="J67" i="4"/>
  <c r="B75" i="4"/>
  <c r="C75" i="4"/>
  <c r="D75" i="4"/>
  <c r="E75" i="4"/>
  <c r="F75" i="4"/>
  <c r="G75" i="4"/>
  <c r="H75" i="4"/>
  <c r="I75" i="4"/>
  <c r="J75" i="4"/>
  <c r="K75" i="4"/>
  <c r="L75" i="4"/>
  <c r="M75" i="4"/>
  <c r="N75" i="4"/>
  <c r="O75" i="4"/>
  <c r="D72" i="4" s="1"/>
  <c r="F72" i="4" s="1"/>
  <c r="P75" i="4"/>
  <c r="Q75" i="4"/>
  <c r="R75" i="4"/>
  <c r="S75" i="4"/>
  <c r="T75" i="4"/>
  <c r="U75" i="4"/>
  <c r="V75" i="4"/>
  <c r="W75" i="4"/>
  <c r="X75" i="4"/>
  <c r="J72" i="4"/>
  <c r="B80" i="4"/>
  <c r="C80" i="4"/>
  <c r="D80" i="4"/>
  <c r="E80" i="4"/>
  <c r="F80" i="4"/>
  <c r="G80" i="4"/>
  <c r="H80" i="4"/>
  <c r="I80" i="4"/>
  <c r="J80" i="4"/>
  <c r="K80" i="4"/>
  <c r="L80" i="4"/>
  <c r="M80" i="4"/>
  <c r="N80" i="4"/>
  <c r="O80" i="4"/>
  <c r="P80" i="4"/>
  <c r="Q80" i="4"/>
  <c r="R80" i="4"/>
  <c r="S80" i="4"/>
  <c r="T80" i="4"/>
  <c r="U80" i="4"/>
  <c r="V80" i="4"/>
  <c r="W80" i="4"/>
  <c r="D77" i="4" s="1"/>
  <c r="F77" i="4" s="1"/>
  <c r="X80" i="4"/>
  <c r="J77" i="4"/>
  <c r="C84" i="4"/>
  <c r="B84" i="4"/>
  <c r="B85" i="4" s="1"/>
  <c r="D84" i="4"/>
  <c r="E84" i="4"/>
  <c r="F84" i="4"/>
  <c r="E85" i="4" s="1"/>
  <c r="G84" i="4"/>
  <c r="F85" i="4" s="1"/>
  <c r="H84" i="4"/>
  <c r="H85" i="4" s="1"/>
  <c r="I84" i="4"/>
  <c r="J84" i="4"/>
  <c r="K84" i="4"/>
  <c r="L84" i="4"/>
  <c r="L85" i="4" s="1"/>
  <c r="M84" i="4"/>
  <c r="N84" i="4"/>
  <c r="M85" i="4" s="1"/>
  <c r="O84" i="4"/>
  <c r="P84" i="4"/>
  <c r="Q84" i="4"/>
  <c r="P85" i="4" s="1"/>
  <c r="R84" i="4"/>
  <c r="S84" i="4"/>
  <c r="S85" i="4" s="1"/>
  <c r="T84" i="4"/>
  <c r="U84" i="4"/>
  <c r="V84" i="4"/>
  <c r="W84" i="4"/>
  <c r="V85" i="4" s="1"/>
  <c r="X84" i="4"/>
  <c r="W85" i="4" s="1"/>
  <c r="H82" i="4"/>
  <c r="L82" i="4"/>
  <c r="C89" i="4"/>
  <c r="B89" i="4"/>
  <c r="D89" i="4"/>
  <c r="D90" i="4" s="1"/>
  <c r="E89" i="4"/>
  <c r="F89" i="4"/>
  <c r="G89" i="4"/>
  <c r="F90" i="4" s="1"/>
  <c r="H89" i="4"/>
  <c r="I89" i="4"/>
  <c r="J89" i="4"/>
  <c r="J90" i="4" s="1"/>
  <c r="K89" i="4"/>
  <c r="L89" i="4"/>
  <c r="M89" i="4"/>
  <c r="N89" i="4"/>
  <c r="O89" i="4"/>
  <c r="O90" i="4" s="1"/>
  <c r="P89" i="4"/>
  <c r="Q89" i="4"/>
  <c r="R89" i="4"/>
  <c r="S89" i="4"/>
  <c r="R90" i="4" s="1"/>
  <c r="T89" i="4"/>
  <c r="U89" i="4"/>
  <c r="U90" i="4" s="1"/>
  <c r="V89" i="4"/>
  <c r="V90" i="4" s="1"/>
  <c r="W89" i="4"/>
  <c r="X89" i="4"/>
  <c r="X90" i="4" s="1"/>
  <c r="H87" i="4"/>
  <c r="L87" i="4"/>
  <c r="B111" i="4"/>
  <c r="C111" i="4"/>
  <c r="D111" i="4"/>
  <c r="E111" i="4"/>
  <c r="F111" i="4"/>
  <c r="G111" i="4"/>
  <c r="H111" i="4"/>
  <c r="I111" i="4"/>
  <c r="J111" i="4"/>
  <c r="K111" i="4"/>
  <c r="L111" i="4"/>
  <c r="M111" i="4"/>
  <c r="N111" i="4"/>
  <c r="O111" i="4"/>
  <c r="P111" i="4"/>
  <c r="Q111" i="4"/>
  <c r="R111" i="4"/>
  <c r="T110" i="4"/>
  <c r="S111" i="4" s="1"/>
  <c r="J108" i="4"/>
  <c r="B121" i="4"/>
  <c r="C121" i="4"/>
  <c r="D121" i="4"/>
  <c r="E121" i="4"/>
  <c r="F121" i="4"/>
  <c r="G121" i="4"/>
  <c r="H121" i="4"/>
  <c r="I121" i="4"/>
  <c r="J121" i="4"/>
  <c r="K121" i="4"/>
  <c r="L121" i="4"/>
  <c r="M121" i="4"/>
  <c r="N121" i="4"/>
  <c r="O121" i="4"/>
  <c r="P121" i="4"/>
  <c r="Q121" i="4"/>
  <c r="R121" i="4"/>
  <c r="T120" i="4"/>
  <c r="S121" i="4" s="1"/>
  <c r="J118" i="4"/>
  <c r="B141" i="4"/>
  <c r="D138" i="4" s="1"/>
  <c r="F138" i="4" s="1"/>
  <c r="C141" i="4"/>
  <c r="D141" i="4"/>
  <c r="E141" i="4"/>
  <c r="F141" i="4"/>
  <c r="G141" i="4"/>
  <c r="H141" i="4"/>
  <c r="I141" i="4"/>
  <c r="J141" i="4"/>
  <c r="K141" i="4"/>
  <c r="L141" i="4"/>
  <c r="M141" i="4"/>
  <c r="N141" i="4"/>
  <c r="O141" i="4"/>
  <c r="P141" i="4"/>
  <c r="Q141" i="4"/>
  <c r="R141" i="4"/>
  <c r="S141" i="4"/>
  <c r="T141" i="4"/>
  <c r="U141" i="4"/>
  <c r="V141" i="4"/>
  <c r="W141" i="4"/>
  <c r="X141" i="4"/>
  <c r="J138" i="4"/>
  <c r="B146" i="4"/>
  <c r="C146" i="4"/>
  <c r="D146" i="4"/>
  <c r="E146" i="4"/>
  <c r="F146" i="4"/>
  <c r="G146" i="4"/>
  <c r="H146" i="4"/>
  <c r="I146" i="4"/>
  <c r="J146" i="4"/>
  <c r="K146" i="4"/>
  <c r="L146" i="4"/>
  <c r="M146" i="4"/>
  <c r="N146" i="4"/>
  <c r="O146" i="4"/>
  <c r="P146" i="4"/>
  <c r="Q146" i="4"/>
  <c r="R146" i="4"/>
  <c r="S146" i="4"/>
  <c r="T146" i="4"/>
  <c r="U146" i="4"/>
  <c r="V146" i="4"/>
  <c r="W146" i="4"/>
  <c r="X146" i="4"/>
  <c r="J143" i="4"/>
  <c r="B156" i="4"/>
  <c r="C156" i="4"/>
  <c r="D156" i="4"/>
  <c r="E156" i="4"/>
  <c r="F156" i="4"/>
  <c r="G156" i="4"/>
  <c r="H156" i="4"/>
  <c r="I156" i="4"/>
  <c r="D153" i="4" s="1"/>
  <c r="F153" i="4" s="1"/>
  <c r="J156" i="4"/>
  <c r="K156" i="4"/>
  <c r="L156" i="4"/>
  <c r="M156" i="4"/>
  <c r="N156" i="4"/>
  <c r="O156" i="4"/>
  <c r="P156" i="4"/>
  <c r="Q156" i="4"/>
  <c r="R156" i="4"/>
  <c r="S156" i="4"/>
  <c r="T156" i="4"/>
  <c r="U156" i="4"/>
  <c r="V156" i="4"/>
  <c r="W156" i="4"/>
  <c r="X156" i="4"/>
  <c r="J153" i="4"/>
  <c r="B161" i="4"/>
  <c r="C161" i="4"/>
  <c r="D161" i="4"/>
  <c r="E161" i="4"/>
  <c r="F161" i="4"/>
  <c r="G161" i="4"/>
  <c r="H161" i="4"/>
  <c r="I161" i="4"/>
  <c r="J161" i="4"/>
  <c r="K161" i="4"/>
  <c r="L161" i="4"/>
  <c r="M161" i="4"/>
  <c r="N161" i="4"/>
  <c r="O161" i="4"/>
  <c r="P161" i="4"/>
  <c r="Q161" i="4"/>
  <c r="R161" i="4"/>
  <c r="S161" i="4"/>
  <c r="T161" i="4"/>
  <c r="U161" i="4"/>
  <c r="V161" i="4"/>
  <c r="W161" i="4"/>
  <c r="X161" i="4"/>
  <c r="J158" i="4"/>
  <c r="B171" i="4"/>
  <c r="C171" i="4"/>
  <c r="D171" i="4"/>
  <c r="E171" i="4"/>
  <c r="F171" i="4"/>
  <c r="G171" i="4"/>
  <c r="H171" i="4"/>
  <c r="I171" i="4"/>
  <c r="J171" i="4"/>
  <c r="K171" i="4"/>
  <c r="L171" i="4"/>
  <c r="M171" i="4"/>
  <c r="N171" i="4"/>
  <c r="O171" i="4"/>
  <c r="P171" i="4"/>
  <c r="Q171" i="4"/>
  <c r="R171" i="4"/>
  <c r="S171" i="4"/>
  <c r="T171" i="4"/>
  <c r="U171" i="4"/>
  <c r="V171" i="4"/>
  <c r="W171" i="4"/>
  <c r="X171" i="4"/>
  <c r="J168" i="4"/>
  <c r="B176" i="4"/>
  <c r="C176" i="4"/>
  <c r="D176" i="4"/>
  <c r="E176" i="4"/>
  <c r="F176" i="4"/>
  <c r="G176" i="4"/>
  <c r="H176" i="4"/>
  <c r="I176" i="4"/>
  <c r="J176" i="4"/>
  <c r="K176" i="4"/>
  <c r="L176" i="4"/>
  <c r="D173" i="4" s="1"/>
  <c r="F173" i="4" s="1"/>
  <c r="M176" i="4"/>
  <c r="N176" i="4"/>
  <c r="O176" i="4"/>
  <c r="P176" i="4"/>
  <c r="Q176" i="4"/>
  <c r="R176" i="4"/>
  <c r="S176" i="4"/>
  <c r="T176" i="4"/>
  <c r="U176" i="4"/>
  <c r="V176" i="4"/>
  <c r="W176" i="4"/>
  <c r="X176" i="4"/>
  <c r="J173" i="4"/>
  <c r="B181" i="4"/>
  <c r="C181" i="4"/>
  <c r="D181" i="4"/>
  <c r="E181" i="4"/>
  <c r="F181" i="4"/>
  <c r="G181" i="4"/>
  <c r="H181" i="4"/>
  <c r="I181" i="4"/>
  <c r="J181" i="4"/>
  <c r="K181" i="4"/>
  <c r="L181" i="4"/>
  <c r="M181" i="4"/>
  <c r="N181" i="4"/>
  <c r="O181" i="4"/>
  <c r="P181" i="4"/>
  <c r="Q181" i="4"/>
  <c r="R181" i="4"/>
  <c r="S181" i="4"/>
  <c r="T181" i="4"/>
  <c r="U181" i="4"/>
  <c r="V181" i="4"/>
  <c r="W181" i="4"/>
  <c r="X181" i="4"/>
  <c r="J178" i="4"/>
  <c r="B186" i="4"/>
  <c r="D183" i="4" s="1"/>
  <c r="F183" i="4" s="1"/>
  <c r="C186" i="4"/>
  <c r="D186" i="4"/>
  <c r="E186" i="4"/>
  <c r="F186" i="4"/>
  <c r="G186" i="4"/>
  <c r="H186" i="4"/>
  <c r="I186" i="4"/>
  <c r="J186" i="4"/>
  <c r="K186" i="4"/>
  <c r="L186" i="4"/>
  <c r="M186" i="4"/>
  <c r="N186" i="4"/>
  <c r="O186" i="4"/>
  <c r="P186" i="4"/>
  <c r="Q186" i="4"/>
  <c r="R186" i="4"/>
  <c r="S186" i="4"/>
  <c r="T186" i="4"/>
  <c r="U186" i="4"/>
  <c r="V186" i="4"/>
  <c r="W186" i="4"/>
  <c r="X186" i="4"/>
  <c r="J183" i="4"/>
  <c r="B191" i="4"/>
  <c r="C191" i="4"/>
  <c r="D191" i="4"/>
  <c r="E191" i="4"/>
  <c r="F191" i="4"/>
  <c r="G191" i="4"/>
  <c r="H191" i="4"/>
  <c r="I191" i="4"/>
  <c r="J191" i="4"/>
  <c r="K191" i="4"/>
  <c r="L191" i="4"/>
  <c r="M191" i="4"/>
  <c r="N191" i="4"/>
  <c r="O191" i="4"/>
  <c r="P191" i="4"/>
  <c r="Q191" i="4"/>
  <c r="R191" i="4"/>
  <c r="T190" i="4"/>
  <c r="U190" i="4" s="1"/>
  <c r="X189" i="4"/>
  <c r="L188" i="4"/>
  <c r="J188" i="4" s="1"/>
  <c r="B221" i="4"/>
  <c r="C221" i="4"/>
  <c r="D221" i="4"/>
  <c r="E221" i="4"/>
  <c r="F221" i="4"/>
  <c r="G221" i="4"/>
  <c r="H221" i="4"/>
  <c r="I221" i="4"/>
  <c r="J221" i="4"/>
  <c r="K221" i="4"/>
  <c r="L221" i="4"/>
  <c r="M221" i="4"/>
  <c r="N221" i="4"/>
  <c r="O221" i="4"/>
  <c r="P221" i="4"/>
  <c r="Q221" i="4"/>
  <c r="R221" i="4"/>
  <c r="S221" i="4"/>
  <c r="T221" i="4"/>
  <c r="U221" i="4"/>
  <c r="V221" i="4"/>
  <c r="W221" i="4"/>
  <c r="X221" i="4"/>
  <c r="J218" i="4"/>
  <c r="B261" i="4"/>
  <c r="C261" i="4"/>
  <c r="D261" i="4"/>
  <c r="E261" i="4"/>
  <c r="F261" i="4"/>
  <c r="G261" i="4"/>
  <c r="H261" i="4"/>
  <c r="I261" i="4"/>
  <c r="J261" i="4"/>
  <c r="K261" i="4"/>
  <c r="L261" i="4"/>
  <c r="M261" i="4"/>
  <c r="N261" i="4"/>
  <c r="O261" i="4"/>
  <c r="P261" i="4"/>
  <c r="Q261" i="4"/>
  <c r="R261" i="4"/>
  <c r="S261" i="4"/>
  <c r="T261" i="4"/>
  <c r="U261" i="4"/>
  <c r="V261" i="4"/>
  <c r="W261" i="4"/>
  <c r="X261" i="4"/>
  <c r="J258" i="4"/>
  <c r="B266" i="4"/>
  <c r="D263" i="4" s="1"/>
  <c r="F263" i="4" s="1"/>
  <c r="C266" i="4"/>
  <c r="D266" i="4"/>
  <c r="E266" i="4"/>
  <c r="F266" i="4"/>
  <c r="G266" i="4"/>
  <c r="H266" i="4"/>
  <c r="I266" i="4"/>
  <c r="J266" i="4"/>
  <c r="K266" i="4"/>
  <c r="L266" i="4"/>
  <c r="M266" i="4"/>
  <c r="N266" i="4"/>
  <c r="O266" i="4"/>
  <c r="P266" i="4"/>
  <c r="Q266" i="4"/>
  <c r="R266" i="4"/>
  <c r="S266" i="4"/>
  <c r="T266" i="4"/>
  <c r="U266" i="4"/>
  <c r="V266" i="4"/>
  <c r="W266" i="4"/>
  <c r="X266" i="4"/>
  <c r="J263" i="4"/>
  <c r="B272" i="4"/>
  <c r="C272" i="4"/>
  <c r="D272" i="4"/>
  <c r="E272" i="4"/>
  <c r="F272" i="4"/>
  <c r="G272" i="4"/>
  <c r="H272" i="4"/>
  <c r="I272" i="4"/>
  <c r="J272" i="4"/>
  <c r="K272" i="4"/>
  <c r="L272" i="4"/>
  <c r="M272" i="4"/>
  <c r="N272" i="4"/>
  <c r="O272" i="4"/>
  <c r="P272" i="4"/>
  <c r="Q272" i="4"/>
  <c r="R272" i="4"/>
  <c r="S272" i="4"/>
  <c r="T272" i="4"/>
  <c r="U272" i="4"/>
  <c r="V272" i="4"/>
  <c r="W272" i="4"/>
  <c r="X272" i="4"/>
  <c r="J269" i="4"/>
  <c r="B277" i="4"/>
  <c r="C277" i="4"/>
  <c r="D277" i="4"/>
  <c r="E277" i="4"/>
  <c r="F277" i="4"/>
  <c r="G277" i="4"/>
  <c r="H277" i="4"/>
  <c r="I277" i="4"/>
  <c r="J277" i="4"/>
  <c r="K277" i="4"/>
  <c r="L277" i="4"/>
  <c r="M277" i="4"/>
  <c r="N277" i="4"/>
  <c r="O277" i="4"/>
  <c r="P277" i="4"/>
  <c r="Q277" i="4"/>
  <c r="R277" i="4"/>
  <c r="S277" i="4"/>
  <c r="T277" i="4"/>
  <c r="U277" i="4"/>
  <c r="V277" i="4"/>
  <c r="W277" i="4"/>
  <c r="X277" i="4"/>
  <c r="J274" i="4"/>
  <c r="B282" i="4"/>
  <c r="C282" i="4"/>
  <c r="D282" i="4"/>
  <c r="E282" i="4"/>
  <c r="F282" i="4"/>
  <c r="G282" i="4"/>
  <c r="H282" i="4"/>
  <c r="I282" i="4"/>
  <c r="J282" i="4"/>
  <c r="K282" i="4"/>
  <c r="L282" i="4"/>
  <c r="M282" i="4"/>
  <c r="N282" i="4"/>
  <c r="O282" i="4"/>
  <c r="P282" i="4"/>
  <c r="Q282" i="4"/>
  <c r="R282" i="4"/>
  <c r="S282" i="4"/>
  <c r="T282" i="4"/>
  <c r="U282" i="4"/>
  <c r="V282" i="4"/>
  <c r="W282" i="4"/>
  <c r="X282" i="4"/>
  <c r="J279" i="4"/>
  <c r="B287" i="4"/>
  <c r="C287" i="4"/>
  <c r="D287" i="4"/>
  <c r="E287" i="4"/>
  <c r="F287" i="4"/>
  <c r="G287" i="4"/>
  <c r="H287" i="4"/>
  <c r="I287" i="4"/>
  <c r="J287" i="4"/>
  <c r="K287" i="4"/>
  <c r="L287" i="4"/>
  <c r="M287" i="4"/>
  <c r="N287" i="4"/>
  <c r="O287" i="4"/>
  <c r="P287" i="4"/>
  <c r="Q287" i="4"/>
  <c r="R287" i="4"/>
  <c r="S287" i="4"/>
  <c r="T287" i="4"/>
  <c r="U287" i="4"/>
  <c r="V287" i="4"/>
  <c r="W287" i="4"/>
  <c r="X287" i="4"/>
  <c r="J284" i="4"/>
  <c r="B292" i="4"/>
  <c r="C292" i="4"/>
  <c r="D292" i="4"/>
  <c r="E292" i="4"/>
  <c r="F292" i="4"/>
  <c r="G292" i="4"/>
  <c r="H292" i="4"/>
  <c r="I292" i="4"/>
  <c r="J292" i="4"/>
  <c r="K292" i="4"/>
  <c r="L292" i="4"/>
  <c r="M292" i="4"/>
  <c r="N292" i="4"/>
  <c r="O292" i="4"/>
  <c r="P292" i="4"/>
  <c r="Q292" i="4"/>
  <c r="R292" i="4"/>
  <c r="S292" i="4"/>
  <c r="T292" i="4"/>
  <c r="U292" i="4"/>
  <c r="V292" i="4"/>
  <c r="W292" i="4"/>
  <c r="X292" i="4"/>
  <c r="J289" i="4"/>
  <c r="B297" i="4"/>
  <c r="C297" i="4"/>
  <c r="D297" i="4"/>
  <c r="E297" i="4"/>
  <c r="F297" i="4"/>
  <c r="G297" i="4"/>
  <c r="H297" i="4"/>
  <c r="I297" i="4"/>
  <c r="J297" i="4"/>
  <c r="K297" i="4"/>
  <c r="L297" i="4"/>
  <c r="M297" i="4"/>
  <c r="N297" i="4"/>
  <c r="O297" i="4"/>
  <c r="P297" i="4"/>
  <c r="Q297" i="4"/>
  <c r="R297" i="4"/>
  <c r="S297" i="4"/>
  <c r="T297" i="4"/>
  <c r="U297" i="4"/>
  <c r="V297" i="4"/>
  <c r="W297" i="4"/>
  <c r="X297" i="4"/>
  <c r="J294" i="4"/>
  <c r="B302" i="4"/>
  <c r="C302" i="4"/>
  <c r="D302" i="4"/>
  <c r="E302" i="4"/>
  <c r="F302" i="4"/>
  <c r="G302" i="4"/>
  <c r="H302" i="4"/>
  <c r="I302" i="4"/>
  <c r="J302" i="4"/>
  <c r="K302" i="4"/>
  <c r="L302" i="4"/>
  <c r="M302" i="4"/>
  <c r="N302" i="4"/>
  <c r="O302" i="4"/>
  <c r="P302" i="4"/>
  <c r="Q302" i="4"/>
  <c r="R302" i="4"/>
  <c r="S302" i="4"/>
  <c r="T302" i="4"/>
  <c r="U302" i="4"/>
  <c r="V302" i="4"/>
  <c r="W302" i="4"/>
  <c r="X302" i="4"/>
  <c r="J299" i="4"/>
  <c r="B312" i="4"/>
  <c r="C312" i="4"/>
  <c r="D312" i="4"/>
  <c r="E312" i="4"/>
  <c r="F312" i="4"/>
  <c r="G312" i="4"/>
  <c r="H312" i="4"/>
  <c r="I312" i="4"/>
  <c r="J312" i="4"/>
  <c r="K312" i="4"/>
  <c r="L312" i="4"/>
  <c r="M312" i="4"/>
  <c r="N312" i="4"/>
  <c r="O312" i="4"/>
  <c r="P312" i="4"/>
  <c r="Q312" i="4"/>
  <c r="R312" i="4"/>
  <c r="S312" i="4"/>
  <c r="T312" i="4"/>
  <c r="U312" i="4"/>
  <c r="V312" i="4"/>
  <c r="W312" i="4"/>
  <c r="X312" i="4"/>
  <c r="J309" i="4"/>
  <c r="A316" i="4"/>
  <c r="B26" i="4"/>
  <c r="N26" i="4"/>
  <c r="B31" i="4"/>
  <c r="N31" i="4"/>
  <c r="B36" i="4"/>
  <c r="N36" i="4"/>
  <c r="B41" i="4"/>
  <c r="N41" i="4"/>
  <c r="B46" i="4"/>
  <c r="N46" i="4"/>
  <c r="B51" i="4"/>
  <c r="N51" i="4"/>
  <c r="B56" i="4"/>
  <c r="N56" i="4"/>
  <c r="B61" i="4"/>
  <c r="N61" i="4"/>
  <c r="B67" i="4"/>
  <c r="B72" i="4"/>
  <c r="B77" i="4"/>
  <c r="B82" i="4"/>
  <c r="B87" i="4"/>
  <c r="B108" i="4"/>
  <c r="B118" i="4"/>
  <c r="B138" i="4"/>
  <c r="B143" i="4"/>
  <c r="B153" i="4"/>
  <c r="B158" i="4"/>
  <c r="B163" i="4"/>
  <c r="B168" i="4"/>
  <c r="B173" i="4"/>
  <c r="B178" i="4"/>
  <c r="B183" i="4"/>
  <c r="B188" i="4"/>
  <c r="B218" i="4"/>
  <c r="B258" i="4"/>
  <c r="B263" i="4"/>
  <c r="B269" i="4"/>
  <c r="B274" i="4"/>
  <c r="B279" i="4"/>
  <c r="B284" i="4"/>
  <c r="B289" i="4"/>
  <c r="B294" i="4"/>
  <c r="B299" i="4"/>
  <c r="B309" i="4"/>
  <c r="E116" i="7"/>
  <c r="F85" i="7"/>
  <c r="H118" i="7"/>
  <c r="H111" i="7"/>
  <c r="E102" i="7"/>
  <c r="E103" i="7"/>
  <c r="E104" i="7"/>
  <c r="E100" i="7"/>
  <c r="H105" i="7"/>
  <c r="J105" i="7"/>
  <c r="J101" i="7"/>
  <c r="J97" i="7"/>
  <c r="F97" i="7"/>
  <c r="J92" i="7"/>
  <c r="J88" i="7"/>
  <c r="J86" i="7"/>
  <c r="J84" i="7"/>
  <c r="F90" i="7"/>
  <c r="F82" i="7"/>
  <c r="D85" i="7"/>
  <c r="D83" i="7"/>
  <c r="D81" i="7"/>
  <c r="D80" i="7"/>
  <c r="B20" i="6"/>
  <c r="F321" i="4"/>
  <c r="F320" i="4"/>
  <c r="C21" i="5"/>
  <c r="C20" i="5"/>
  <c r="C26" i="5"/>
  <c r="C22" i="5"/>
  <c r="C17" i="5"/>
  <c r="C19" i="5"/>
  <c r="C16" i="5"/>
  <c r="C15" i="5"/>
  <c r="L2" i="6"/>
  <c r="C317" i="4"/>
  <c r="F317" i="4"/>
  <c r="C318" i="4"/>
  <c r="F318" i="4"/>
  <c r="C319" i="4"/>
  <c r="F319" i="4"/>
  <c r="C320" i="4"/>
  <c r="C321" i="4"/>
  <c r="C322" i="4"/>
  <c r="C323" i="4"/>
  <c r="C324" i="4"/>
  <c r="B146" i="2"/>
  <c r="B37" i="1"/>
  <c r="B37" i="6"/>
  <c r="B16" i="8"/>
  <c r="B76" i="2"/>
  <c r="B12" i="8"/>
  <c r="B108" i="1"/>
  <c r="F42" i="5"/>
  <c r="B73" i="8"/>
  <c r="B80" i="8"/>
  <c r="C5" i="8"/>
  <c r="B78" i="8"/>
  <c r="B76" i="8"/>
  <c r="B75" i="8"/>
  <c r="B11" i="8"/>
  <c r="C4" i="8"/>
  <c r="C17" i="8"/>
  <c r="C15" i="8"/>
  <c r="C13" i="8"/>
  <c r="B13" i="8"/>
  <c r="C9" i="8"/>
  <c r="C8" i="8"/>
  <c r="B8" i="8"/>
  <c r="C7" i="8"/>
  <c r="N37" i="6"/>
  <c r="C53" i="5"/>
  <c r="C55" i="5"/>
  <c r="T18" i="6"/>
  <c r="S17" i="6"/>
  <c r="S19" i="6"/>
  <c r="S18" i="6"/>
  <c r="S13" i="6"/>
  <c r="S14" i="6"/>
  <c r="S12" i="6"/>
  <c r="T16" i="6"/>
  <c r="T11" i="6"/>
  <c r="L39" i="6"/>
  <c r="B94" i="1"/>
  <c r="B79" i="2"/>
  <c r="H64" i="7"/>
  <c r="H63" i="7" s="1"/>
  <c r="E59" i="7"/>
  <c r="E55" i="7"/>
  <c r="H52" i="7"/>
  <c r="E45" i="7"/>
  <c r="D45" i="7"/>
  <c r="E44" i="7"/>
  <c r="D44" i="7"/>
  <c r="E46" i="7"/>
  <c r="D46" i="7"/>
  <c r="E43" i="7"/>
  <c r="D43" i="7"/>
  <c r="E41" i="7"/>
  <c r="E50" i="7"/>
  <c r="E48" i="7"/>
  <c r="E47" i="7"/>
  <c r="H50" i="7"/>
  <c r="E51" i="7"/>
  <c r="C31" i="7"/>
  <c r="C5" i="5"/>
  <c r="C6" i="5"/>
  <c r="C7" i="5"/>
  <c r="C8" i="5"/>
  <c r="C10" i="5"/>
  <c r="C11" i="5"/>
  <c r="C12" i="5"/>
  <c r="C13" i="5"/>
  <c r="C23" i="5"/>
  <c r="C25" i="5"/>
  <c r="C28" i="5"/>
  <c r="C33" i="5"/>
  <c r="F34" i="5"/>
  <c r="F35" i="5"/>
  <c r="F36" i="5"/>
  <c r="F37" i="5"/>
  <c r="F38" i="5"/>
  <c r="F39" i="5"/>
  <c r="F40" i="5"/>
  <c r="C54" i="5"/>
  <c r="A1" i="4"/>
  <c r="A3" i="4"/>
  <c r="A4" i="4"/>
  <c r="B77" i="2"/>
  <c r="B78" i="2"/>
  <c r="B131" i="2"/>
  <c r="B133" i="2"/>
  <c r="B134" i="2"/>
  <c r="B135" i="2"/>
  <c r="B137" i="2"/>
  <c r="B138" i="2"/>
  <c r="B140" i="2"/>
  <c r="B141" i="2"/>
  <c r="B144" i="2"/>
  <c r="C4" i="1"/>
  <c r="C6" i="1"/>
  <c r="C7" i="1"/>
  <c r="C24" i="1" s="1"/>
  <c r="B8" i="1"/>
  <c r="C8" i="1"/>
  <c r="C9" i="1"/>
  <c r="B11" i="1"/>
  <c r="B12" i="1"/>
  <c r="C12" i="1"/>
  <c r="C14" i="1"/>
  <c r="C18" i="1"/>
  <c r="B19" i="1"/>
  <c r="B20" i="1"/>
  <c r="C23" i="1"/>
  <c r="G23" i="1"/>
  <c r="H23" i="1"/>
  <c r="J23" i="1"/>
  <c r="K23" i="1"/>
  <c r="F24" i="1"/>
  <c r="B25" i="1"/>
  <c r="F25" i="1"/>
  <c r="B27" i="1"/>
  <c r="F26" i="1"/>
  <c r="H26" i="1"/>
  <c r="F28" i="1"/>
  <c r="B31" i="1"/>
  <c r="F29" i="1"/>
  <c r="B32" i="1"/>
  <c r="B33" i="1"/>
  <c r="H33" i="1"/>
  <c r="B34" i="1"/>
  <c r="F34" i="1"/>
  <c r="B35" i="1"/>
  <c r="F35" i="1"/>
  <c r="F36" i="1"/>
  <c r="A40" i="1"/>
  <c r="F40" i="1"/>
  <c r="H40" i="1"/>
  <c r="J40" i="1"/>
  <c r="K40" i="1"/>
  <c r="F42" i="1"/>
  <c r="M42" i="1"/>
  <c r="F43" i="1"/>
  <c r="F44" i="1"/>
  <c r="F45" i="1"/>
  <c r="F47" i="1"/>
  <c r="F48" i="1"/>
  <c r="F49" i="1"/>
  <c r="L49" i="1"/>
  <c r="F50" i="1"/>
  <c r="H50" i="1"/>
  <c r="F51" i="1"/>
  <c r="I51" i="1"/>
  <c r="L51" i="1"/>
  <c r="M51" i="1"/>
  <c r="B103" i="1"/>
  <c r="B110" i="1"/>
  <c r="B111" i="1"/>
  <c r="B112" i="1"/>
  <c r="B113" i="1"/>
  <c r="B114" i="1"/>
  <c r="B118" i="1"/>
  <c r="C143" i="1"/>
  <c r="C145" i="1"/>
  <c r="C147" i="1"/>
  <c r="B149" i="1"/>
  <c r="C4" i="6"/>
  <c r="C6" i="6"/>
  <c r="L6" i="6"/>
  <c r="C7" i="6"/>
  <c r="L7" i="6"/>
  <c r="B8" i="6"/>
  <c r="L8" i="6"/>
  <c r="L9" i="6"/>
  <c r="B12" i="6"/>
  <c r="M11" i="6"/>
  <c r="N11" i="6"/>
  <c r="P11" i="6"/>
  <c r="B13" i="6"/>
  <c r="L12" i="6"/>
  <c r="B14" i="6"/>
  <c r="L13" i="6"/>
  <c r="B15" i="6"/>
  <c r="L14" i="6"/>
  <c r="L15" i="6"/>
  <c r="C17" i="6"/>
  <c r="B19" i="6"/>
  <c r="L18" i="6"/>
  <c r="L19" i="6"/>
  <c r="C21" i="6"/>
  <c r="L20" i="6"/>
  <c r="B22" i="6"/>
  <c r="L21" i="6"/>
  <c r="B23" i="6"/>
  <c r="L22" i="6"/>
  <c r="B24" i="6"/>
  <c r="D26" i="6"/>
  <c r="F26" i="6"/>
  <c r="H26" i="6"/>
  <c r="E27" i="6"/>
  <c r="F28" i="6"/>
  <c r="F29" i="6"/>
  <c r="F30" i="6"/>
  <c r="E31" i="6"/>
  <c r="E32" i="6"/>
  <c r="D36" i="6"/>
  <c r="B92" i="6"/>
  <c r="B97" i="6"/>
  <c r="B103" i="6"/>
  <c r="B104" i="6"/>
  <c r="B105" i="6"/>
  <c r="B107" i="6"/>
  <c r="B108" i="6"/>
  <c r="B109" i="6"/>
  <c r="B114" i="6"/>
  <c r="B115" i="6"/>
  <c r="B117" i="6"/>
  <c r="B118" i="6"/>
  <c r="B119" i="6"/>
  <c r="B121" i="6"/>
  <c r="C124" i="6"/>
  <c r="E124" i="6"/>
  <c r="C125" i="6"/>
  <c r="C126" i="6" s="1"/>
  <c r="C127" i="6" s="1"/>
  <c r="C128" i="6" s="1"/>
  <c r="C129" i="6" s="1"/>
  <c r="D125" i="6"/>
  <c r="E125" i="6" s="1"/>
  <c r="C130" i="6"/>
  <c r="C131" i="6"/>
  <c r="E131" i="6"/>
  <c r="B137" i="6"/>
  <c r="B140" i="6"/>
  <c r="B143" i="6"/>
  <c r="B146" i="6"/>
  <c r="B155" i="6"/>
  <c r="E175" i="6"/>
  <c r="C176" i="6"/>
  <c r="F176" i="6"/>
  <c r="G176" i="6"/>
  <c r="D176" i="6" s="1"/>
  <c r="E176" i="6" s="1"/>
  <c r="H176" i="6"/>
  <c r="C177" i="6"/>
  <c r="F177" i="6"/>
  <c r="G177" i="6"/>
  <c r="D177" i="6" s="1"/>
  <c r="E177" i="6" s="1"/>
  <c r="H177" i="6"/>
  <c r="C178" i="6"/>
  <c r="F178" i="6"/>
  <c r="G178" i="6"/>
  <c r="H178" i="6"/>
  <c r="C179" i="6"/>
  <c r="F179" i="6"/>
  <c r="G179" i="6"/>
  <c r="D179" i="6" s="1"/>
  <c r="E179" i="6" s="1"/>
  <c r="H179" i="6"/>
  <c r="C180" i="6"/>
  <c r="D180" i="6"/>
  <c r="E180" i="6" s="1"/>
  <c r="F180" i="6"/>
  <c r="G180" i="6"/>
  <c r="H180" i="6"/>
  <c r="U120" i="4"/>
  <c r="T121" i="4" s="1"/>
  <c r="U85" i="4"/>
  <c r="O85" i="4"/>
  <c r="R216" i="4"/>
  <c r="V115" i="4"/>
  <c r="J87" i="4"/>
  <c r="S90" i="4"/>
  <c r="Q90" i="4"/>
  <c r="K90" i="4"/>
  <c r="I90" i="4"/>
  <c r="G90" i="4"/>
  <c r="T214" i="4"/>
  <c r="U214" i="4" s="1"/>
  <c r="V214" i="4" s="1"/>
  <c r="W214" i="4" s="1"/>
  <c r="D269" i="4"/>
  <c r="F269" i="4" s="1"/>
  <c r="X85" i="4"/>
  <c r="T85" i="4"/>
  <c r="R85" i="4"/>
  <c r="J85" i="4"/>
  <c r="D85" i="4"/>
  <c r="L90" i="4"/>
  <c r="D36" i="4"/>
  <c r="F36" i="4" s="1"/>
  <c r="D31" i="4"/>
  <c r="F31" i="4" s="1"/>
  <c r="U165" i="4"/>
  <c r="T166" i="4" s="1"/>
  <c r="R201" i="4"/>
  <c r="K196" i="4"/>
  <c r="T211" i="4"/>
  <c r="S226" i="4"/>
  <c r="S251" i="4"/>
  <c r="L246" i="4"/>
  <c r="K246" i="4"/>
  <c r="R251" i="4"/>
  <c r="U116" i="4"/>
  <c r="W115" i="4"/>
  <c r="X115" i="4" s="1"/>
  <c r="V116" i="4"/>
  <c r="U211" i="4"/>
  <c r="M246" i="4"/>
  <c r="V250" i="4"/>
  <c r="T251" i="4"/>
  <c r="V211" i="4"/>
  <c r="N246" i="4"/>
  <c r="X245" i="4"/>
  <c r="W211" i="4"/>
  <c r="X211" i="4"/>
  <c r="O246" i="4"/>
  <c r="P246" i="4"/>
  <c r="Q246" i="4"/>
  <c r="R246" i="4"/>
  <c r="S246" i="4"/>
  <c r="T246" i="4"/>
  <c r="U246" i="4"/>
  <c r="X244" i="4"/>
  <c r="V246" i="4"/>
  <c r="W130" i="4"/>
  <c r="V131" i="4" s="1"/>
  <c r="U125" i="4"/>
  <c r="V125" i="4" s="1"/>
  <c r="R241" i="4"/>
  <c r="P14" i="6"/>
  <c r="E11" i="7" s="1"/>
  <c r="C133" i="6"/>
  <c r="D161" i="6"/>
  <c r="E161" i="6" s="1"/>
  <c r="D158" i="6"/>
  <c r="E158" i="6" s="1"/>
  <c r="D162" i="6"/>
  <c r="E162" i="6" s="1"/>
  <c r="D160" i="6"/>
  <c r="E160" i="6" s="1"/>
  <c r="D159" i="6"/>
  <c r="E159" i="6" s="1"/>
  <c r="S206" i="4"/>
  <c r="R206" i="4"/>
  <c r="T206" i="4"/>
  <c r="U206" i="4"/>
  <c r="X205" i="4"/>
  <c r="W206" i="4" s="1"/>
  <c r="V206" i="4"/>
  <c r="X100" i="4"/>
  <c r="L105" i="4"/>
  <c r="C105" i="4"/>
  <c r="K105" i="4"/>
  <c r="O105" i="4"/>
  <c r="S100" i="4"/>
  <c r="U100" i="4"/>
  <c r="H100" i="4"/>
  <c r="Q100" i="4"/>
  <c r="Q105" i="4"/>
  <c r="I38" i="7" l="1"/>
  <c r="B81" i="8"/>
  <c r="L4" i="3"/>
  <c r="H4" i="3"/>
  <c r="E8" i="7"/>
  <c r="C198" i="6"/>
  <c r="C197" i="6"/>
  <c r="B197" i="6" s="1"/>
  <c r="C182" i="6"/>
  <c r="E188" i="6"/>
  <c r="B189" i="6"/>
  <c r="C184" i="6"/>
  <c r="E192" i="6"/>
  <c r="D284" i="4"/>
  <c r="F284" i="4" s="1"/>
  <c r="N194" i="4"/>
  <c r="L196" i="4"/>
  <c r="C90" i="4"/>
  <c r="D67" i="4"/>
  <c r="F67" i="4" s="1"/>
  <c r="D46" i="4"/>
  <c r="F46" i="4" s="1"/>
  <c r="W90" i="4"/>
  <c r="D168" i="4"/>
  <c r="F168" i="4" s="1"/>
  <c r="J82" i="4"/>
  <c r="J105" i="4"/>
  <c r="N90" i="4"/>
  <c r="H69" i="7"/>
  <c r="G100" i="4"/>
  <c r="X246" i="4"/>
  <c r="S191" i="4"/>
  <c r="U251" i="4"/>
  <c r="V120" i="4"/>
  <c r="W120" i="4" s="1"/>
  <c r="X120" i="4" s="1"/>
  <c r="G85" i="4"/>
  <c r="T90" i="4"/>
  <c r="C136" i="6"/>
  <c r="V165" i="4"/>
  <c r="U166" i="4" s="1"/>
  <c r="D143" i="4"/>
  <c r="F143" i="4" s="1"/>
  <c r="Q85" i="4"/>
  <c r="T234" i="4"/>
  <c r="U234" i="4" s="1"/>
  <c r="V234" i="4" s="1"/>
  <c r="W234" i="4" s="1"/>
  <c r="L100" i="4"/>
  <c r="P105" i="4"/>
  <c r="R105" i="4"/>
  <c r="N85" i="4"/>
  <c r="S105" i="4"/>
  <c r="D274" i="4"/>
  <c r="F274" i="4" s="1"/>
  <c r="D218" i="4"/>
  <c r="F218" i="4" s="1"/>
  <c r="M20" i="6"/>
  <c r="K85" i="4"/>
  <c r="X105" i="4"/>
  <c r="B79" i="8"/>
  <c r="C148" i="6"/>
  <c r="D178" i="4"/>
  <c r="F178" i="4" s="1"/>
  <c r="P90" i="4"/>
  <c r="I85" i="4"/>
  <c r="T126" i="4"/>
  <c r="V100" i="4"/>
  <c r="D279" i="4"/>
  <c r="F279" i="4" s="1"/>
  <c r="D258" i="4"/>
  <c r="F258" i="4" s="1"/>
  <c r="M90" i="4"/>
  <c r="D61" i="4"/>
  <c r="F61" i="4" s="1"/>
  <c r="D41" i="4"/>
  <c r="F41" i="4" s="1"/>
  <c r="D158" i="4"/>
  <c r="F158" i="4" s="1"/>
  <c r="H90" i="4"/>
  <c r="B105" i="4"/>
  <c r="U256" i="4"/>
  <c r="E90" i="4"/>
  <c r="B100" i="4"/>
  <c r="D26" i="4"/>
  <c r="F26" i="4" s="1"/>
  <c r="E185" i="6"/>
  <c r="W116" i="4"/>
  <c r="X116" i="4"/>
  <c r="U239" i="4"/>
  <c r="V239" i="4" s="1"/>
  <c r="W239" i="4" s="1"/>
  <c r="X239" i="4" s="1"/>
  <c r="S241" i="4"/>
  <c r="U126" i="4"/>
  <c r="W125" i="4"/>
  <c r="S216" i="4"/>
  <c r="U215" i="4"/>
  <c r="T216" i="4" s="1"/>
  <c r="D309" i="4"/>
  <c r="F309" i="4" s="1"/>
  <c r="D299" i="4"/>
  <c r="F299" i="4" s="1"/>
  <c r="D294" i="4"/>
  <c r="F294" i="4" s="1"/>
  <c r="D208" i="4"/>
  <c r="F208" i="4" s="1"/>
  <c r="B90" i="4"/>
  <c r="U121" i="4"/>
  <c r="U110" i="4"/>
  <c r="J97" i="4"/>
  <c r="F100" i="4"/>
  <c r="N100" i="4"/>
  <c r="T100" i="4"/>
  <c r="V105" i="4"/>
  <c r="T241" i="4"/>
  <c r="C100" i="4"/>
  <c r="W100" i="4"/>
  <c r="H105" i="4"/>
  <c r="U105" i="4"/>
  <c r="D126" i="6"/>
  <c r="W250" i="4"/>
  <c r="X250" i="4" s="1"/>
  <c r="X251" i="4" s="1"/>
  <c r="D289" i="4"/>
  <c r="F289" i="4" s="1"/>
  <c r="X130" i="4"/>
  <c r="W246" i="4"/>
  <c r="C85" i="4"/>
  <c r="B199" i="6"/>
  <c r="D100" i="4"/>
  <c r="J102" i="4"/>
  <c r="F105" i="4"/>
  <c r="M105" i="4"/>
  <c r="E186" i="6"/>
  <c r="E187" i="6"/>
  <c r="J24" i="7"/>
  <c r="D304" i="4"/>
  <c r="F304" i="4" s="1"/>
  <c r="U200" i="4"/>
  <c r="S201" i="4"/>
  <c r="T191" i="4"/>
  <c r="V190" i="4"/>
  <c r="T226" i="4"/>
  <c r="V225" i="4"/>
  <c r="X255" i="4"/>
  <c r="V256" i="4"/>
  <c r="X240" i="4"/>
  <c r="V241" i="4"/>
  <c r="U235" i="4"/>
  <c r="S236" i="4"/>
  <c r="D113" i="4"/>
  <c r="F113" i="4" s="1"/>
  <c r="K100" i="4"/>
  <c r="M100" i="4"/>
  <c r="O100" i="4"/>
  <c r="D105" i="4"/>
  <c r="W105" i="4"/>
  <c r="I100" i="4"/>
  <c r="X206" i="4"/>
  <c r="D203" i="4" s="1"/>
  <c r="F203" i="4" s="1"/>
  <c r="B2" i="4"/>
  <c r="M24" i="6"/>
  <c r="K24" i="7"/>
  <c r="F94" i="7"/>
  <c r="M23" i="6"/>
  <c r="B59" i="8"/>
  <c r="C59" i="8" s="1"/>
  <c r="C15" i="1"/>
  <c r="H51" i="7" s="1"/>
  <c r="B61" i="8"/>
  <c r="C61" i="8" s="1"/>
  <c r="D178" i="6"/>
  <c r="E178" i="6" s="1"/>
  <c r="E56" i="7"/>
  <c r="B63" i="8"/>
  <c r="C63" i="8" s="1"/>
  <c r="E40" i="7"/>
  <c r="O23" i="6"/>
  <c r="O24" i="6"/>
  <c r="B55" i="8"/>
  <c r="C55" i="8" s="1"/>
  <c r="B65" i="8"/>
  <c r="C65" i="8" s="1"/>
  <c r="B69" i="8"/>
  <c r="C69" i="8" s="1"/>
  <c r="B64" i="8"/>
  <c r="C64" i="8" s="1"/>
  <c r="B67" i="8"/>
  <c r="C67" i="8" s="1"/>
  <c r="H27" i="6"/>
  <c r="H45" i="7" s="1"/>
  <c r="C16" i="8"/>
  <c r="B68" i="8"/>
  <c r="C68" i="8" s="1"/>
  <c r="B56" i="8"/>
  <c r="C56" i="8" s="1"/>
  <c r="B58" i="8"/>
  <c r="C58" i="8" s="1"/>
  <c r="B62" i="8"/>
  <c r="C62" i="8" s="1"/>
  <c r="O18" i="6"/>
  <c r="O21" i="6"/>
  <c r="B54" i="8"/>
  <c r="C54" i="8" s="1"/>
  <c r="D26" i="7"/>
  <c r="B53" i="8"/>
  <c r="C53" i="8" s="1"/>
  <c r="B60" i="8"/>
  <c r="C60" i="8" s="1"/>
  <c r="B66" i="8"/>
  <c r="C66" i="8" s="1"/>
  <c r="B52" i="8"/>
  <c r="C52" i="8" s="1"/>
  <c r="B57" i="8"/>
  <c r="C57" i="8" s="1"/>
  <c r="T14" i="6"/>
  <c r="C173" i="6"/>
  <c r="C172" i="6"/>
  <c r="C195" i="6"/>
  <c r="A317" i="4" a="1"/>
  <c r="A341" i="4" s="1"/>
  <c r="D148" i="4"/>
  <c r="F148" i="4" s="1"/>
  <c r="E107" i="7"/>
  <c r="H28" i="1"/>
  <c r="H67" i="7"/>
  <c r="H17" i="7"/>
  <c r="B107" i="1"/>
  <c r="E24" i="1"/>
  <c r="B109" i="1"/>
  <c r="H48" i="1"/>
  <c r="B158" i="1"/>
  <c r="B132" i="1"/>
  <c r="G4" i="3"/>
  <c r="C139" i="6"/>
  <c r="C134" i="6"/>
  <c r="C143" i="6"/>
  <c r="C146" i="6"/>
  <c r="AD4" i="3"/>
  <c r="E190" i="6"/>
  <c r="D32" i="1"/>
  <c r="I68" i="7" s="1"/>
  <c r="C11" i="8"/>
  <c r="AE4" i="3"/>
  <c r="T19" i="6"/>
  <c r="C142" i="6"/>
  <c r="C141" i="6"/>
  <c r="C145" i="6"/>
  <c r="I71" i="7"/>
  <c r="H5" i="7"/>
  <c r="B77" i="8"/>
  <c r="C196" i="6"/>
  <c r="B196" i="6" s="1"/>
  <c r="C147" i="6"/>
  <c r="E42" i="7"/>
  <c r="E193" i="6"/>
  <c r="E189" i="6"/>
  <c r="C183" i="6"/>
  <c r="J90" i="7"/>
  <c r="F118" i="7" s="1"/>
  <c r="C132" i="6"/>
  <c r="F27" i="7"/>
  <c r="H41" i="7"/>
  <c r="C137" i="6"/>
  <c r="C135" i="6"/>
  <c r="C138" i="6"/>
  <c r="E33" i="6"/>
  <c r="C144" i="6"/>
  <c r="T17" i="6"/>
  <c r="E14" i="7"/>
  <c r="B201" i="6"/>
  <c r="C201" i="6" s="1"/>
  <c r="B186" i="6"/>
  <c r="B200" i="6"/>
  <c r="C200" i="6" s="1"/>
  <c r="E183" i="6"/>
  <c r="B187" i="6"/>
  <c r="E184" i="6"/>
  <c r="B202" i="6"/>
  <c r="Y4" i="4"/>
  <c r="T3" i="4"/>
  <c r="Q3" i="4"/>
  <c r="C163" i="6" l="1"/>
  <c r="C166" i="6"/>
  <c r="C167" i="6"/>
  <c r="E4" i="7"/>
  <c r="V215" i="4"/>
  <c r="W215" i="4" s="1"/>
  <c r="V121" i="4"/>
  <c r="U241" i="4"/>
  <c r="D82" i="4"/>
  <c r="F82" i="4" s="1"/>
  <c r="D97" i="4"/>
  <c r="F97" i="4" s="1"/>
  <c r="D243" i="4"/>
  <c r="F243" i="4" s="1"/>
  <c r="W251" i="4"/>
  <c r="W165" i="4"/>
  <c r="D87" i="4"/>
  <c r="F87" i="4" s="1"/>
  <c r="O194" i="4"/>
  <c r="M196" i="4"/>
  <c r="V166" i="4"/>
  <c r="X165" i="4"/>
  <c r="V126" i="4"/>
  <c r="X125" i="4"/>
  <c r="V251" i="4"/>
  <c r="D248" i="4" s="1"/>
  <c r="F248" i="4" s="1"/>
  <c r="X131" i="4"/>
  <c r="W131" i="4"/>
  <c r="D128" i="4" s="1"/>
  <c r="V110" i="4"/>
  <c r="T111" i="4"/>
  <c r="D102" i="4"/>
  <c r="F102" i="4" s="1"/>
  <c r="E126" i="6"/>
  <c r="D127" i="6"/>
  <c r="W121" i="4"/>
  <c r="X121" i="4"/>
  <c r="W225" i="4"/>
  <c r="U226" i="4"/>
  <c r="X256" i="4"/>
  <c r="W256" i="4"/>
  <c r="D253" i="4" s="1"/>
  <c r="T201" i="4"/>
  <c r="V200" i="4"/>
  <c r="T236" i="4"/>
  <c r="V235" i="4"/>
  <c r="X241" i="4"/>
  <c r="W241" i="4"/>
  <c r="U191" i="4"/>
  <c r="W190" i="4"/>
  <c r="D157" i="6"/>
  <c r="D137" i="6"/>
  <c r="W4" i="3"/>
  <c r="D139" i="6"/>
  <c r="D133" i="6"/>
  <c r="E133" i="6" s="1"/>
  <c r="D156" i="6"/>
  <c r="D135" i="6"/>
  <c r="E135" i="6" s="1"/>
  <c r="E52" i="7"/>
  <c r="D140" i="6"/>
  <c r="E30" i="6"/>
  <c r="E34" i="6"/>
  <c r="D138" i="6"/>
  <c r="D145" i="6"/>
  <c r="D148" i="6"/>
  <c r="D143" i="6"/>
  <c r="D141" i="6"/>
  <c r="D134" i="6"/>
  <c r="E134" i="6" s="1"/>
  <c r="O20" i="6"/>
  <c r="I28" i="6" s="1"/>
  <c r="D136" i="6"/>
  <c r="E136" i="6" s="1"/>
  <c r="D147" i="6"/>
  <c r="E57" i="7"/>
  <c r="D142" i="6"/>
  <c r="D155" i="6"/>
  <c r="D132" i="6"/>
  <c r="E132" i="6" s="1"/>
  <c r="C168" i="6"/>
  <c r="C169" i="6" s="1"/>
  <c r="D168" i="6"/>
  <c r="D169" i="6" s="1"/>
  <c r="D144" i="6"/>
  <c r="E53" i="7"/>
  <c r="D146" i="6"/>
  <c r="S27" i="6"/>
  <c r="H12" i="7"/>
  <c r="I16" i="7"/>
  <c r="K51" i="1"/>
  <c r="R28" i="1"/>
  <c r="A323" i="4"/>
  <c r="A330" i="4"/>
  <c r="A331" i="4"/>
  <c r="A343" i="4"/>
  <c r="A339" i="4"/>
  <c r="A327" i="4"/>
  <c r="A338" i="4"/>
  <c r="A320" i="4"/>
  <c r="A332" i="4"/>
  <c r="A337" i="4"/>
  <c r="A340" i="4"/>
  <c r="A318" i="4"/>
  <c r="A333" i="4"/>
  <c r="A328" i="4"/>
  <c r="A342" i="4"/>
  <c r="A325" i="4"/>
  <c r="A336" i="4"/>
  <c r="A317" i="4"/>
  <c r="A346" i="4"/>
  <c r="A322" i="4"/>
  <c r="A329" i="4"/>
  <c r="A321" i="4"/>
  <c r="A326" i="4"/>
  <c r="A345" i="4"/>
  <c r="A319" i="4"/>
  <c r="A324" i="4"/>
  <c r="A335" i="4"/>
  <c r="A344" i="4"/>
  <c r="A334" i="4"/>
  <c r="D3" i="4"/>
  <c r="W3" i="4"/>
  <c r="V2" i="4"/>
  <c r="P2" i="4"/>
  <c r="V4" i="4"/>
  <c r="F4" i="4"/>
  <c r="V3" i="4"/>
  <c r="M4" i="4"/>
  <c r="B4" i="4"/>
  <c r="W4" i="4"/>
  <c r="C4" i="4"/>
  <c r="D4" i="4"/>
  <c r="X3" i="4"/>
  <c r="R2" i="4"/>
  <c r="S4" i="4"/>
  <c r="X4" i="4"/>
  <c r="R3" i="4"/>
  <c r="I4" i="4"/>
  <c r="I3" i="4"/>
  <c r="Y3" i="4"/>
  <c r="E3" i="4"/>
  <c r="F3" i="4"/>
  <c r="K4" i="4"/>
  <c r="O3" i="4"/>
  <c r="H2" i="4"/>
  <c r="J4" i="4"/>
  <c r="K3" i="4"/>
  <c r="B3" i="4"/>
  <c r="G4" i="4"/>
  <c r="J2" i="4"/>
  <c r="U3" i="4"/>
  <c r="G3" i="4"/>
  <c r="H4" i="4"/>
  <c r="N3" i="4"/>
  <c r="S3" i="4"/>
  <c r="N4" i="4"/>
  <c r="Z2" i="4"/>
  <c r="L3" i="4"/>
  <c r="O4" i="4"/>
  <c r="P3" i="4"/>
  <c r="M3" i="4"/>
  <c r="P4" i="4"/>
  <c r="L2" i="4"/>
  <c r="R4" i="4"/>
  <c r="J3" i="4"/>
  <c r="C3" i="4"/>
  <c r="U4" i="4"/>
  <c r="L4" i="4"/>
  <c r="H3" i="4"/>
  <c r="N2" i="4"/>
  <c r="X2" i="4"/>
  <c r="T2" i="4"/>
  <c r="E4" i="4"/>
  <c r="T4" i="4"/>
  <c r="Q4" i="4"/>
  <c r="D166" i="6" l="1"/>
  <c r="E166" i="6" s="1"/>
  <c r="D167" i="6"/>
  <c r="E167" i="6" s="1"/>
  <c r="D163" i="6"/>
  <c r="E163" i="6" s="1"/>
  <c r="E28" i="6"/>
  <c r="D164" i="6"/>
  <c r="E164" i="6" s="1"/>
  <c r="D165" i="6"/>
  <c r="E165" i="6" s="1"/>
  <c r="A5" i="3"/>
  <c r="B5" i="3" s="1"/>
  <c r="Z5" i="3" s="1"/>
  <c r="N12" i="6"/>
  <c r="N14" i="6"/>
  <c r="I41" i="7" s="1"/>
  <c r="N13" i="6"/>
  <c r="C206" i="6"/>
  <c r="C205" i="6"/>
  <c r="C207" i="6"/>
  <c r="C209" i="6"/>
  <c r="C208" i="6"/>
  <c r="C210" i="6"/>
  <c r="N196" i="4"/>
  <c r="P194" i="4"/>
  <c r="D238" i="4"/>
  <c r="U216" i="4"/>
  <c r="F108" i="1"/>
  <c r="F107" i="1"/>
  <c r="F106" i="1"/>
  <c r="H18" i="7"/>
  <c r="F109" i="1"/>
  <c r="F105" i="1"/>
  <c r="E101" i="7"/>
  <c r="C171" i="6"/>
  <c r="C170" i="6"/>
  <c r="E49" i="7"/>
  <c r="E18" i="7"/>
  <c r="T13" i="6"/>
  <c r="T12" i="6"/>
  <c r="C174" i="6"/>
  <c r="M13" i="6"/>
  <c r="D171" i="6"/>
  <c r="B50" i="8"/>
  <c r="C50" i="8" s="1"/>
  <c r="D174" i="6"/>
  <c r="B45" i="8"/>
  <c r="C45" i="8" s="1"/>
  <c r="B51" i="8"/>
  <c r="C51" i="8" s="1"/>
  <c r="B43" i="8"/>
  <c r="C43" i="8" s="1"/>
  <c r="B44" i="8"/>
  <c r="C44" i="8" s="1"/>
  <c r="B46" i="8"/>
  <c r="C46" i="8" s="1"/>
  <c r="D172" i="6"/>
  <c r="D170" i="6"/>
  <c r="D173" i="6"/>
  <c r="B48" i="8"/>
  <c r="C48" i="8" s="1"/>
  <c r="B49" i="8"/>
  <c r="C49" i="8" s="1"/>
  <c r="B47" i="8"/>
  <c r="C47" i="8" s="1"/>
  <c r="D59" i="8"/>
  <c r="E59" i="8" s="1"/>
  <c r="D68" i="8"/>
  <c r="F68" i="8" s="1"/>
  <c r="I68" i="8" s="1"/>
  <c r="D61" i="8"/>
  <c r="F61" i="8" s="1"/>
  <c r="I61" i="8" s="1"/>
  <c r="D49" i="8"/>
  <c r="E49" i="8" s="1"/>
  <c r="D53" i="8"/>
  <c r="E53" i="8" s="1"/>
  <c r="M14" i="6"/>
  <c r="M12" i="6"/>
  <c r="D54" i="8"/>
  <c r="E54" i="8" s="1"/>
  <c r="H54" i="8" s="1"/>
  <c r="D65" i="8"/>
  <c r="E65" i="8" s="1"/>
  <c r="D66" i="8"/>
  <c r="E66" i="8" s="1"/>
  <c r="H66" i="8" s="1"/>
  <c r="D55" i="8"/>
  <c r="F55" i="8" s="1"/>
  <c r="I55" i="8" s="1"/>
  <c r="D64" i="8"/>
  <c r="E64" i="8" s="1"/>
  <c r="H64" i="8" s="1"/>
  <c r="D44" i="8"/>
  <c r="E44" i="8" s="1"/>
  <c r="D67" i="8"/>
  <c r="E67" i="8" s="1"/>
  <c r="H67" i="8" s="1"/>
  <c r="D58" i="8"/>
  <c r="F58" i="8" s="1"/>
  <c r="I58" i="8" s="1"/>
  <c r="D69" i="8"/>
  <c r="F69" i="8" s="1"/>
  <c r="I69" i="8" s="1"/>
  <c r="D57" i="8"/>
  <c r="E57" i="8" s="1"/>
  <c r="D46" i="8"/>
  <c r="F46" i="8" s="1"/>
  <c r="D62" i="8"/>
  <c r="F62" i="8" s="1"/>
  <c r="I62" i="8" s="1"/>
  <c r="D43" i="8"/>
  <c r="E43" i="8" s="1"/>
  <c r="D50" i="8"/>
  <c r="F50" i="8" s="1"/>
  <c r="D48" i="8"/>
  <c r="F48" i="8" s="1"/>
  <c r="D47" i="8"/>
  <c r="E47" i="8" s="1"/>
  <c r="D45" i="8"/>
  <c r="E45" i="8" s="1"/>
  <c r="D52" i="8"/>
  <c r="F52" i="8" s="1"/>
  <c r="I52" i="8" s="1"/>
  <c r="D63" i="8"/>
  <c r="E63" i="8" s="1"/>
  <c r="H63" i="8" s="1"/>
  <c r="D56" i="8"/>
  <c r="F56" i="8" s="1"/>
  <c r="I56" i="8" s="1"/>
  <c r="D60" i="8"/>
  <c r="E60" i="8" s="1"/>
  <c r="D51" i="8"/>
  <c r="E51" i="8" s="1"/>
  <c r="W166" i="4"/>
  <c r="X166" i="4"/>
  <c r="E127" i="6"/>
  <c r="D128" i="6"/>
  <c r="W110" i="4"/>
  <c r="U111" i="4"/>
  <c r="X126" i="4"/>
  <c r="W126" i="4"/>
  <c r="D123" i="4" s="1"/>
  <c r="D118" i="4"/>
  <c r="F118" i="4" s="1"/>
  <c r="D163" i="4"/>
  <c r="F163" i="4" s="1"/>
  <c r="W235" i="4"/>
  <c r="U236" i="4"/>
  <c r="W200" i="4"/>
  <c r="U201" i="4"/>
  <c r="X215" i="4"/>
  <c r="V216" i="4"/>
  <c r="V226" i="4"/>
  <c r="X225" i="4"/>
  <c r="X190" i="4"/>
  <c r="V191" i="4"/>
  <c r="I31" i="6"/>
  <c r="C154" i="6" s="1"/>
  <c r="E29" i="6"/>
  <c r="C191" i="6"/>
  <c r="D153" i="6"/>
  <c r="C192" i="6"/>
  <c r="C11" i="1" l="1"/>
  <c r="S4" i="3" s="1"/>
  <c r="T4" i="3" s="1"/>
  <c r="U4" i="3" s="1"/>
  <c r="P15" i="6"/>
  <c r="M15" i="6" s="1"/>
  <c r="J42" i="7" s="1"/>
  <c r="E35" i="6"/>
  <c r="O22" i="6" s="1"/>
  <c r="O19" i="6" s="1"/>
  <c r="M22" i="6"/>
  <c r="C164" i="6"/>
  <c r="C165" i="6"/>
  <c r="AC5" i="3"/>
  <c r="P5" i="3"/>
  <c r="Q5" i="3" s="1"/>
  <c r="A6" i="3"/>
  <c r="B6" i="3" s="1"/>
  <c r="AC6" i="3" s="1"/>
  <c r="I50" i="8"/>
  <c r="E50" i="8"/>
  <c r="E110" i="7"/>
  <c r="E48" i="8"/>
  <c r="C25" i="1"/>
  <c r="C32" i="1" s="1"/>
  <c r="K49" i="1" s="1"/>
  <c r="AA5" i="3"/>
  <c r="AD5" i="3"/>
  <c r="F66" i="8"/>
  <c r="I66" i="8" s="1"/>
  <c r="E55" i="8"/>
  <c r="H55" i="8" s="1"/>
  <c r="H65" i="8"/>
  <c r="F65" i="8"/>
  <c r="I65" i="8" s="1"/>
  <c r="F63" i="8"/>
  <c r="I63" i="8" s="1"/>
  <c r="H57" i="8"/>
  <c r="F57" i="8"/>
  <c r="I57" i="8" s="1"/>
  <c r="F64" i="8"/>
  <c r="I64" i="8" s="1"/>
  <c r="F44" i="8"/>
  <c r="I44" i="8" s="1"/>
  <c r="I46" i="8"/>
  <c r="H43" i="8"/>
  <c r="C204" i="6"/>
  <c r="H44" i="8"/>
  <c r="I48" i="8"/>
  <c r="H45" i="8"/>
  <c r="H53" i="8"/>
  <c r="F107" i="7"/>
  <c r="E58" i="7"/>
  <c r="H65" i="7" s="1"/>
  <c r="H60" i="8"/>
  <c r="F53" i="8"/>
  <c r="I53" i="8" s="1"/>
  <c r="H59" i="8"/>
  <c r="J41" i="7"/>
  <c r="E52" i="8"/>
  <c r="H52" i="8" s="1"/>
  <c r="F51" i="8"/>
  <c r="I51" i="8" s="1"/>
  <c r="F67" i="8"/>
  <c r="I67" i="8" s="1"/>
  <c r="E68" i="8"/>
  <c r="H68" i="8" s="1"/>
  <c r="F59" i="8"/>
  <c r="I59" i="8" s="1"/>
  <c r="F49" i="8"/>
  <c r="I49" i="8" s="1"/>
  <c r="E69" i="8"/>
  <c r="H69" i="8" s="1"/>
  <c r="F54" i="8"/>
  <c r="I54" i="8" s="1"/>
  <c r="Q194" i="4"/>
  <c r="O196" i="4"/>
  <c r="H49" i="8"/>
  <c r="C12" i="8"/>
  <c r="E46" i="8"/>
  <c r="H47" i="8"/>
  <c r="H51" i="8"/>
  <c r="F60" i="8"/>
  <c r="I60" i="8" s="1"/>
  <c r="F45" i="8"/>
  <c r="I45" i="8" s="1"/>
  <c r="F43" i="8"/>
  <c r="I43" i="8" s="1"/>
  <c r="E62" i="8"/>
  <c r="H62" i="8" s="1"/>
  <c r="E61" i="8"/>
  <c r="F47" i="8"/>
  <c r="I47" i="8" s="1"/>
  <c r="E56" i="8"/>
  <c r="H56" i="8" s="1"/>
  <c r="E58" i="8"/>
  <c r="V111" i="4"/>
  <c r="X110" i="4"/>
  <c r="E128" i="6"/>
  <c r="D129" i="6"/>
  <c r="X200" i="4"/>
  <c r="V201" i="4"/>
  <c r="W226" i="4"/>
  <c r="X226" i="4"/>
  <c r="X191" i="4"/>
  <c r="W191" i="4"/>
  <c r="W216" i="4"/>
  <c r="X216" i="4"/>
  <c r="V236" i="4"/>
  <c r="X235" i="4"/>
  <c r="C153" i="6"/>
  <c r="C190" i="6" l="1"/>
  <c r="H31" i="6"/>
  <c r="H28" i="6"/>
  <c r="H46" i="7" s="1"/>
  <c r="N15" i="6"/>
  <c r="I42" i="7" s="1"/>
  <c r="H42" i="7"/>
  <c r="E108" i="7"/>
  <c r="D23" i="7"/>
  <c r="M19" i="6"/>
  <c r="AA6" i="3"/>
  <c r="H48" i="8"/>
  <c r="P29" i="1"/>
  <c r="A7" i="3"/>
  <c r="B7" i="3" s="1"/>
  <c r="P7" i="3" s="1"/>
  <c r="Q7" i="3" s="1"/>
  <c r="AD6" i="3"/>
  <c r="P6" i="3"/>
  <c r="Q6" i="3" s="1"/>
  <c r="H71" i="7"/>
  <c r="Z6" i="3"/>
  <c r="H68" i="7"/>
  <c r="H16" i="7"/>
  <c r="P28" i="1"/>
  <c r="H50" i="8"/>
  <c r="C149" i="6"/>
  <c r="H46" i="8"/>
  <c r="D152" i="6"/>
  <c r="H13" i="7"/>
  <c r="H58" i="8"/>
  <c r="R194" i="4"/>
  <c r="P196" i="4"/>
  <c r="F108" i="7"/>
  <c r="D213" i="4"/>
  <c r="F213" i="4" s="1"/>
  <c r="B191" i="6"/>
  <c r="C194" i="6"/>
  <c r="H61" i="8"/>
  <c r="D223" i="4"/>
  <c r="F223" i="4" s="1"/>
  <c r="X111" i="4"/>
  <c r="W111" i="4"/>
  <c r="D108" i="4" s="1"/>
  <c r="D188" i="4"/>
  <c r="F188" i="4" s="1"/>
  <c r="D130" i="6"/>
  <c r="E130" i="6" s="1"/>
  <c r="E129" i="6"/>
  <c r="S28" i="6"/>
  <c r="C193" i="6"/>
  <c r="X236" i="4"/>
  <c r="W236" i="4"/>
  <c r="W201" i="4"/>
  <c r="X201" i="4"/>
  <c r="D198" i="4" s="1"/>
  <c r="D2" i="4"/>
  <c r="H29" i="6" l="1"/>
  <c r="H47" i="7" s="1"/>
  <c r="C155" i="6"/>
  <c r="I29" i="6"/>
  <c r="I47" i="7" s="1"/>
  <c r="C150" i="6"/>
  <c r="B192" i="6"/>
  <c r="B193" i="6"/>
  <c r="H32" i="6"/>
  <c r="I32" i="6"/>
  <c r="C157" i="6"/>
  <c r="C152" i="6"/>
  <c r="C151" i="6"/>
  <c r="G57" i="8"/>
  <c r="G65" i="8"/>
  <c r="G49" i="8"/>
  <c r="G59" i="8"/>
  <c r="G51" i="8"/>
  <c r="G64" i="8"/>
  <c r="G54" i="8"/>
  <c r="G63" i="8"/>
  <c r="G44" i="8"/>
  <c r="G45" i="8"/>
  <c r="G53" i="8"/>
  <c r="G43" i="8"/>
  <c r="G60" i="8"/>
  <c r="G47" i="8"/>
  <c r="G66" i="8"/>
  <c r="G67" i="8"/>
  <c r="G48" i="8"/>
  <c r="K48" i="8" s="1"/>
  <c r="M48" i="8" s="1"/>
  <c r="G52" i="8"/>
  <c r="J52" i="8" s="1"/>
  <c r="G68" i="8"/>
  <c r="J68" i="8" s="1"/>
  <c r="G56" i="8"/>
  <c r="J56" i="8" s="1"/>
  <c r="G50" i="8"/>
  <c r="K50" i="8" s="1"/>
  <c r="G61" i="8"/>
  <c r="K61" i="8" s="1"/>
  <c r="M61" i="8" s="1"/>
  <c r="G46" i="8"/>
  <c r="K46" i="8" s="1"/>
  <c r="M46" i="8" s="1"/>
  <c r="G62" i="8"/>
  <c r="J62" i="8" s="1"/>
  <c r="G58" i="8"/>
  <c r="K58" i="8" s="1"/>
  <c r="M58" i="8" s="1"/>
  <c r="G69" i="8"/>
  <c r="J69" i="8" s="1"/>
  <c r="G55" i="8"/>
  <c r="K55" i="8" s="1"/>
  <c r="M55" i="8" s="1"/>
  <c r="F198" i="4"/>
  <c r="A8" i="3"/>
  <c r="B8" i="3" s="1"/>
  <c r="Z8" i="3" s="1"/>
  <c r="Z7" i="3"/>
  <c r="AD7" i="3"/>
  <c r="AA7" i="3"/>
  <c r="AC7" i="3"/>
  <c r="B190" i="6"/>
  <c r="S194" i="4"/>
  <c r="Q196" i="4"/>
  <c r="F108" i="4"/>
  <c r="D233" i="4"/>
  <c r="F233" i="4" s="1"/>
  <c r="F2" i="4"/>
  <c r="H30" i="6" l="1"/>
  <c r="H48" i="7" s="1"/>
  <c r="B194" i="6"/>
  <c r="H14" i="7"/>
  <c r="S29" i="6"/>
  <c r="I30" i="6"/>
  <c r="I48" i="7" s="1"/>
  <c r="I14" i="7"/>
  <c r="C156" i="6"/>
  <c r="J58" i="8"/>
  <c r="L58" i="8" s="1"/>
  <c r="J61" i="8"/>
  <c r="L61" i="8" s="1"/>
  <c r="J46" i="8"/>
  <c r="L46" i="8" s="1"/>
  <c r="J50" i="8"/>
  <c r="L50" i="8" s="1"/>
  <c r="K62" i="8"/>
  <c r="M62" i="8" s="1"/>
  <c r="K69" i="8"/>
  <c r="M69" i="8" s="1"/>
  <c r="J55" i="8"/>
  <c r="L55" i="8" s="1"/>
  <c r="R5" i="3"/>
  <c r="S5" i="3" s="1"/>
  <c r="T5" i="3" s="1"/>
  <c r="R6" i="3"/>
  <c r="R7" i="3"/>
  <c r="K67" i="8"/>
  <c r="M67" i="8" s="1"/>
  <c r="J67" i="8"/>
  <c r="K43" i="8"/>
  <c r="M43" i="8" s="1"/>
  <c r="J43" i="8"/>
  <c r="J48" i="8"/>
  <c r="L48" i="8" s="1"/>
  <c r="J44" i="8"/>
  <c r="K44" i="8"/>
  <c r="M44" i="8" s="1"/>
  <c r="K54" i="8"/>
  <c r="M54" i="8" s="1"/>
  <c r="J54" i="8"/>
  <c r="K51" i="8"/>
  <c r="M51" i="8" s="1"/>
  <c r="J51" i="8"/>
  <c r="K65" i="8"/>
  <c r="M65" i="8" s="1"/>
  <c r="J65" i="8"/>
  <c r="K66" i="8"/>
  <c r="M66" i="8" s="1"/>
  <c r="J66" i="8"/>
  <c r="J47" i="8"/>
  <c r="K47" i="8"/>
  <c r="M47" i="8" s="1"/>
  <c r="J60" i="8"/>
  <c r="K60" i="8"/>
  <c r="M60" i="8" s="1"/>
  <c r="J53" i="8"/>
  <c r="K53" i="8"/>
  <c r="M53" i="8" s="1"/>
  <c r="K56" i="8"/>
  <c r="M56" i="8" s="1"/>
  <c r="J45" i="8"/>
  <c r="K45" i="8"/>
  <c r="M45" i="8" s="1"/>
  <c r="J63" i="8"/>
  <c r="K63" i="8"/>
  <c r="M63" i="8" s="1"/>
  <c r="K52" i="8"/>
  <c r="M52" i="8" s="1"/>
  <c r="J64" i="8"/>
  <c r="K64" i="8"/>
  <c r="M64" i="8" s="1"/>
  <c r="K68" i="8"/>
  <c r="M68" i="8" s="1"/>
  <c r="J59" i="8"/>
  <c r="K59" i="8"/>
  <c r="K49" i="8"/>
  <c r="M49" i="8" s="1"/>
  <c r="J49" i="8"/>
  <c r="J57" i="8"/>
  <c r="K57" i="8"/>
  <c r="M57" i="8" s="1"/>
  <c r="AC8" i="3"/>
  <c r="A9" i="3"/>
  <c r="B9" i="3" s="1"/>
  <c r="P9" i="3" s="1"/>
  <c r="Q9" i="3" s="1"/>
  <c r="R9" i="3" s="1"/>
  <c r="P8" i="3"/>
  <c r="Q8" i="3" s="1"/>
  <c r="R8" i="3" s="1"/>
  <c r="AD8" i="3"/>
  <c r="AA8" i="3"/>
  <c r="M50" i="8"/>
  <c r="R196" i="4"/>
  <c r="T194" i="4"/>
  <c r="H15" i="7" l="1"/>
  <c r="S30" i="6"/>
  <c r="H33" i="6"/>
  <c r="I15" i="7"/>
  <c r="L49" i="8"/>
  <c r="L65" i="8"/>
  <c r="L67" i="8"/>
  <c r="L51" i="8"/>
  <c r="S6" i="3"/>
  <c r="T6" i="3" s="1"/>
  <c r="L66" i="8"/>
  <c r="L43" i="8"/>
  <c r="L56" i="8"/>
  <c r="L68" i="8"/>
  <c r="L69" i="8"/>
  <c r="L62" i="8"/>
  <c r="L52" i="8"/>
  <c r="L54" i="8"/>
  <c r="L44" i="8"/>
  <c r="L57" i="8"/>
  <c r="L63" i="8"/>
  <c r="L45" i="8"/>
  <c r="L53" i="8"/>
  <c r="L60" i="8"/>
  <c r="L47" i="8"/>
  <c r="L59" i="8"/>
  <c r="M59" i="8"/>
  <c r="L64" i="8"/>
  <c r="AG5" i="3"/>
  <c r="AH5" i="3"/>
  <c r="D5" i="3"/>
  <c r="E5" i="3"/>
  <c r="H5" i="3" s="1"/>
  <c r="K5" i="3" s="1"/>
  <c r="AC9" i="3"/>
  <c r="AA9" i="3"/>
  <c r="AD9" i="3"/>
  <c r="Z9" i="3"/>
  <c r="A10" i="3"/>
  <c r="B10" i="3" s="1"/>
  <c r="A11" i="3" s="1"/>
  <c r="B11" i="3" s="1"/>
  <c r="AC11" i="3" s="1"/>
  <c r="U194" i="4"/>
  <c r="S196" i="4"/>
  <c r="S7" i="3" l="1"/>
  <c r="T7" i="3" s="1"/>
  <c r="V5" i="3"/>
  <c r="AE5" i="3"/>
  <c r="G5" i="3"/>
  <c r="F5" i="3"/>
  <c r="AA10" i="3"/>
  <c r="Z10" i="3"/>
  <c r="AD11" i="3"/>
  <c r="A12" i="3"/>
  <c r="B12" i="3" s="1"/>
  <c r="A13" i="3" s="1"/>
  <c r="B13" i="3" s="1"/>
  <c r="Z11" i="3"/>
  <c r="P11" i="3"/>
  <c r="Q11" i="3" s="1"/>
  <c r="R11" i="3" s="1"/>
  <c r="AA11" i="3"/>
  <c r="AD10" i="3"/>
  <c r="P10" i="3"/>
  <c r="Q10" i="3" s="1"/>
  <c r="R10" i="3" s="1"/>
  <c r="AC10" i="3"/>
  <c r="T196" i="4"/>
  <c r="V194" i="4"/>
  <c r="S8" i="3" l="1"/>
  <c r="T8" i="3" s="1"/>
  <c r="I5" i="3"/>
  <c r="W5" i="3" s="1"/>
  <c r="J5" i="3"/>
  <c r="L5" i="3" s="1"/>
  <c r="M5" i="3"/>
  <c r="N5" i="3" s="1"/>
  <c r="P12" i="3"/>
  <c r="Q12" i="3" s="1"/>
  <c r="R12" i="3" s="1"/>
  <c r="AC12" i="3"/>
  <c r="AA12" i="3"/>
  <c r="AD12" i="3"/>
  <c r="Z12" i="3"/>
  <c r="U196" i="4"/>
  <c r="W194" i="4"/>
  <c r="P13" i="3"/>
  <c r="Q13" i="3" s="1"/>
  <c r="R13" i="3" s="1"/>
  <c r="A14" i="3"/>
  <c r="B14" i="3" s="1"/>
  <c r="AC13" i="3"/>
  <c r="AD13" i="3"/>
  <c r="AA13" i="3"/>
  <c r="Z13" i="3"/>
  <c r="S9" i="3" l="1"/>
  <c r="T9" i="3" s="1"/>
  <c r="U5" i="3"/>
  <c r="D6" i="3" s="1"/>
  <c r="G6" i="3" s="1"/>
  <c r="J6" i="3" s="1"/>
  <c r="AG6" i="3"/>
  <c r="AH6" i="3"/>
  <c r="V196" i="4"/>
  <c r="W196" i="4"/>
  <c r="A15" i="3"/>
  <c r="B15" i="3" s="1"/>
  <c r="P14" i="3"/>
  <c r="Q14" i="3" s="1"/>
  <c r="R14" i="3" s="1"/>
  <c r="AD14" i="3"/>
  <c r="AA14" i="3"/>
  <c r="Z14" i="3"/>
  <c r="AC14" i="3"/>
  <c r="S10" i="3" l="1"/>
  <c r="T10" i="3" s="1"/>
  <c r="E6" i="3"/>
  <c r="H6" i="3" s="1"/>
  <c r="K6" i="3" s="1"/>
  <c r="L6" i="3" s="1"/>
  <c r="D193" i="4"/>
  <c r="AA15" i="3"/>
  <c r="P15" i="3"/>
  <c r="Q15" i="3" s="1"/>
  <c r="R15" i="3" s="1"/>
  <c r="AC15" i="3"/>
  <c r="Z15" i="3"/>
  <c r="AD15" i="3"/>
  <c r="A16" i="3"/>
  <c r="B16" i="3" s="1"/>
  <c r="M6" i="3" l="1"/>
  <c r="N6" i="3" s="1"/>
  <c r="S11" i="3"/>
  <c r="T11" i="3" s="1"/>
  <c r="V6" i="3"/>
  <c r="AE6" i="3"/>
  <c r="F6" i="3"/>
  <c r="I6" i="3"/>
  <c r="F193" i="4"/>
  <c r="AA16" i="3"/>
  <c r="AD16" i="3"/>
  <c r="AC16" i="3"/>
  <c r="P16" i="3"/>
  <c r="Q16" i="3" s="1"/>
  <c r="R16" i="3" s="1"/>
  <c r="Z16" i="3"/>
  <c r="A17" i="3"/>
  <c r="B17" i="3" s="1"/>
  <c r="Y5" i="3"/>
  <c r="U6" i="3" l="1"/>
  <c r="N36" i="1"/>
  <c r="M37" i="6"/>
  <c r="S12" i="3"/>
  <c r="S13" i="3" s="1"/>
  <c r="W6" i="3"/>
  <c r="P17" i="3"/>
  <c r="Q17" i="3" s="1"/>
  <c r="R17" i="3" s="1"/>
  <c r="A18" i="3"/>
  <c r="B18" i="3" s="1"/>
  <c r="AC17" i="3"/>
  <c r="Z17" i="3"/>
  <c r="AD17" i="3"/>
  <c r="AA17" i="3"/>
  <c r="E7" i="3" l="1"/>
  <c r="H7" i="3" s="1"/>
  <c r="K7" i="3" s="1"/>
  <c r="T12" i="3"/>
  <c r="AH7" i="3"/>
  <c r="AG7" i="3"/>
  <c r="D7" i="3"/>
  <c r="G7" i="3" s="1"/>
  <c r="M7" i="3" s="1"/>
  <c r="N7" i="3" s="1"/>
  <c r="S14" i="3"/>
  <c r="T13" i="3"/>
  <c r="AA18" i="3"/>
  <c r="P18" i="3"/>
  <c r="Q18" i="3" s="1"/>
  <c r="R18" i="3" s="1"/>
  <c r="AC18" i="3"/>
  <c r="A19" i="3"/>
  <c r="B19" i="3" s="1"/>
  <c r="AD18" i="3"/>
  <c r="Z18" i="3"/>
  <c r="J7" i="3" l="1"/>
  <c r="L7" i="3" s="1"/>
  <c r="I7" i="3"/>
  <c r="F7" i="3"/>
  <c r="S15" i="3"/>
  <c r="T14" i="3"/>
  <c r="P19" i="3"/>
  <c r="Q19" i="3" s="1"/>
  <c r="R19" i="3" s="1"/>
  <c r="A20" i="3"/>
  <c r="B20" i="3" s="1"/>
  <c r="Z19" i="3"/>
  <c r="AD19" i="3"/>
  <c r="AA19" i="3"/>
  <c r="AC19" i="3"/>
  <c r="V7" i="3"/>
  <c r="AE7" i="3"/>
  <c r="W7" i="3" l="1"/>
  <c r="AH8" i="3" s="1"/>
  <c r="T15" i="3"/>
  <c r="S16" i="3"/>
  <c r="U7" i="3"/>
  <c r="Y6" i="3"/>
  <c r="P20" i="3"/>
  <c r="Q20" i="3" s="1"/>
  <c r="R20" i="3" s="1"/>
  <c r="A21" i="3"/>
  <c r="B21" i="3" s="1"/>
  <c r="AA20" i="3"/>
  <c r="Z20" i="3"/>
  <c r="AD20" i="3"/>
  <c r="AC20" i="3"/>
  <c r="AG8" i="3" l="1"/>
  <c r="D8" i="3"/>
  <c r="G8" i="3" s="1"/>
  <c r="T16" i="3"/>
  <c r="S17" i="3"/>
  <c r="E8" i="3"/>
  <c r="H8" i="3" s="1"/>
  <c r="K8" i="3" s="1"/>
  <c r="AD21" i="3"/>
  <c r="P21" i="3"/>
  <c r="Q21" i="3" s="1"/>
  <c r="R21" i="3" s="1"/>
  <c r="AC21" i="3"/>
  <c r="AA21" i="3"/>
  <c r="Z21" i="3"/>
  <c r="A22" i="3"/>
  <c r="B22" i="3" s="1"/>
  <c r="T17" i="3" l="1"/>
  <c r="S18" i="3"/>
  <c r="F8" i="3"/>
  <c r="AC22" i="3"/>
  <c r="A23" i="3"/>
  <c r="B23" i="3" s="1"/>
  <c r="AD22" i="3"/>
  <c r="AA22" i="3"/>
  <c r="Z22" i="3"/>
  <c r="P22" i="3"/>
  <c r="Q22" i="3" s="1"/>
  <c r="R22" i="3" s="1"/>
  <c r="I8" i="3"/>
  <c r="J8" i="3"/>
  <c r="M8" i="3"/>
  <c r="N8" i="3" s="1"/>
  <c r="V8" i="3"/>
  <c r="AE8" i="3"/>
  <c r="S19" i="3" l="1"/>
  <c r="T18" i="3"/>
  <c r="W8" i="3"/>
  <c r="A24" i="3"/>
  <c r="B24" i="3" s="1"/>
  <c r="Z23" i="3"/>
  <c r="AA23" i="3"/>
  <c r="AC23" i="3"/>
  <c r="AD23" i="3"/>
  <c r="P23" i="3"/>
  <c r="Q23" i="3" s="1"/>
  <c r="R23" i="3" s="1"/>
  <c r="L8" i="3"/>
  <c r="S20" i="3" l="1"/>
  <c r="T19" i="3"/>
  <c r="U8" i="3"/>
  <c r="D9" i="3" s="1"/>
  <c r="AH9" i="3"/>
  <c r="AG9" i="3"/>
  <c r="Y7" i="3"/>
  <c r="AA24" i="3"/>
  <c r="Z24" i="3"/>
  <c r="AC24" i="3"/>
  <c r="AD24" i="3"/>
  <c r="A25" i="3"/>
  <c r="B25" i="3" s="1"/>
  <c r="P24" i="3"/>
  <c r="Q24" i="3" s="1"/>
  <c r="R24" i="3" s="1"/>
  <c r="S21" i="3" l="1"/>
  <c r="T20" i="3"/>
  <c r="E9" i="3"/>
  <c r="H9" i="3" s="1"/>
  <c r="K9" i="3" s="1"/>
  <c r="P25" i="3"/>
  <c r="Q25" i="3" s="1"/>
  <c r="R25" i="3" s="1"/>
  <c r="Z25" i="3"/>
  <c r="A26" i="3"/>
  <c r="B26" i="3" s="1"/>
  <c r="AC25" i="3"/>
  <c r="AA25" i="3"/>
  <c r="AD25" i="3"/>
  <c r="G9" i="3"/>
  <c r="T21" i="3" l="1"/>
  <c r="S22" i="3"/>
  <c r="F9" i="3"/>
  <c r="AD26" i="3"/>
  <c r="P26" i="3"/>
  <c r="Q26" i="3" s="1"/>
  <c r="R26" i="3" s="1"/>
  <c r="A27" i="3"/>
  <c r="B27" i="3" s="1"/>
  <c r="AA26" i="3"/>
  <c r="Z26" i="3"/>
  <c r="AC26" i="3"/>
  <c r="V9" i="3"/>
  <c r="AE9" i="3"/>
  <c r="I9" i="3"/>
  <c r="J9" i="3"/>
  <c r="M9" i="3"/>
  <c r="N9" i="3" s="1"/>
  <c r="T22" i="3" l="1"/>
  <c r="S23" i="3"/>
  <c r="W9" i="3"/>
  <c r="P27" i="3"/>
  <c r="Q27" i="3" s="1"/>
  <c r="R27" i="3" s="1"/>
  <c r="Z27" i="3"/>
  <c r="AA27" i="3"/>
  <c r="AD27" i="3"/>
  <c r="A28" i="3"/>
  <c r="B28" i="3" s="1"/>
  <c r="AC27" i="3"/>
  <c r="L9" i="3"/>
  <c r="S24" i="3" l="1"/>
  <c r="T23" i="3"/>
  <c r="Z28" i="3"/>
  <c r="P28" i="3"/>
  <c r="Q28" i="3" s="1"/>
  <c r="R28" i="3" s="1"/>
  <c r="A29" i="3"/>
  <c r="B29" i="3" s="1"/>
  <c r="AA28" i="3"/>
  <c r="AC28" i="3"/>
  <c r="AD28" i="3"/>
  <c r="AH10" i="3"/>
  <c r="U9" i="3"/>
  <c r="E10" i="3" s="1"/>
  <c r="H10" i="3" s="1"/>
  <c r="AG10" i="3"/>
  <c r="Y8" i="3"/>
  <c r="S25" i="3" l="1"/>
  <c r="T24" i="3"/>
  <c r="K10" i="3"/>
  <c r="AC29" i="3"/>
  <c r="P29" i="3"/>
  <c r="Q29" i="3" s="1"/>
  <c r="R29" i="3" s="1"/>
  <c r="A30" i="3"/>
  <c r="B30" i="3" s="1"/>
  <c r="AD29" i="3"/>
  <c r="Z29" i="3"/>
  <c r="AA29" i="3"/>
  <c r="D10" i="3"/>
  <c r="T25" i="3" l="1"/>
  <c r="S26" i="3"/>
  <c r="Z30" i="3"/>
  <c r="P30" i="3"/>
  <c r="Q30" i="3" s="1"/>
  <c r="R30" i="3" s="1"/>
  <c r="AC30" i="3"/>
  <c r="AA30" i="3"/>
  <c r="AD30" i="3"/>
  <c r="A31" i="3"/>
  <c r="B31" i="3" s="1"/>
  <c r="F10" i="3"/>
  <c r="G10" i="3"/>
  <c r="V10" i="3"/>
  <c r="AE10" i="3"/>
  <c r="T26" i="3" l="1"/>
  <c r="S27" i="3"/>
  <c r="I10" i="3"/>
  <c r="W10" i="3" s="1"/>
  <c r="J10" i="3"/>
  <c r="M10" i="3"/>
  <c r="N10" i="3" s="1"/>
  <c r="AC31" i="3"/>
  <c r="A32" i="3"/>
  <c r="B32" i="3" s="1"/>
  <c r="Z31" i="3"/>
  <c r="P31" i="3"/>
  <c r="Q31" i="3" s="1"/>
  <c r="R31" i="3" s="1"/>
  <c r="AD31" i="3"/>
  <c r="AA31" i="3"/>
  <c r="S28" i="3" l="1"/>
  <c r="T27" i="3"/>
  <c r="A33" i="3"/>
  <c r="B33" i="3" s="1"/>
  <c r="Z32" i="3"/>
  <c r="P32" i="3"/>
  <c r="Q32" i="3" s="1"/>
  <c r="R32" i="3" s="1"/>
  <c r="AD32" i="3"/>
  <c r="AC32" i="3"/>
  <c r="AA32" i="3"/>
  <c r="L10" i="3"/>
  <c r="S29" i="3" l="1"/>
  <c r="T28" i="3"/>
  <c r="P33" i="3"/>
  <c r="Q33" i="3" s="1"/>
  <c r="R33" i="3" s="1"/>
  <c r="AC33" i="3"/>
  <c r="A34" i="3"/>
  <c r="B34" i="3" s="1"/>
  <c r="AA33" i="3"/>
  <c r="Z33" i="3"/>
  <c r="AD33" i="3"/>
  <c r="AG11" i="3"/>
  <c r="AH11" i="3"/>
  <c r="U10" i="3"/>
  <c r="E11" i="3" s="1"/>
  <c r="H11" i="3" s="1"/>
  <c r="Y9" i="3"/>
  <c r="T29" i="3" l="1"/>
  <c r="S30" i="3"/>
  <c r="K11" i="3"/>
  <c r="Z34" i="3"/>
  <c r="P34" i="3"/>
  <c r="Q34" i="3" s="1"/>
  <c r="R34" i="3" s="1"/>
  <c r="AC34" i="3"/>
  <c r="A35" i="3"/>
  <c r="B35" i="3" s="1"/>
  <c r="AA34" i="3"/>
  <c r="D11" i="3"/>
  <c r="S31" i="3" l="1"/>
  <c r="T30" i="3"/>
  <c r="V11" i="3"/>
  <c r="AE11" i="3"/>
  <c r="A36" i="3"/>
  <c r="B36" i="3" s="1"/>
  <c r="Z35" i="3"/>
  <c r="AD35" i="3"/>
  <c r="AA35" i="3"/>
  <c r="AC35" i="3"/>
  <c r="P35" i="3"/>
  <c r="Q35" i="3" s="1"/>
  <c r="R35" i="3" s="1"/>
  <c r="F11" i="3"/>
  <c r="G11" i="3"/>
  <c r="T31" i="3" l="1"/>
  <c r="S32" i="3"/>
  <c r="AD36" i="3"/>
  <c r="AA36" i="3"/>
  <c r="P36" i="3"/>
  <c r="Q36" i="3" s="1"/>
  <c r="R36" i="3" s="1"/>
  <c r="Z36" i="3"/>
  <c r="A37" i="3"/>
  <c r="B37" i="3" s="1"/>
  <c r="AC36" i="3"/>
  <c r="I11" i="3"/>
  <c r="W11" i="3" s="1"/>
  <c r="J11" i="3"/>
  <c r="M11" i="3"/>
  <c r="N11" i="3" s="1"/>
  <c r="T32" i="3" l="1"/>
  <c r="S33" i="3"/>
  <c r="AD37" i="3"/>
  <c r="Z37" i="3"/>
  <c r="AA37" i="3"/>
  <c r="AC37" i="3"/>
  <c r="P37" i="3"/>
  <c r="Q37" i="3" s="1"/>
  <c r="R37" i="3" s="1"/>
  <c r="A38" i="3"/>
  <c r="B38" i="3" s="1"/>
  <c r="L11" i="3"/>
  <c r="S34" i="3" l="1"/>
  <c r="T33" i="3"/>
  <c r="P38" i="3"/>
  <c r="Q38" i="3" s="1"/>
  <c r="R38" i="3" s="1"/>
  <c r="A39" i="3"/>
  <c r="B39" i="3" s="1"/>
  <c r="AC38" i="3"/>
  <c r="AA38" i="3"/>
  <c r="AD38" i="3"/>
  <c r="Z38" i="3"/>
  <c r="AH12" i="3"/>
  <c r="U11" i="3"/>
  <c r="E12" i="3" s="1"/>
  <c r="H12" i="3" s="1"/>
  <c r="AG12" i="3"/>
  <c r="Y10" i="3"/>
  <c r="S35" i="3" l="1"/>
  <c r="T34" i="3"/>
  <c r="D12" i="3"/>
  <c r="G12" i="3" s="1"/>
  <c r="K12" i="3"/>
  <c r="AC39" i="3"/>
  <c r="P39" i="3"/>
  <c r="Q39" i="3" s="1"/>
  <c r="R39" i="3" s="1"/>
  <c r="AD39" i="3"/>
  <c r="Z39" i="3"/>
  <c r="A40" i="3"/>
  <c r="B40" i="3" s="1"/>
  <c r="AA39" i="3"/>
  <c r="T35" i="3" l="1"/>
  <c r="S36" i="3"/>
  <c r="F12" i="3"/>
  <c r="P40" i="3"/>
  <c r="Q40" i="3" s="1"/>
  <c r="R40" i="3" s="1"/>
  <c r="AA40" i="3"/>
  <c r="A41" i="3"/>
  <c r="B41" i="3" s="1"/>
  <c r="AC40" i="3"/>
  <c r="Z40" i="3"/>
  <c r="AD40" i="3"/>
  <c r="V12" i="3"/>
  <c r="AE12" i="3"/>
  <c r="I12" i="3"/>
  <c r="J12" i="3"/>
  <c r="M12" i="3"/>
  <c r="N12" i="3" s="1"/>
  <c r="T36" i="3" l="1"/>
  <c r="S37" i="3"/>
  <c r="W12" i="3"/>
  <c r="P41" i="3"/>
  <c r="Q41" i="3" s="1"/>
  <c r="R41" i="3" s="1"/>
  <c r="AC41" i="3"/>
  <c r="A42" i="3"/>
  <c r="B42" i="3" s="1"/>
  <c r="AA41" i="3"/>
  <c r="Z41" i="3"/>
  <c r="AD41" i="3"/>
  <c r="L12" i="3"/>
  <c r="S38" i="3" l="1"/>
  <c r="T37" i="3"/>
  <c r="AG13" i="3"/>
  <c r="U12" i="3"/>
  <c r="E13" i="3" s="1"/>
  <c r="H13" i="3" s="1"/>
  <c r="AH13" i="3"/>
  <c r="Y11" i="3"/>
  <c r="P42" i="3"/>
  <c r="Q42" i="3" s="1"/>
  <c r="R42" i="3" s="1"/>
  <c r="Z42" i="3"/>
  <c r="AA42" i="3"/>
  <c r="A43" i="3"/>
  <c r="B43" i="3" s="1"/>
  <c r="AD42" i="3"/>
  <c r="AC42" i="3"/>
  <c r="S39" i="3" l="1"/>
  <c r="T38" i="3"/>
  <c r="D13" i="3"/>
  <c r="F13" i="3" s="1"/>
  <c r="K13" i="3"/>
  <c r="AC43" i="3"/>
  <c r="P43" i="3"/>
  <c r="Q43" i="3" s="1"/>
  <c r="R43" i="3" s="1"/>
  <c r="AD43" i="3"/>
  <c r="Z43" i="3"/>
  <c r="A44" i="3"/>
  <c r="B44" i="3" s="1"/>
  <c r="AA43" i="3"/>
  <c r="S40" i="3" l="1"/>
  <c r="T39" i="3"/>
  <c r="G13" i="3"/>
  <c r="I13" i="3" s="1"/>
  <c r="AA44" i="3"/>
  <c r="P44" i="3"/>
  <c r="Q44" i="3" s="1"/>
  <c r="R44" i="3" s="1"/>
  <c r="A45" i="3"/>
  <c r="B45" i="3" s="1"/>
  <c r="Z44" i="3"/>
  <c r="AC44" i="3"/>
  <c r="V13" i="3"/>
  <c r="AE13" i="3"/>
  <c r="S41" i="3" l="1"/>
  <c r="T40" i="3"/>
  <c r="J13" i="3"/>
  <c r="L13" i="3" s="1"/>
  <c r="M13" i="3"/>
  <c r="N13" i="3" s="1"/>
  <c r="P45" i="3"/>
  <c r="Q45" i="3" s="1"/>
  <c r="R45" i="3" s="1"/>
  <c r="A46" i="3"/>
  <c r="B46" i="3" s="1"/>
  <c r="AA45" i="3"/>
  <c r="AD45" i="3"/>
  <c r="Z45" i="3"/>
  <c r="AC45" i="3"/>
  <c r="W13" i="3"/>
  <c r="T41" i="3" l="1"/>
  <c r="S42" i="3"/>
  <c r="P46" i="3"/>
  <c r="Q46" i="3" s="1"/>
  <c r="R46" i="3" s="1"/>
  <c r="AA46" i="3"/>
  <c r="AD46" i="3"/>
  <c r="A47" i="3"/>
  <c r="B47" i="3" s="1"/>
  <c r="Z46" i="3"/>
  <c r="AC46" i="3"/>
  <c r="AH14" i="3"/>
  <c r="AG14" i="3"/>
  <c r="U13" i="3"/>
  <c r="D14" i="3" s="1"/>
  <c r="Y12" i="3"/>
  <c r="S43" i="3" l="1"/>
  <c r="T42" i="3"/>
  <c r="E14" i="3"/>
  <c r="H14" i="3" s="1"/>
  <c r="K14" i="3" s="1"/>
  <c r="AD47" i="3"/>
  <c r="AA47" i="3"/>
  <c r="P47" i="3"/>
  <c r="Q47" i="3" s="1"/>
  <c r="R47" i="3" s="1"/>
  <c r="A48" i="3"/>
  <c r="B48" i="3" s="1"/>
  <c r="Z47" i="3"/>
  <c r="AC47" i="3"/>
  <c r="G14" i="3"/>
  <c r="S44" i="3" l="1"/>
  <c r="T43" i="3"/>
  <c r="F14" i="3"/>
  <c r="AC48" i="3"/>
  <c r="Z48" i="3"/>
  <c r="AA48" i="3"/>
  <c r="A49" i="3"/>
  <c r="B49" i="3" s="1"/>
  <c r="AD48" i="3"/>
  <c r="P48" i="3"/>
  <c r="Q48" i="3" s="1"/>
  <c r="R48" i="3" s="1"/>
  <c r="V14" i="3"/>
  <c r="AE14" i="3"/>
  <c r="I14" i="3"/>
  <c r="J14" i="3"/>
  <c r="M14" i="3"/>
  <c r="N14" i="3" s="1"/>
  <c r="S45" i="3" l="1"/>
  <c r="T44" i="3"/>
  <c r="A50" i="3"/>
  <c r="B50" i="3" s="1"/>
  <c r="P49" i="3"/>
  <c r="Q49" i="3" s="1"/>
  <c r="R49" i="3" s="1"/>
  <c r="AC49" i="3"/>
  <c r="AD49" i="3"/>
  <c r="AA49" i="3"/>
  <c r="Z49" i="3"/>
  <c r="W14" i="3"/>
  <c r="L14" i="3"/>
  <c r="T45" i="3" l="1"/>
  <c r="S46" i="3"/>
  <c r="U14" i="3"/>
  <c r="E15" i="3" s="1"/>
  <c r="H15" i="3" s="1"/>
  <c r="AG15" i="3"/>
  <c r="AH15" i="3"/>
  <c r="Y13" i="3"/>
  <c r="Z50" i="3"/>
  <c r="AA50" i="3"/>
  <c r="P50" i="3"/>
  <c r="Q50" i="3" s="1"/>
  <c r="R50" i="3" s="1"/>
  <c r="A51" i="3"/>
  <c r="B51" i="3" s="1"/>
  <c r="AD50" i="3"/>
  <c r="AC50" i="3"/>
  <c r="T46" i="3" l="1"/>
  <c r="S47" i="3"/>
  <c r="D15" i="3"/>
  <c r="F15" i="3" s="1"/>
  <c r="AD51" i="3"/>
  <c r="A52" i="3"/>
  <c r="B52" i="3" s="1"/>
  <c r="P51" i="3"/>
  <c r="Q51" i="3" s="1"/>
  <c r="R51" i="3" s="1"/>
  <c r="AA51" i="3"/>
  <c r="Z51" i="3"/>
  <c r="AC51" i="3"/>
  <c r="K15" i="3"/>
  <c r="T47" i="3" l="1"/>
  <c r="S48" i="3"/>
  <c r="G15" i="3"/>
  <c r="I15" i="3" s="1"/>
  <c r="A53" i="3"/>
  <c r="B53" i="3" s="1"/>
  <c r="AC52" i="3"/>
  <c r="P52" i="3"/>
  <c r="Q52" i="3" s="1"/>
  <c r="R52" i="3" s="1"/>
  <c r="AA52" i="3"/>
  <c r="AD52" i="3"/>
  <c r="Z52" i="3"/>
  <c r="V15" i="3"/>
  <c r="AE15" i="3"/>
  <c r="T48" i="3" l="1"/>
  <c r="S49" i="3"/>
  <c r="J15" i="3"/>
  <c r="L15" i="3" s="1"/>
  <c r="M15" i="3"/>
  <c r="N15" i="3" s="1"/>
  <c r="A54" i="3"/>
  <c r="B54" i="3" s="1"/>
  <c r="AD53" i="3"/>
  <c r="P53" i="3"/>
  <c r="Q53" i="3" s="1"/>
  <c r="R53" i="3" s="1"/>
  <c r="AA53" i="3"/>
  <c r="AC53" i="3"/>
  <c r="Z53" i="3"/>
  <c r="W15" i="3"/>
  <c r="S50" i="3" l="1"/>
  <c r="T49" i="3"/>
  <c r="AC54" i="3"/>
  <c r="P54" i="3"/>
  <c r="Q54" i="3" s="1"/>
  <c r="R54" i="3" s="1"/>
  <c r="A55" i="3"/>
  <c r="B55" i="3" s="1"/>
  <c r="AA54" i="3"/>
  <c r="Z54" i="3"/>
  <c r="AD54" i="3"/>
  <c r="U15" i="3"/>
  <c r="D16" i="3" s="1"/>
  <c r="AG16" i="3"/>
  <c r="AH16" i="3"/>
  <c r="Y14" i="3"/>
  <c r="S51" i="3" l="1"/>
  <c r="T50" i="3"/>
  <c r="E16" i="3"/>
  <c r="H16" i="3" s="1"/>
  <c r="K16" i="3" s="1"/>
  <c r="G16" i="3"/>
  <c r="P55" i="3"/>
  <c r="Q55" i="3" s="1"/>
  <c r="R55" i="3" s="1"/>
  <c r="A56" i="3"/>
  <c r="B56" i="3" s="1"/>
  <c r="AC55" i="3"/>
  <c r="AA55" i="3"/>
  <c r="Z55" i="3"/>
  <c r="AD55" i="3"/>
  <c r="T51" i="3" l="1"/>
  <c r="S52" i="3"/>
  <c r="F16" i="3"/>
  <c r="P56" i="3"/>
  <c r="Q56" i="3" s="1"/>
  <c r="R56" i="3" s="1"/>
  <c r="AA56" i="3"/>
  <c r="A57" i="3"/>
  <c r="B57" i="3" s="1"/>
  <c r="AD56" i="3"/>
  <c r="Z56" i="3"/>
  <c r="AC56" i="3"/>
  <c r="I16" i="3"/>
  <c r="J16" i="3"/>
  <c r="M16" i="3"/>
  <c r="N16" i="3" s="1"/>
  <c r="V16" i="3"/>
  <c r="AE16" i="3"/>
  <c r="S53" i="3" l="1"/>
  <c r="T52" i="3"/>
  <c r="AD57" i="3"/>
  <c r="AA57" i="3"/>
  <c r="A58" i="3"/>
  <c r="B58" i="3" s="1"/>
  <c r="AC57" i="3"/>
  <c r="P57" i="3"/>
  <c r="Q57" i="3" s="1"/>
  <c r="R57" i="3" s="1"/>
  <c r="Z57" i="3"/>
  <c r="L16" i="3"/>
  <c r="W16" i="3"/>
  <c r="S54" i="3" l="1"/>
  <c r="T53" i="3"/>
  <c r="Z58" i="3"/>
  <c r="AD58" i="3"/>
  <c r="AA58" i="3"/>
  <c r="P58" i="3"/>
  <c r="Q58" i="3" s="1"/>
  <c r="R58" i="3" s="1"/>
  <c r="A59" i="3"/>
  <c r="B59" i="3" s="1"/>
  <c r="AC58" i="3"/>
  <c r="U16" i="3"/>
  <c r="D17" i="3" s="1"/>
  <c r="AG17" i="3"/>
  <c r="AH17" i="3"/>
  <c r="Y15" i="3"/>
  <c r="S55" i="3" l="1"/>
  <c r="T54" i="3"/>
  <c r="G17" i="3"/>
  <c r="P59" i="3"/>
  <c r="Q59" i="3" s="1"/>
  <c r="R59" i="3" s="1"/>
  <c r="A60" i="3"/>
  <c r="B60" i="3" s="1"/>
  <c r="AC59" i="3"/>
  <c r="AD59" i="3"/>
  <c r="Z59" i="3"/>
  <c r="AA59" i="3"/>
  <c r="E17" i="3"/>
  <c r="H17" i="3" s="1"/>
  <c r="S56" i="3" l="1"/>
  <c r="T55" i="3"/>
  <c r="AC60" i="3"/>
  <c r="AD60" i="3"/>
  <c r="Z60" i="3"/>
  <c r="P60" i="3"/>
  <c r="Q60" i="3" s="1"/>
  <c r="R60" i="3" s="1"/>
  <c r="A61" i="3"/>
  <c r="B61" i="3" s="1"/>
  <c r="AA60" i="3"/>
  <c r="F17" i="3"/>
  <c r="I17" i="3"/>
  <c r="J17" i="3"/>
  <c r="M17" i="3"/>
  <c r="N17" i="3" s="1"/>
  <c r="K17" i="3"/>
  <c r="S57" i="3" l="1"/>
  <c r="T56" i="3"/>
  <c r="A62" i="3"/>
  <c r="B62" i="3" s="1"/>
  <c r="Z61" i="3"/>
  <c r="AD61" i="3"/>
  <c r="AC61" i="3"/>
  <c r="P61" i="3"/>
  <c r="Q61" i="3" s="1"/>
  <c r="R61" i="3" s="1"/>
  <c r="AA61" i="3"/>
  <c r="V17" i="3"/>
  <c r="W17" i="3" s="1"/>
  <c r="AE17" i="3"/>
  <c r="L17" i="3"/>
  <c r="S58" i="3" l="1"/>
  <c r="T57" i="3"/>
  <c r="AD62" i="3"/>
  <c r="P62" i="3"/>
  <c r="Q62" i="3" s="1"/>
  <c r="R62" i="3" s="1"/>
  <c r="Z62" i="3"/>
  <c r="AA62" i="3"/>
  <c r="AC62" i="3"/>
  <c r="A63" i="3"/>
  <c r="B63" i="3" s="1"/>
  <c r="U17" i="3"/>
  <c r="E18" i="3" s="1"/>
  <c r="H18" i="3" s="1"/>
  <c r="AG18" i="3"/>
  <c r="AH18" i="3"/>
  <c r="Y16" i="3"/>
  <c r="S59" i="3" l="1"/>
  <c r="T58" i="3"/>
  <c r="D18" i="3"/>
  <c r="G18" i="3" s="1"/>
  <c r="K18" i="3"/>
  <c r="AC63" i="3"/>
  <c r="AA63" i="3"/>
  <c r="A64" i="3"/>
  <c r="B64" i="3" s="1"/>
  <c r="AD63" i="3"/>
  <c r="P63" i="3"/>
  <c r="Q63" i="3" s="1"/>
  <c r="R63" i="3" s="1"/>
  <c r="Z63" i="3"/>
  <c r="T59" i="3" l="1"/>
  <c r="S60" i="3"/>
  <c r="F18" i="3"/>
  <c r="I18" i="3"/>
  <c r="J18" i="3"/>
  <c r="M18" i="3"/>
  <c r="N18" i="3" s="1"/>
  <c r="A65" i="3"/>
  <c r="B65" i="3" s="1"/>
  <c r="Z64" i="3"/>
  <c r="AA64" i="3"/>
  <c r="AC64" i="3"/>
  <c r="AD64" i="3"/>
  <c r="P64" i="3"/>
  <c r="Q64" i="3" s="1"/>
  <c r="R64" i="3" s="1"/>
  <c r="V18" i="3"/>
  <c r="AE18" i="3"/>
  <c r="T60" i="3" l="1"/>
  <c r="S61" i="3"/>
  <c r="Z65" i="3"/>
  <c r="AA65" i="3"/>
  <c r="A66" i="3"/>
  <c r="B66" i="3" s="1"/>
  <c r="AC65" i="3"/>
  <c r="P65" i="3"/>
  <c r="Q65" i="3" s="1"/>
  <c r="R65" i="3" s="1"/>
  <c r="AD65" i="3"/>
  <c r="L18" i="3"/>
  <c r="W18" i="3"/>
  <c r="T61" i="3" l="1"/>
  <c r="S62" i="3"/>
  <c r="A67" i="3"/>
  <c r="B67" i="3" s="1"/>
  <c r="P66" i="3"/>
  <c r="Q66" i="3" s="1"/>
  <c r="R66" i="3" s="1"/>
  <c r="AC66" i="3"/>
  <c r="Z66" i="3"/>
  <c r="AD66" i="3"/>
  <c r="AA66" i="3"/>
  <c r="U18" i="3"/>
  <c r="D19" i="3" s="1"/>
  <c r="AH19" i="3"/>
  <c r="AG19" i="3"/>
  <c r="Y17" i="3"/>
  <c r="S63" i="3" l="1"/>
  <c r="T62" i="3"/>
  <c r="G19" i="3"/>
  <c r="E19" i="3"/>
  <c r="H19" i="3" s="1"/>
  <c r="AA67" i="3"/>
  <c r="Z67" i="3"/>
  <c r="AD67" i="3"/>
  <c r="AC67" i="3"/>
  <c r="P67" i="3"/>
  <c r="Q67" i="3" s="1"/>
  <c r="R67" i="3" s="1"/>
  <c r="A68" i="3"/>
  <c r="B68" i="3" s="1"/>
  <c r="T63" i="3" l="1"/>
  <c r="S64" i="3"/>
  <c r="F19" i="3"/>
  <c r="AD68" i="3"/>
  <c r="AC68" i="3"/>
  <c r="Z68" i="3"/>
  <c r="AA68" i="3"/>
  <c r="A69" i="3"/>
  <c r="B69" i="3" s="1"/>
  <c r="P68" i="3"/>
  <c r="Q68" i="3" s="1"/>
  <c r="R68" i="3" s="1"/>
  <c r="I19" i="3"/>
  <c r="J19" i="3"/>
  <c r="M19" i="3"/>
  <c r="N19" i="3" s="1"/>
  <c r="K19" i="3"/>
  <c r="S65" i="3" l="1"/>
  <c r="T64" i="3"/>
  <c r="Z69" i="3"/>
  <c r="AC69" i="3"/>
  <c r="P69" i="3"/>
  <c r="Q69" i="3" s="1"/>
  <c r="R69" i="3" s="1"/>
  <c r="AA69" i="3"/>
  <c r="AD69" i="3"/>
  <c r="A70" i="3"/>
  <c r="B70" i="3" s="1"/>
  <c r="V19" i="3"/>
  <c r="W19" i="3" s="1"/>
  <c r="AE19" i="3"/>
  <c r="L19" i="3"/>
  <c r="T65" i="3" l="1"/>
  <c r="S66" i="3"/>
  <c r="AH20" i="3"/>
  <c r="U19" i="3"/>
  <c r="E20" i="3" s="1"/>
  <c r="H20" i="3" s="1"/>
  <c r="AG20" i="3"/>
  <c r="Y18" i="3"/>
  <c r="A71" i="3"/>
  <c r="B71" i="3" s="1"/>
  <c r="AC70" i="3"/>
  <c r="AA70" i="3"/>
  <c r="AD70" i="3"/>
  <c r="P70" i="3"/>
  <c r="Q70" i="3" s="1"/>
  <c r="R70" i="3" s="1"/>
  <c r="Z70" i="3"/>
  <c r="S67" i="3" l="1"/>
  <c r="T66" i="3"/>
  <c r="D20" i="3"/>
  <c r="G20" i="3" s="1"/>
  <c r="K20" i="3"/>
  <c r="AA71" i="3"/>
  <c r="A72" i="3"/>
  <c r="B72" i="3" s="1"/>
  <c r="AC71" i="3"/>
  <c r="Z71" i="3"/>
  <c r="AD71" i="3"/>
  <c r="P71" i="3"/>
  <c r="Q71" i="3" s="1"/>
  <c r="R71" i="3" s="1"/>
  <c r="S68" i="3" l="1"/>
  <c r="T67" i="3"/>
  <c r="F20" i="3"/>
  <c r="A73" i="3"/>
  <c r="B73" i="3" s="1"/>
  <c r="Z72" i="3"/>
  <c r="P72" i="3"/>
  <c r="Q72" i="3" s="1"/>
  <c r="R72" i="3" s="1"/>
  <c r="AD72" i="3"/>
  <c r="AA72" i="3"/>
  <c r="AC72" i="3"/>
  <c r="V20" i="3"/>
  <c r="AE20" i="3"/>
  <c r="I20" i="3"/>
  <c r="J20" i="3"/>
  <c r="M20" i="3"/>
  <c r="N20" i="3" s="1"/>
  <c r="S69" i="3" l="1"/>
  <c r="T68" i="3"/>
  <c r="AC73" i="3"/>
  <c r="A74" i="3"/>
  <c r="B74" i="3" s="1"/>
  <c r="Z73" i="3"/>
  <c r="AA73" i="3"/>
  <c r="AD73" i="3"/>
  <c r="P73" i="3"/>
  <c r="Q73" i="3" s="1"/>
  <c r="R73" i="3" s="1"/>
  <c r="L20" i="3"/>
  <c r="W20" i="3"/>
  <c r="T69" i="3" l="1"/>
  <c r="S70" i="3"/>
  <c r="AD74" i="3"/>
  <c r="P74" i="3"/>
  <c r="Q74" i="3" s="1"/>
  <c r="R74" i="3" s="1"/>
  <c r="AC74" i="3"/>
  <c r="A75" i="3"/>
  <c r="B75" i="3" s="1"/>
  <c r="AA74" i="3"/>
  <c r="Z74" i="3"/>
  <c r="AG21" i="3"/>
  <c r="U20" i="3"/>
  <c r="E21" i="3" s="1"/>
  <c r="H21" i="3" s="1"/>
  <c r="AH21" i="3"/>
  <c r="Y19" i="3"/>
  <c r="T70" i="3" l="1"/>
  <c r="S71" i="3"/>
  <c r="D21" i="3"/>
  <c r="G21" i="3" s="1"/>
  <c r="K21" i="3"/>
  <c r="P75" i="3"/>
  <c r="Q75" i="3" s="1"/>
  <c r="R75" i="3" s="1"/>
  <c r="Z75" i="3"/>
  <c r="A76" i="3"/>
  <c r="B76" i="3" s="1"/>
  <c r="AA75" i="3"/>
  <c r="AC75" i="3"/>
  <c r="AD75" i="3"/>
  <c r="S72" i="3" l="1"/>
  <c r="T71" i="3"/>
  <c r="F21" i="3"/>
  <c r="AC76" i="3"/>
  <c r="Z76" i="3"/>
  <c r="AD76" i="3"/>
  <c r="AA76" i="3"/>
  <c r="A77" i="3"/>
  <c r="B77" i="3" s="1"/>
  <c r="P76" i="3"/>
  <c r="Q76" i="3" s="1"/>
  <c r="R76" i="3" s="1"/>
  <c r="I21" i="3"/>
  <c r="J21" i="3"/>
  <c r="M21" i="3"/>
  <c r="N21" i="3" s="1"/>
  <c r="V21" i="3"/>
  <c r="AE21" i="3"/>
  <c r="S73" i="3" l="1"/>
  <c r="T72" i="3"/>
  <c r="W21" i="3"/>
  <c r="A78" i="3"/>
  <c r="B78" i="3" s="1"/>
  <c r="AA77" i="3"/>
  <c r="Z77" i="3"/>
  <c r="P77" i="3"/>
  <c r="Q77" i="3" s="1"/>
  <c r="R77" i="3" s="1"/>
  <c r="AD77" i="3"/>
  <c r="AC77" i="3"/>
  <c r="L21" i="3"/>
  <c r="T73" i="3" l="1"/>
  <c r="S74" i="3"/>
  <c r="AG22" i="3"/>
  <c r="U21" i="3"/>
  <c r="D22" i="3" s="1"/>
  <c r="AH22" i="3"/>
  <c r="Y20" i="3"/>
  <c r="A79" i="3"/>
  <c r="B79" i="3" s="1"/>
  <c r="AD78" i="3"/>
  <c r="P78" i="3"/>
  <c r="Q78" i="3" s="1"/>
  <c r="R78" i="3" s="1"/>
  <c r="AC78" i="3"/>
  <c r="AA78" i="3"/>
  <c r="Z78" i="3"/>
  <c r="S75" i="3" l="1"/>
  <c r="T74" i="3"/>
  <c r="G22" i="3"/>
  <c r="E22" i="3"/>
  <c r="H22" i="3" s="1"/>
  <c r="P79" i="3"/>
  <c r="Q79" i="3" s="1"/>
  <c r="R79" i="3" s="1"/>
  <c r="A80" i="3"/>
  <c r="B80" i="3" s="1"/>
  <c r="Z79" i="3"/>
  <c r="AC79" i="3"/>
  <c r="AA79" i="3"/>
  <c r="AD79" i="3"/>
  <c r="T75" i="3" l="1"/>
  <c r="S76" i="3"/>
  <c r="AA80" i="3"/>
  <c r="A81" i="3"/>
  <c r="B81" i="3" s="1"/>
  <c r="AD80" i="3"/>
  <c r="AC80" i="3"/>
  <c r="P80" i="3"/>
  <c r="Q80" i="3" s="1"/>
  <c r="R80" i="3" s="1"/>
  <c r="Z80" i="3"/>
  <c r="I22" i="3"/>
  <c r="J22" i="3"/>
  <c r="M22" i="3"/>
  <c r="N22" i="3" s="1"/>
  <c r="K22" i="3"/>
  <c r="F22" i="3"/>
  <c r="S77" i="3" l="1"/>
  <c r="T76" i="3"/>
  <c r="L22" i="3"/>
  <c r="Z81" i="3"/>
  <c r="AC81" i="3"/>
  <c r="A82" i="3"/>
  <c r="B82" i="3" s="1"/>
  <c r="AA81" i="3"/>
  <c r="AD81" i="3"/>
  <c r="P81" i="3"/>
  <c r="Q81" i="3" s="1"/>
  <c r="R81" i="3" s="1"/>
  <c r="V22" i="3"/>
  <c r="W22" i="3" s="1"/>
  <c r="AE22" i="3"/>
  <c r="T77" i="3" l="1"/>
  <c r="S78" i="3"/>
  <c r="U22" i="3"/>
  <c r="E23" i="3" s="1"/>
  <c r="H23" i="3" s="1"/>
  <c r="AH23" i="3"/>
  <c r="AG23" i="3"/>
  <c r="Y21" i="3"/>
  <c r="A83" i="3"/>
  <c r="B83" i="3" s="1"/>
  <c r="P82" i="3"/>
  <c r="Q82" i="3" s="1"/>
  <c r="R82" i="3" s="1"/>
  <c r="AC82" i="3"/>
  <c r="AA82" i="3"/>
  <c r="Z82" i="3"/>
  <c r="AD82" i="3"/>
  <c r="S79" i="3" l="1"/>
  <c r="T78" i="3"/>
  <c r="AA83" i="3"/>
  <c r="AC83" i="3"/>
  <c r="P83" i="3"/>
  <c r="Q83" i="3" s="1"/>
  <c r="R83" i="3" s="1"/>
  <c r="Z83" i="3"/>
  <c r="AD83" i="3"/>
  <c r="A84" i="3"/>
  <c r="B84" i="3" s="1"/>
  <c r="K23" i="3"/>
  <c r="D23" i="3"/>
  <c r="S80" i="3" l="1"/>
  <c r="T79" i="3"/>
  <c r="AA84" i="3"/>
  <c r="Z84" i="3"/>
  <c r="A85" i="3"/>
  <c r="B85" i="3" s="1"/>
  <c r="P84" i="3"/>
  <c r="Q84" i="3" s="1"/>
  <c r="R84" i="3" s="1"/>
  <c r="AD84" i="3"/>
  <c r="AC84" i="3"/>
  <c r="V23" i="3"/>
  <c r="AE23" i="3"/>
  <c r="F23" i="3"/>
  <c r="G23" i="3"/>
  <c r="T80" i="3" l="1"/>
  <c r="S81" i="3"/>
  <c r="A86" i="3"/>
  <c r="B86" i="3" s="1"/>
  <c r="P85" i="3"/>
  <c r="Q85" i="3" s="1"/>
  <c r="R85" i="3" s="1"/>
  <c r="AA85" i="3"/>
  <c r="AC85" i="3"/>
  <c r="Z85" i="3"/>
  <c r="AD85" i="3"/>
  <c r="I23" i="3"/>
  <c r="W23" i="3" s="1"/>
  <c r="J23" i="3"/>
  <c r="M23" i="3"/>
  <c r="N23" i="3" s="1"/>
  <c r="T81" i="3" l="1"/>
  <c r="S82" i="3"/>
  <c r="AC86" i="3"/>
  <c r="Z86" i="3"/>
  <c r="P86" i="3"/>
  <c r="Q86" i="3" s="1"/>
  <c r="R86" i="3" s="1"/>
  <c r="AA86" i="3"/>
  <c r="A87" i="3"/>
  <c r="B87" i="3" s="1"/>
  <c r="AD86" i="3"/>
  <c r="L23" i="3"/>
  <c r="T82" i="3" l="1"/>
  <c r="S83" i="3"/>
  <c r="P87" i="3"/>
  <c r="Q87" i="3" s="1"/>
  <c r="R87" i="3" s="1"/>
  <c r="Z87" i="3"/>
  <c r="A88" i="3"/>
  <c r="B88" i="3" s="1"/>
  <c r="AD87" i="3"/>
  <c r="AC87" i="3"/>
  <c r="AA87" i="3"/>
  <c r="AG24" i="3"/>
  <c r="AH24" i="3"/>
  <c r="U23" i="3"/>
  <c r="E24" i="3" s="1"/>
  <c r="H24" i="3" s="1"/>
  <c r="Y22" i="3"/>
  <c r="T83" i="3" l="1"/>
  <c r="S84" i="3"/>
  <c r="D24" i="3"/>
  <c r="G24" i="3" s="1"/>
  <c r="A89" i="3"/>
  <c r="B89" i="3" s="1"/>
  <c r="P88" i="3"/>
  <c r="Q88" i="3" s="1"/>
  <c r="R88" i="3" s="1"/>
  <c r="AC88" i="3"/>
  <c r="Z88" i="3"/>
  <c r="AA88" i="3"/>
  <c r="AD88" i="3"/>
  <c r="K24" i="3"/>
  <c r="T84" i="3" l="1"/>
  <c r="S85" i="3"/>
  <c r="F24" i="3"/>
  <c r="AD89" i="3"/>
  <c r="AC89" i="3"/>
  <c r="P89" i="3"/>
  <c r="Q89" i="3" s="1"/>
  <c r="R89" i="3" s="1"/>
  <c r="Z89" i="3"/>
  <c r="AA89" i="3"/>
  <c r="A90" i="3"/>
  <c r="B90" i="3" s="1"/>
  <c r="V24" i="3"/>
  <c r="AE24" i="3"/>
  <c r="I24" i="3"/>
  <c r="J24" i="3"/>
  <c r="M24" i="3"/>
  <c r="N24" i="3" s="1"/>
  <c r="T85" i="3" l="1"/>
  <c r="S86" i="3"/>
  <c r="A91" i="3"/>
  <c r="B91" i="3" s="1"/>
  <c r="P90" i="3"/>
  <c r="Q90" i="3" s="1"/>
  <c r="R90" i="3" s="1"/>
  <c r="AC90" i="3"/>
  <c r="Z90" i="3"/>
  <c r="AA90" i="3"/>
  <c r="AD90" i="3"/>
  <c r="L24" i="3"/>
  <c r="W24" i="3"/>
  <c r="T86" i="3" l="1"/>
  <c r="S87" i="3"/>
  <c r="P91" i="3"/>
  <c r="Q91" i="3" s="1"/>
  <c r="R91" i="3" s="1"/>
  <c r="AD91" i="3"/>
  <c r="AA91" i="3"/>
  <c r="A92" i="3"/>
  <c r="B92" i="3" s="1"/>
  <c r="AC91" i="3"/>
  <c r="Z91" i="3"/>
  <c r="AH25" i="3"/>
  <c r="AG25" i="3"/>
  <c r="U24" i="3"/>
  <c r="D25" i="3" s="1"/>
  <c r="Y23" i="3"/>
  <c r="S88" i="3" l="1"/>
  <c r="T87" i="3"/>
  <c r="E25" i="3"/>
  <c r="H25" i="3" s="1"/>
  <c r="K25" i="3" s="1"/>
  <c r="G25" i="3"/>
  <c r="AA92" i="3"/>
  <c r="AD92" i="3"/>
  <c r="AC92" i="3"/>
  <c r="P92" i="3"/>
  <c r="Q92" i="3" s="1"/>
  <c r="R92" i="3" s="1"/>
  <c r="Z92" i="3"/>
  <c r="A93" i="3"/>
  <c r="B93" i="3" s="1"/>
  <c r="T88" i="3" l="1"/>
  <c r="S89" i="3"/>
  <c r="F25" i="3"/>
  <c r="Z93" i="3"/>
  <c r="AA93" i="3"/>
  <c r="P93" i="3"/>
  <c r="Q93" i="3" s="1"/>
  <c r="R93" i="3" s="1"/>
  <c r="A94" i="3"/>
  <c r="B94" i="3" s="1"/>
  <c r="AD93" i="3"/>
  <c r="AC93" i="3"/>
  <c r="I25" i="3"/>
  <c r="J25" i="3"/>
  <c r="M25" i="3"/>
  <c r="N25" i="3" s="1"/>
  <c r="V25" i="3"/>
  <c r="AE25" i="3"/>
  <c r="S90" i="3" l="1"/>
  <c r="T89" i="3"/>
  <c r="W25" i="3"/>
  <c r="AC94" i="3"/>
  <c r="Z94" i="3"/>
  <c r="AA94" i="3"/>
  <c r="AD94" i="3"/>
  <c r="A95" i="3"/>
  <c r="B95" i="3" s="1"/>
  <c r="P94" i="3"/>
  <c r="Q94" i="3" s="1"/>
  <c r="R94" i="3" s="1"/>
  <c r="L25" i="3"/>
  <c r="S91" i="3" l="1"/>
  <c r="T90" i="3"/>
  <c r="U25" i="3"/>
  <c r="E26" i="3" s="1"/>
  <c r="H26" i="3" s="1"/>
  <c r="AH26" i="3"/>
  <c r="AG26" i="3"/>
  <c r="Y24" i="3"/>
  <c r="Z95" i="3"/>
  <c r="A96" i="3"/>
  <c r="B96" i="3" s="1"/>
  <c r="P95" i="3"/>
  <c r="Q95" i="3" s="1"/>
  <c r="R95" i="3" s="1"/>
  <c r="AC95" i="3"/>
  <c r="AD95" i="3"/>
  <c r="AA95" i="3"/>
  <c r="T91" i="3" l="1"/>
  <c r="S92" i="3"/>
  <c r="D26" i="3"/>
  <c r="G26" i="3" s="1"/>
  <c r="K26" i="3"/>
  <c r="Z96" i="3"/>
  <c r="P96" i="3"/>
  <c r="Q96" i="3" s="1"/>
  <c r="R96" i="3" s="1"/>
  <c r="AC96" i="3"/>
  <c r="AA96" i="3"/>
  <c r="AD96" i="3"/>
  <c r="A97" i="3"/>
  <c r="B97" i="3" s="1"/>
  <c r="S93" i="3" l="1"/>
  <c r="T92" i="3"/>
  <c r="F26" i="3"/>
  <c r="I26" i="3"/>
  <c r="J26" i="3"/>
  <c r="M26" i="3"/>
  <c r="N26" i="3" s="1"/>
  <c r="A98" i="3"/>
  <c r="B98" i="3" s="1"/>
  <c r="P97" i="3"/>
  <c r="Q97" i="3" s="1"/>
  <c r="R97" i="3" s="1"/>
  <c r="AD97" i="3"/>
  <c r="AA97" i="3"/>
  <c r="Z97" i="3"/>
  <c r="AC97" i="3"/>
  <c r="V26" i="3"/>
  <c r="AE26" i="3"/>
  <c r="T93" i="3" l="1"/>
  <c r="S94" i="3"/>
  <c r="W26" i="3"/>
  <c r="A99" i="3"/>
  <c r="B99" i="3" s="1"/>
  <c r="AD98" i="3"/>
  <c r="AA98" i="3"/>
  <c r="P98" i="3"/>
  <c r="Q98" i="3" s="1"/>
  <c r="R98" i="3" s="1"/>
  <c r="Z98" i="3"/>
  <c r="AC98" i="3"/>
  <c r="L26" i="3"/>
  <c r="T94" i="3" l="1"/>
  <c r="S95" i="3"/>
  <c r="AD99" i="3"/>
  <c r="P99" i="3"/>
  <c r="Q99" i="3" s="1"/>
  <c r="R99" i="3" s="1"/>
  <c r="Z99" i="3"/>
  <c r="A100" i="3"/>
  <c r="B100" i="3" s="1"/>
  <c r="AC99" i="3"/>
  <c r="AA99" i="3"/>
  <c r="AH27" i="3"/>
  <c r="U26" i="3"/>
  <c r="D27" i="3" s="1"/>
  <c r="AG27" i="3"/>
  <c r="Y25" i="3"/>
  <c r="S96" i="3" l="1"/>
  <c r="T95" i="3"/>
  <c r="E27" i="3"/>
  <c r="H27" i="3" s="1"/>
  <c r="K27" i="3" s="1"/>
  <c r="G27" i="3"/>
  <c r="A101" i="3"/>
  <c r="B101" i="3" s="1"/>
  <c r="AA100" i="3"/>
  <c r="AC100" i="3"/>
  <c r="Z100" i="3"/>
  <c r="AD100" i="3"/>
  <c r="P100" i="3"/>
  <c r="Q100" i="3" s="1"/>
  <c r="R100" i="3" s="1"/>
  <c r="S97" i="3" l="1"/>
  <c r="T96" i="3"/>
  <c r="F27" i="3"/>
  <c r="AD101" i="3"/>
  <c r="Z101" i="3"/>
  <c r="P101" i="3"/>
  <c r="Q101" i="3" s="1"/>
  <c r="R101" i="3" s="1"/>
  <c r="AC101" i="3"/>
  <c r="A102" i="3"/>
  <c r="B102" i="3" s="1"/>
  <c r="AA101" i="3"/>
  <c r="I27" i="3"/>
  <c r="J27" i="3"/>
  <c r="M27" i="3"/>
  <c r="N27" i="3" s="1"/>
  <c r="V27" i="3"/>
  <c r="AE27" i="3"/>
  <c r="S98" i="3" l="1"/>
  <c r="T97" i="3"/>
  <c r="P102" i="3"/>
  <c r="Q102" i="3" s="1"/>
  <c r="R102" i="3" s="1"/>
  <c r="A103" i="3"/>
  <c r="B103" i="3" s="1"/>
  <c r="AA102" i="3"/>
  <c r="AC102" i="3"/>
  <c r="AD102" i="3"/>
  <c r="Z102" i="3"/>
  <c r="L27" i="3"/>
  <c r="W27" i="3"/>
  <c r="T98" i="3" l="1"/>
  <c r="S99" i="3"/>
  <c r="P103" i="3"/>
  <c r="Q103" i="3" s="1"/>
  <c r="R103" i="3" s="1"/>
  <c r="AD103" i="3"/>
  <c r="AC103" i="3"/>
  <c r="Z103" i="3"/>
  <c r="A104" i="3"/>
  <c r="B104" i="3" s="1"/>
  <c r="AA103" i="3"/>
  <c r="U27" i="3"/>
  <c r="E28" i="3" s="1"/>
  <c r="H28" i="3" s="1"/>
  <c r="AG28" i="3"/>
  <c r="AH28" i="3"/>
  <c r="Y26" i="3"/>
  <c r="S100" i="3" l="1"/>
  <c r="T99" i="3"/>
  <c r="D28" i="3"/>
  <c r="F28" i="3" s="1"/>
  <c r="K28" i="3"/>
  <c r="AC104" i="3"/>
  <c r="P104" i="3"/>
  <c r="Q104" i="3" s="1"/>
  <c r="R104" i="3" s="1"/>
  <c r="Z104" i="3"/>
  <c r="AA104" i="3"/>
  <c r="S101" i="3" l="1"/>
  <c r="T100" i="3"/>
  <c r="G28" i="3"/>
  <c r="I28" i="3" s="1"/>
  <c r="V28" i="3"/>
  <c r="AE28" i="3"/>
  <c r="T101" i="3" l="1"/>
  <c r="S102" i="3"/>
  <c r="M28" i="3"/>
  <c r="N28" i="3" s="1"/>
  <c r="J28" i="3"/>
  <c r="L28" i="3" s="1"/>
  <c r="W28" i="3"/>
  <c r="S103" i="3" l="1"/>
  <c r="T102" i="3"/>
  <c r="AH29" i="3"/>
  <c r="AG29" i="3"/>
  <c r="U28" i="3"/>
  <c r="E29" i="3" s="1"/>
  <c r="H29" i="3" s="1"/>
  <c r="Y27" i="3"/>
  <c r="S104" i="3" l="1"/>
  <c r="T103" i="3"/>
  <c r="D29" i="3"/>
  <c r="F29" i="3" s="1"/>
  <c r="K29" i="3"/>
  <c r="T104" i="3" l="1"/>
  <c r="G29" i="3"/>
  <c r="M29" i="3" s="1"/>
  <c r="N29" i="3" s="1"/>
  <c r="V29" i="3"/>
  <c r="AE29" i="3"/>
  <c r="J29" i="3" l="1"/>
  <c r="L29" i="3" s="1"/>
  <c r="I29" i="3"/>
  <c r="W29" i="3" s="1"/>
  <c r="U29" i="3" l="1"/>
  <c r="D30" i="3" s="1"/>
  <c r="AG30" i="3"/>
  <c r="AH30" i="3"/>
  <c r="Y28" i="3"/>
  <c r="E30" i="3" l="1"/>
  <c r="H30" i="3" s="1"/>
  <c r="K30" i="3" s="1"/>
  <c r="G30" i="3"/>
  <c r="F30" i="3" l="1"/>
  <c r="I30" i="3"/>
  <c r="J30" i="3"/>
  <c r="M30" i="3"/>
  <c r="N30" i="3" s="1"/>
  <c r="V30" i="3"/>
  <c r="AE30" i="3"/>
  <c r="W30" i="3" l="1"/>
  <c r="L30" i="3"/>
  <c r="U30" i="3" l="1"/>
  <c r="D31" i="3" s="1"/>
  <c r="AG31" i="3"/>
  <c r="AH31" i="3"/>
  <c r="Y29" i="3"/>
  <c r="E31" i="3" l="1"/>
  <c r="H31" i="3" s="1"/>
  <c r="K31" i="3" s="1"/>
  <c r="G31" i="3"/>
  <c r="F31" i="3" l="1"/>
  <c r="V31" i="3"/>
  <c r="AE31" i="3"/>
  <c r="I31" i="3"/>
  <c r="J31" i="3"/>
  <c r="M31" i="3"/>
  <c r="N31" i="3" s="1"/>
  <c r="L31" i="3" l="1"/>
  <c r="W31" i="3"/>
  <c r="AG32" i="3" l="1"/>
  <c r="AH32" i="3"/>
  <c r="U31" i="3"/>
  <c r="E32" i="3" s="1"/>
  <c r="H32" i="3" s="1"/>
  <c r="Y30" i="3"/>
  <c r="D32" i="3" l="1"/>
  <c r="F32" i="3" s="1"/>
  <c r="K32" i="3"/>
  <c r="G32" i="3" l="1"/>
  <c r="I32" i="3" s="1"/>
  <c r="V32" i="3"/>
  <c r="AE32" i="3"/>
  <c r="M32" i="3" l="1"/>
  <c r="N32" i="3" s="1"/>
  <c r="J32" i="3"/>
  <c r="L32" i="3" s="1"/>
  <c r="W32" i="3"/>
  <c r="AH33" i="3" l="1"/>
  <c r="AG33" i="3"/>
  <c r="U32" i="3"/>
  <c r="D33" i="3" s="1"/>
  <c r="Y31" i="3"/>
  <c r="E33" i="3" l="1"/>
  <c r="H33" i="3" s="1"/>
  <c r="K33" i="3" s="1"/>
  <c r="G33" i="3"/>
  <c r="F33" i="3" l="1"/>
  <c r="I33" i="3"/>
  <c r="J33" i="3"/>
  <c r="M33" i="3"/>
  <c r="N33" i="3" s="1"/>
  <c r="V33" i="3"/>
  <c r="AE33" i="3"/>
  <c r="W33" i="3" l="1"/>
  <c r="L33" i="3"/>
  <c r="AH34" i="3" l="1"/>
  <c r="AG34" i="3"/>
  <c r="U33" i="3"/>
  <c r="D34" i="3" s="1"/>
  <c r="Y32" i="3"/>
  <c r="G34" i="3" l="1"/>
  <c r="E34" i="3"/>
  <c r="H34" i="3" s="1"/>
  <c r="F34" i="3" l="1"/>
  <c r="I34" i="3"/>
  <c r="J34" i="3"/>
  <c r="AD34" i="3" s="1"/>
  <c r="M34" i="3"/>
  <c r="N34" i="3" s="1"/>
  <c r="K34" i="3"/>
  <c r="V34" i="3" l="1"/>
  <c r="W34" i="3" s="1"/>
  <c r="AE34" i="3"/>
  <c r="L34" i="3"/>
  <c r="U34" i="3" l="1"/>
  <c r="E35" i="3" s="1"/>
  <c r="H35" i="3" s="1"/>
  <c r="AH35" i="3"/>
  <c r="AG35" i="3"/>
  <c r="Y33" i="3"/>
  <c r="D35" i="3" l="1"/>
  <c r="G35" i="3" s="1"/>
  <c r="K35" i="3"/>
  <c r="F35" i="3" l="1"/>
  <c r="I35" i="3"/>
  <c r="J35" i="3"/>
  <c r="M35" i="3"/>
  <c r="N35" i="3" s="1"/>
  <c r="V35" i="3"/>
  <c r="AE35" i="3"/>
  <c r="W35" i="3" l="1"/>
  <c r="L35" i="3"/>
  <c r="U35" i="3" l="1"/>
  <c r="E36" i="3" s="1"/>
  <c r="H36" i="3" s="1"/>
  <c r="AG36" i="3"/>
  <c r="AH36" i="3"/>
  <c r="Y34" i="3"/>
  <c r="K36" i="3" l="1"/>
  <c r="D36" i="3"/>
  <c r="F36" i="3" l="1"/>
  <c r="G36" i="3"/>
  <c r="V36" i="3"/>
  <c r="AE36" i="3"/>
  <c r="I36" i="3" l="1"/>
  <c r="W36" i="3" s="1"/>
  <c r="J36" i="3"/>
  <c r="M36" i="3"/>
  <c r="N36" i="3" s="1"/>
  <c r="L36" i="3" l="1"/>
  <c r="AH37" i="3" l="1"/>
  <c r="AG37" i="3"/>
  <c r="U36" i="3"/>
  <c r="E37" i="3" s="1"/>
  <c r="H37" i="3" s="1"/>
  <c r="Y35" i="3"/>
  <c r="D37" i="3" l="1"/>
  <c r="G37" i="3" s="1"/>
  <c r="K37" i="3"/>
  <c r="F37" i="3" l="1"/>
  <c r="I37" i="3"/>
  <c r="J37" i="3"/>
  <c r="M37" i="3"/>
  <c r="N37" i="3" s="1"/>
  <c r="V37" i="3"/>
  <c r="AE37" i="3"/>
  <c r="W37" i="3" l="1"/>
  <c r="L37" i="3"/>
  <c r="AH38" i="3" l="1"/>
  <c r="AG38" i="3"/>
  <c r="U37" i="3"/>
  <c r="D38" i="3" s="1"/>
  <c r="Y36" i="3"/>
  <c r="G38" i="3" l="1"/>
  <c r="E38" i="3"/>
  <c r="H38" i="3" s="1"/>
  <c r="K38" i="3" l="1"/>
  <c r="F38" i="3"/>
  <c r="I38" i="3"/>
  <c r="J38" i="3"/>
  <c r="M38" i="3"/>
  <c r="N38" i="3" s="1"/>
  <c r="L38" i="3" l="1"/>
  <c r="V38" i="3"/>
  <c r="W38" i="3" s="1"/>
  <c r="AE38" i="3"/>
  <c r="U38" i="3" l="1"/>
  <c r="D39" i="3" s="1"/>
  <c r="AG39" i="3"/>
  <c r="AH39" i="3"/>
  <c r="Y37" i="3"/>
  <c r="G39" i="3" l="1"/>
  <c r="E39" i="3"/>
  <c r="H39" i="3" s="1"/>
  <c r="F39" i="3" l="1"/>
  <c r="K39" i="3"/>
  <c r="I39" i="3"/>
  <c r="J39" i="3"/>
  <c r="M39" i="3"/>
  <c r="N39" i="3" s="1"/>
  <c r="L39" i="3" l="1"/>
  <c r="V39" i="3"/>
  <c r="W39" i="3" s="1"/>
  <c r="AE39" i="3"/>
  <c r="U39" i="3" l="1"/>
  <c r="E40" i="3" s="1"/>
  <c r="H40" i="3" s="1"/>
  <c r="AH40" i="3"/>
  <c r="AG40" i="3"/>
  <c r="Y38" i="3"/>
  <c r="D40" i="3" l="1"/>
  <c r="F40" i="3" s="1"/>
  <c r="K40" i="3"/>
  <c r="G40" i="3" l="1"/>
  <c r="M40" i="3" s="1"/>
  <c r="N40" i="3" s="1"/>
  <c r="V40" i="3"/>
  <c r="AE40" i="3"/>
  <c r="I40" i="3" l="1"/>
  <c r="W40" i="3" s="1"/>
  <c r="J40" i="3"/>
  <c r="L40" i="3" s="1"/>
  <c r="U40" i="3" l="1"/>
  <c r="D41" i="3" s="1"/>
  <c r="AG41" i="3"/>
  <c r="AH41" i="3"/>
  <c r="Y39" i="3"/>
  <c r="G41" i="3" l="1"/>
  <c r="E41" i="3"/>
  <c r="H41" i="3" s="1"/>
  <c r="F41" i="3" l="1"/>
  <c r="I41" i="3"/>
  <c r="J41" i="3"/>
  <c r="M41" i="3"/>
  <c r="N41" i="3" s="1"/>
  <c r="K41" i="3"/>
  <c r="V41" i="3" l="1"/>
  <c r="W41" i="3" s="1"/>
  <c r="AE41" i="3"/>
  <c r="L41" i="3"/>
  <c r="U41" i="3" l="1"/>
  <c r="E42" i="3" s="1"/>
  <c r="H42" i="3" s="1"/>
  <c r="AG42" i="3"/>
  <c r="AH42" i="3"/>
  <c r="Y40" i="3"/>
  <c r="D42" i="3" l="1"/>
  <c r="G42" i="3" s="1"/>
  <c r="K42" i="3"/>
  <c r="F42" i="3" l="1"/>
  <c r="V42" i="3"/>
  <c r="AE42" i="3"/>
  <c r="I42" i="3"/>
  <c r="J42" i="3"/>
  <c r="M42" i="3"/>
  <c r="N42" i="3" s="1"/>
  <c r="W42" i="3" l="1"/>
  <c r="L42" i="3"/>
  <c r="AG43" i="3" l="1"/>
  <c r="AH43" i="3"/>
  <c r="U42" i="3"/>
  <c r="E43" i="3" s="1"/>
  <c r="H43" i="3" s="1"/>
  <c r="Y41" i="3"/>
  <c r="K43" i="3" l="1"/>
  <c r="D43" i="3"/>
  <c r="V43" i="3" l="1"/>
  <c r="AE43" i="3"/>
  <c r="F43" i="3"/>
  <c r="G43" i="3"/>
  <c r="I43" i="3" l="1"/>
  <c r="W43" i="3" s="1"/>
  <c r="J43" i="3"/>
  <c r="M43" i="3"/>
  <c r="N43" i="3" s="1"/>
  <c r="L43" i="3" l="1"/>
  <c r="AG44" i="3" l="1"/>
  <c r="AH44" i="3"/>
  <c r="U43" i="3"/>
  <c r="E44" i="3" s="1"/>
  <c r="H44" i="3" s="1"/>
  <c r="Y42" i="3"/>
  <c r="D44" i="3" l="1"/>
  <c r="F44" i="3" s="1"/>
  <c r="K44" i="3"/>
  <c r="G44" i="3" l="1"/>
  <c r="J44" i="3" s="1"/>
  <c r="AD44" i="3" s="1"/>
  <c r="V44" i="3"/>
  <c r="AE44" i="3"/>
  <c r="M44" i="3" l="1"/>
  <c r="N44" i="3" s="1"/>
  <c r="I44" i="3"/>
  <c r="W44" i="3" s="1"/>
  <c r="L44" i="3"/>
  <c r="U44" i="3" l="1"/>
  <c r="E45" i="3" s="1"/>
  <c r="H45" i="3" s="1"/>
  <c r="AH45" i="3"/>
  <c r="AG45" i="3"/>
  <c r="Y43" i="3"/>
  <c r="D45" i="3" l="1"/>
  <c r="G45" i="3" s="1"/>
  <c r="K45" i="3"/>
  <c r="F45" i="3" l="1"/>
  <c r="I45" i="3"/>
  <c r="J45" i="3"/>
  <c r="M45" i="3"/>
  <c r="N45" i="3" s="1"/>
  <c r="V45" i="3"/>
  <c r="AE45" i="3"/>
  <c r="L45" i="3" l="1"/>
  <c r="W45" i="3"/>
  <c r="U45" i="3" l="1"/>
  <c r="D46" i="3" s="1"/>
  <c r="AG46" i="3"/>
  <c r="AH46" i="3"/>
  <c r="Y44" i="3"/>
  <c r="E46" i="3" l="1"/>
  <c r="H46" i="3" s="1"/>
  <c r="K46" i="3" s="1"/>
  <c r="G46" i="3"/>
  <c r="F46" i="3" l="1"/>
  <c r="I46" i="3"/>
  <c r="J46" i="3"/>
  <c r="M46" i="3"/>
  <c r="N46" i="3" s="1"/>
  <c r="V46" i="3"/>
  <c r="AE46" i="3"/>
  <c r="W46" i="3" l="1"/>
  <c r="L46" i="3"/>
  <c r="AG47" i="3" l="1"/>
  <c r="U46" i="3"/>
  <c r="D47" i="3" s="1"/>
  <c r="AH47" i="3"/>
  <c r="Y45" i="3"/>
  <c r="E47" i="3" l="1"/>
  <c r="H47" i="3" s="1"/>
  <c r="K47" i="3" s="1"/>
  <c r="G47" i="3"/>
  <c r="F47" i="3" l="1"/>
  <c r="I47" i="3"/>
  <c r="J47" i="3"/>
  <c r="M47" i="3"/>
  <c r="N47" i="3" s="1"/>
  <c r="V47" i="3"/>
  <c r="AE47" i="3"/>
  <c r="W47" i="3" l="1"/>
  <c r="L47" i="3"/>
  <c r="AG48" i="3" l="1"/>
  <c r="U47" i="3"/>
  <c r="E48" i="3" s="1"/>
  <c r="H48" i="3" s="1"/>
  <c r="AH48" i="3"/>
  <c r="Y46" i="3"/>
  <c r="K48" i="3" l="1"/>
  <c r="D48" i="3"/>
  <c r="V48" i="3" l="1"/>
  <c r="AE48" i="3"/>
  <c r="F48" i="3"/>
  <c r="G48" i="3"/>
  <c r="I48" i="3" l="1"/>
  <c r="W48" i="3" s="1"/>
  <c r="J48" i="3"/>
  <c r="M48" i="3"/>
  <c r="N48" i="3" s="1"/>
  <c r="L48" i="3" l="1"/>
  <c r="AH49" i="3" l="1"/>
  <c r="U48" i="3"/>
  <c r="E49" i="3" s="1"/>
  <c r="H49" i="3" s="1"/>
  <c r="AG49" i="3"/>
  <c r="Y47" i="3"/>
  <c r="D49" i="3" l="1"/>
  <c r="G49" i="3" s="1"/>
  <c r="K49" i="3"/>
  <c r="F49" i="3" l="1"/>
  <c r="V49" i="3"/>
  <c r="AE49" i="3"/>
  <c r="I49" i="3"/>
  <c r="J49" i="3"/>
  <c r="M49" i="3"/>
  <c r="N49" i="3" s="1"/>
  <c r="W49" i="3" l="1"/>
  <c r="L49" i="3"/>
  <c r="AG50" i="3" l="1"/>
  <c r="AH50" i="3"/>
  <c r="U49" i="3"/>
  <c r="D50" i="3" s="1"/>
  <c r="Y48" i="3"/>
  <c r="E50" i="3" l="1"/>
  <c r="H50" i="3" s="1"/>
  <c r="K50" i="3" s="1"/>
  <c r="G50" i="3"/>
  <c r="F50" i="3" l="1"/>
  <c r="I50" i="3"/>
  <c r="J50" i="3"/>
  <c r="M50" i="3"/>
  <c r="N50" i="3" s="1"/>
  <c r="V50" i="3"/>
  <c r="AE50" i="3"/>
  <c r="L50" i="3" l="1"/>
  <c r="W50" i="3"/>
  <c r="U50" i="3" l="1"/>
  <c r="D51" i="3" s="1"/>
  <c r="AH51" i="3"/>
  <c r="AG51" i="3"/>
  <c r="Y49" i="3"/>
  <c r="E51" i="3" l="1"/>
  <c r="H51" i="3" s="1"/>
  <c r="K51" i="3" s="1"/>
  <c r="G51" i="3"/>
  <c r="F51" i="3" l="1"/>
  <c r="V51" i="3"/>
  <c r="AE51" i="3"/>
  <c r="I51" i="3"/>
  <c r="J51" i="3"/>
  <c r="M51" i="3"/>
  <c r="N51" i="3" s="1"/>
  <c r="W51" i="3" l="1"/>
  <c r="L51" i="3"/>
  <c r="AH52" i="3" l="1"/>
  <c r="AG52" i="3"/>
  <c r="U51" i="3"/>
  <c r="E52" i="3" s="1"/>
  <c r="H52" i="3" s="1"/>
  <c r="Y50" i="3"/>
  <c r="D52" i="3" l="1"/>
  <c r="G52" i="3" s="1"/>
  <c r="K52" i="3"/>
  <c r="F52" i="3" l="1"/>
  <c r="V52" i="3"/>
  <c r="AE52" i="3"/>
  <c r="I52" i="3"/>
  <c r="J52" i="3"/>
  <c r="M52" i="3"/>
  <c r="N52" i="3" s="1"/>
  <c r="L52" i="3" l="1"/>
  <c r="W52" i="3"/>
  <c r="AH53" i="3" l="1"/>
  <c r="AG53" i="3"/>
  <c r="U52" i="3"/>
  <c r="E53" i="3" s="1"/>
  <c r="H53" i="3" s="1"/>
  <c r="Y51" i="3"/>
  <c r="K53" i="3" l="1"/>
  <c r="D53" i="3"/>
  <c r="V53" i="3" l="1"/>
  <c r="AE53" i="3"/>
  <c r="F53" i="3"/>
  <c r="G53" i="3"/>
  <c r="I53" i="3" l="1"/>
  <c r="W53" i="3" s="1"/>
  <c r="J53" i="3"/>
  <c r="M53" i="3"/>
  <c r="N53" i="3" s="1"/>
  <c r="L53" i="3" l="1"/>
  <c r="AH54" i="3" l="1"/>
  <c r="AG54" i="3"/>
  <c r="U53" i="3"/>
  <c r="D54" i="3" s="1"/>
  <c r="Y52" i="3"/>
  <c r="G54" i="3" l="1"/>
  <c r="E54" i="3"/>
  <c r="H54" i="3" s="1"/>
  <c r="I54" i="3" l="1"/>
  <c r="J54" i="3"/>
  <c r="M54" i="3"/>
  <c r="N54" i="3" s="1"/>
  <c r="F54" i="3"/>
  <c r="K54" i="3"/>
  <c r="L54" i="3" l="1"/>
  <c r="V54" i="3"/>
  <c r="W54" i="3" s="1"/>
  <c r="AE54" i="3"/>
  <c r="U54" i="3" l="1"/>
  <c r="D55" i="3" s="1"/>
  <c r="AG55" i="3"/>
  <c r="AH55" i="3"/>
  <c r="Y53" i="3"/>
  <c r="E55" i="3" l="1"/>
  <c r="H55" i="3" s="1"/>
  <c r="K55" i="3" s="1"/>
  <c r="G55" i="3"/>
  <c r="F55" i="3" l="1"/>
  <c r="V55" i="3"/>
  <c r="AE55" i="3"/>
  <c r="I55" i="3"/>
  <c r="J55" i="3"/>
  <c r="M55" i="3"/>
  <c r="N55" i="3" s="1"/>
  <c r="W55" i="3" l="1"/>
  <c r="L55" i="3"/>
  <c r="AH56" i="3" l="1"/>
  <c r="U55" i="3"/>
  <c r="D56" i="3" s="1"/>
  <c r="AG56" i="3"/>
  <c r="Y54" i="3"/>
  <c r="E56" i="3" l="1"/>
  <c r="H56" i="3" s="1"/>
  <c r="K56" i="3" s="1"/>
  <c r="G56" i="3"/>
  <c r="F56" i="3" l="1"/>
  <c r="I56" i="3"/>
  <c r="J56" i="3"/>
  <c r="M56" i="3"/>
  <c r="N56" i="3" s="1"/>
  <c r="V56" i="3"/>
  <c r="AE56" i="3"/>
  <c r="W56" i="3" l="1"/>
  <c r="L56" i="3"/>
  <c r="AG57" i="3" l="1"/>
  <c r="U56" i="3"/>
  <c r="D57" i="3" s="1"/>
  <c r="AH57" i="3"/>
  <c r="Y55" i="3"/>
  <c r="E57" i="3" l="1"/>
  <c r="H57" i="3" s="1"/>
  <c r="K57" i="3" s="1"/>
  <c r="G57" i="3"/>
  <c r="F57" i="3" l="1"/>
  <c r="I57" i="3"/>
  <c r="J57" i="3"/>
  <c r="M57" i="3"/>
  <c r="N57" i="3" s="1"/>
  <c r="V57" i="3"/>
  <c r="AE57" i="3"/>
  <c r="W57" i="3" l="1"/>
  <c r="L57" i="3"/>
  <c r="U57" i="3" l="1"/>
  <c r="D58" i="3" s="1"/>
  <c r="AH58" i="3"/>
  <c r="AG58" i="3"/>
  <c r="Y56" i="3"/>
  <c r="E58" i="3" l="1"/>
  <c r="H58" i="3" s="1"/>
  <c r="K58" i="3" s="1"/>
  <c r="G58" i="3"/>
  <c r="F58" i="3" l="1"/>
  <c r="V58" i="3"/>
  <c r="AE58" i="3"/>
  <c r="I58" i="3"/>
  <c r="J58" i="3"/>
  <c r="M58" i="3"/>
  <c r="N58" i="3" s="1"/>
  <c r="W58" i="3" l="1"/>
  <c r="L58" i="3"/>
  <c r="AG59" i="3" l="1"/>
  <c r="U58" i="3"/>
  <c r="E59" i="3" s="1"/>
  <c r="H59" i="3" s="1"/>
  <c r="AH59" i="3"/>
  <c r="Y57" i="3"/>
  <c r="D59" i="3" l="1"/>
  <c r="F59" i="3" s="1"/>
  <c r="K59" i="3"/>
  <c r="G59" i="3" l="1"/>
  <c r="M59" i="3" s="1"/>
  <c r="N59" i="3" s="1"/>
  <c r="V59" i="3"/>
  <c r="AE59" i="3"/>
  <c r="I59" i="3" l="1"/>
  <c r="W59" i="3" s="1"/>
  <c r="J59" i="3"/>
  <c r="L59" i="3" s="1"/>
  <c r="AH60" i="3" l="1"/>
  <c r="U59" i="3"/>
  <c r="D60" i="3" s="1"/>
  <c r="AG60" i="3"/>
  <c r="Y58" i="3"/>
  <c r="E60" i="3" l="1"/>
  <c r="H60" i="3" s="1"/>
  <c r="K60" i="3" s="1"/>
  <c r="G60" i="3"/>
  <c r="F60" i="3" l="1"/>
  <c r="I60" i="3"/>
  <c r="J60" i="3"/>
  <c r="M60" i="3"/>
  <c r="N60" i="3" s="1"/>
  <c r="V60" i="3"/>
  <c r="AE60" i="3"/>
  <c r="W60" i="3" l="1"/>
  <c r="L60" i="3"/>
  <c r="AG61" i="3" l="1"/>
  <c r="U60" i="3"/>
  <c r="D61" i="3" s="1"/>
  <c r="AH61" i="3"/>
  <c r="Y59" i="3"/>
  <c r="G61" i="3" l="1"/>
  <c r="E61" i="3"/>
  <c r="H61" i="3" s="1"/>
  <c r="F61" i="3" l="1"/>
  <c r="I61" i="3"/>
  <c r="J61" i="3"/>
  <c r="M61" i="3"/>
  <c r="N61" i="3" s="1"/>
  <c r="K61" i="3"/>
  <c r="V61" i="3" l="1"/>
  <c r="W61" i="3" s="1"/>
  <c r="AE61" i="3"/>
  <c r="L61" i="3"/>
  <c r="AG62" i="3" l="1"/>
  <c r="U61" i="3"/>
  <c r="D62" i="3" s="1"/>
  <c r="AH62" i="3"/>
  <c r="Y60" i="3"/>
  <c r="G62" i="3" l="1"/>
  <c r="E62" i="3"/>
  <c r="H62" i="3" s="1"/>
  <c r="F62" i="3" l="1"/>
  <c r="I62" i="3"/>
  <c r="J62" i="3"/>
  <c r="M62" i="3"/>
  <c r="N62" i="3" s="1"/>
  <c r="K62" i="3"/>
  <c r="V62" i="3" l="1"/>
  <c r="W62" i="3" s="1"/>
  <c r="AE62" i="3"/>
  <c r="L62" i="3"/>
  <c r="U62" i="3" l="1"/>
  <c r="E63" i="3" s="1"/>
  <c r="H63" i="3" s="1"/>
  <c r="AG63" i="3"/>
  <c r="AH63" i="3"/>
  <c r="Y61" i="3"/>
  <c r="D63" i="3" l="1"/>
  <c r="G63" i="3" s="1"/>
  <c r="K63" i="3"/>
  <c r="F63" i="3" l="1"/>
  <c r="I63" i="3"/>
  <c r="J63" i="3"/>
  <c r="M63" i="3"/>
  <c r="N63" i="3" s="1"/>
  <c r="V63" i="3"/>
  <c r="AE63" i="3"/>
  <c r="W63" i="3" l="1"/>
  <c r="L63" i="3"/>
  <c r="U63" i="3" l="1"/>
  <c r="E64" i="3" s="1"/>
  <c r="H64" i="3" s="1"/>
  <c r="AH64" i="3"/>
  <c r="AG64" i="3"/>
  <c r="Y62" i="3"/>
  <c r="D64" i="3" l="1"/>
  <c r="G64" i="3" s="1"/>
  <c r="K64" i="3"/>
  <c r="F64" i="3" l="1"/>
  <c r="V64" i="3"/>
  <c r="AE64" i="3"/>
  <c r="I64" i="3"/>
  <c r="J64" i="3"/>
  <c r="M64" i="3"/>
  <c r="N64" i="3" s="1"/>
  <c r="W64" i="3" l="1"/>
  <c r="L64" i="3"/>
  <c r="U64" i="3" l="1"/>
  <c r="E65" i="3" s="1"/>
  <c r="H65" i="3" s="1"/>
  <c r="AH65" i="3"/>
  <c r="AG65" i="3"/>
  <c r="Y63" i="3"/>
  <c r="D65" i="3" l="1"/>
  <c r="G65" i="3" s="1"/>
  <c r="K65" i="3"/>
  <c r="F65" i="3" l="1"/>
  <c r="V65" i="3"/>
  <c r="AE65" i="3"/>
  <c r="I65" i="3"/>
  <c r="J65" i="3"/>
  <c r="M65" i="3"/>
  <c r="N65" i="3" s="1"/>
  <c r="W65" i="3" l="1"/>
  <c r="L65" i="3"/>
  <c r="U65" i="3" l="1"/>
  <c r="D66" i="3" s="1"/>
  <c r="AH66" i="3"/>
  <c r="AG66" i="3"/>
  <c r="Y64" i="3"/>
  <c r="E66" i="3" l="1"/>
  <c r="H66" i="3" s="1"/>
  <c r="K66" i="3" s="1"/>
  <c r="G66" i="3"/>
  <c r="F66" i="3" l="1"/>
  <c r="I66" i="3"/>
  <c r="J66" i="3"/>
  <c r="M66" i="3"/>
  <c r="N66" i="3" s="1"/>
  <c r="V66" i="3"/>
  <c r="AE66" i="3"/>
  <c r="W66" i="3" l="1"/>
  <c r="L66" i="3"/>
  <c r="U66" i="3" l="1"/>
  <c r="D67" i="3" s="1"/>
  <c r="AH67" i="3"/>
  <c r="AG67" i="3"/>
  <c r="Y65" i="3"/>
  <c r="E67" i="3" l="1"/>
  <c r="H67" i="3" s="1"/>
  <c r="K67" i="3" s="1"/>
  <c r="G67" i="3"/>
  <c r="F67" i="3" l="1"/>
  <c r="I67" i="3"/>
  <c r="J67" i="3"/>
  <c r="M67" i="3"/>
  <c r="N67" i="3" s="1"/>
  <c r="V67" i="3"/>
  <c r="AE67" i="3"/>
  <c r="W67" i="3" l="1"/>
  <c r="L67" i="3"/>
  <c r="U67" i="3" l="1"/>
  <c r="D68" i="3" s="1"/>
  <c r="AH68" i="3"/>
  <c r="AG68" i="3"/>
  <c r="Y66" i="3"/>
  <c r="E68" i="3" l="1"/>
  <c r="H68" i="3" s="1"/>
  <c r="K68" i="3" s="1"/>
  <c r="G68" i="3"/>
  <c r="F68" i="3" l="1"/>
  <c r="I68" i="3"/>
  <c r="J68" i="3"/>
  <c r="M68" i="3"/>
  <c r="N68" i="3" s="1"/>
  <c r="V68" i="3"/>
  <c r="AE68" i="3"/>
  <c r="W68" i="3" l="1"/>
  <c r="L68" i="3"/>
  <c r="U68" i="3" l="1"/>
  <c r="D69" i="3" s="1"/>
  <c r="AH69" i="3"/>
  <c r="AG69" i="3"/>
  <c r="Y67" i="3"/>
  <c r="E69" i="3" l="1"/>
  <c r="H69" i="3" s="1"/>
  <c r="K69" i="3" s="1"/>
  <c r="G69" i="3"/>
  <c r="F69" i="3" l="1"/>
  <c r="I69" i="3"/>
  <c r="J69" i="3"/>
  <c r="M69" i="3"/>
  <c r="N69" i="3" s="1"/>
  <c r="V69" i="3"/>
  <c r="AE69" i="3"/>
  <c r="W69" i="3" l="1"/>
  <c r="L69" i="3"/>
  <c r="AH70" i="3" l="1"/>
  <c r="U69" i="3"/>
  <c r="E70" i="3" s="1"/>
  <c r="H70" i="3" s="1"/>
  <c r="AG70" i="3"/>
  <c r="Y68" i="3"/>
  <c r="D70" i="3" l="1"/>
  <c r="G70" i="3" s="1"/>
  <c r="K70" i="3"/>
  <c r="F70" i="3" l="1"/>
  <c r="I70" i="3"/>
  <c r="J70" i="3"/>
  <c r="M70" i="3"/>
  <c r="N70" i="3" s="1"/>
  <c r="V70" i="3"/>
  <c r="AE70" i="3"/>
  <c r="W70" i="3" l="1"/>
  <c r="L70" i="3"/>
  <c r="AG71" i="3" l="1"/>
  <c r="AH71" i="3"/>
  <c r="U70" i="3"/>
  <c r="E71" i="3" s="1"/>
  <c r="H71" i="3" s="1"/>
  <c r="Y69" i="3"/>
  <c r="D71" i="3" l="1"/>
  <c r="G71" i="3" s="1"/>
  <c r="K71" i="3"/>
  <c r="F71" i="3" l="1"/>
  <c r="I71" i="3"/>
  <c r="J71" i="3"/>
  <c r="M71" i="3"/>
  <c r="N71" i="3" s="1"/>
  <c r="V71" i="3"/>
  <c r="AE71" i="3"/>
  <c r="W71" i="3" l="1"/>
  <c r="L71" i="3"/>
  <c r="AH72" i="3" l="1"/>
  <c r="U71" i="3"/>
  <c r="E72" i="3" s="1"/>
  <c r="H72" i="3" s="1"/>
  <c r="AG72" i="3"/>
  <c r="Y70" i="3"/>
  <c r="D72" i="3" l="1"/>
  <c r="F72" i="3" s="1"/>
  <c r="K72" i="3"/>
  <c r="G72" i="3" l="1"/>
  <c r="M72" i="3" s="1"/>
  <c r="N72" i="3" s="1"/>
  <c r="V72" i="3"/>
  <c r="AE72" i="3"/>
  <c r="I72" i="3" l="1"/>
  <c r="W72" i="3" s="1"/>
  <c r="J72" i="3"/>
  <c r="L72" i="3" s="1"/>
  <c r="U72" i="3" l="1"/>
  <c r="D73" i="3" s="1"/>
  <c r="AG73" i="3"/>
  <c r="AH73" i="3"/>
  <c r="Y71" i="3"/>
  <c r="E73" i="3" l="1"/>
  <c r="H73" i="3" s="1"/>
  <c r="K73" i="3" s="1"/>
  <c r="G73" i="3"/>
  <c r="F73" i="3" l="1"/>
  <c r="I73" i="3"/>
  <c r="J73" i="3"/>
  <c r="M73" i="3"/>
  <c r="N73" i="3" s="1"/>
  <c r="V73" i="3"/>
  <c r="AE73" i="3"/>
  <c r="W73" i="3" l="1"/>
  <c r="L73" i="3"/>
  <c r="AG74" i="3" l="1"/>
  <c r="AH74" i="3"/>
  <c r="U73" i="3"/>
  <c r="D74" i="3" s="1"/>
  <c r="Y72" i="3"/>
  <c r="G74" i="3" l="1"/>
  <c r="E74" i="3"/>
  <c r="H74" i="3" s="1"/>
  <c r="I74" i="3" l="1"/>
  <c r="J74" i="3"/>
  <c r="M74" i="3"/>
  <c r="N74" i="3" s="1"/>
  <c r="K74" i="3"/>
  <c r="F74" i="3"/>
  <c r="V74" i="3" l="1"/>
  <c r="W74" i="3" s="1"/>
  <c r="AE74" i="3"/>
  <c r="L74" i="3"/>
  <c r="AG75" i="3" l="1"/>
  <c r="U74" i="3"/>
  <c r="E75" i="3" s="1"/>
  <c r="H75" i="3" s="1"/>
  <c r="AH75" i="3"/>
  <c r="Y73" i="3"/>
  <c r="K75" i="3" l="1"/>
  <c r="D75" i="3"/>
  <c r="V75" i="3" l="1"/>
  <c r="AE75" i="3"/>
  <c r="F75" i="3"/>
  <c r="G75" i="3"/>
  <c r="I75" i="3" l="1"/>
  <c r="W75" i="3" s="1"/>
  <c r="J75" i="3"/>
  <c r="M75" i="3"/>
  <c r="N75" i="3" s="1"/>
  <c r="L75" i="3" l="1"/>
  <c r="U75" i="3" l="1"/>
  <c r="E76" i="3" s="1"/>
  <c r="H76" i="3" s="1"/>
  <c r="AH76" i="3"/>
  <c r="AG76" i="3"/>
  <c r="Y74" i="3"/>
  <c r="D76" i="3" l="1"/>
  <c r="F76" i="3" s="1"/>
  <c r="K76" i="3"/>
  <c r="G76" i="3" l="1"/>
  <c r="I76" i="3" s="1"/>
  <c r="V76" i="3"/>
  <c r="AE76" i="3"/>
  <c r="J76" i="3" l="1"/>
  <c r="L76" i="3" s="1"/>
  <c r="M76" i="3"/>
  <c r="N76" i="3" s="1"/>
  <c r="W76" i="3"/>
  <c r="U76" i="3" l="1"/>
  <c r="D77" i="3" s="1"/>
  <c r="AH77" i="3"/>
  <c r="AG77" i="3"/>
  <c r="Y75" i="3"/>
  <c r="E77" i="3" l="1"/>
  <c r="H77" i="3" s="1"/>
  <c r="K77" i="3" s="1"/>
  <c r="G77" i="3"/>
  <c r="F77" i="3" l="1"/>
  <c r="I77" i="3"/>
  <c r="J77" i="3"/>
  <c r="M77" i="3"/>
  <c r="N77" i="3" s="1"/>
  <c r="V77" i="3"/>
  <c r="AE77" i="3"/>
  <c r="W77" i="3" l="1"/>
  <c r="L77" i="3"/>
  <c r="AH78" i="3" l="1"/>
  <c r="U77" i="3"/>
  <c r="D78" i="3" s="1"/>
  <c r="AG78" i="3"/>
  <c r="Y76" i="3"/>
  <c r="E78" i="3" l="1"/>
  <c r="H78" i="3" s="1"/>
  <c r="K78" i="3" s="1"/>
  <c r="G78" i="3"/>
  <c r="F78" i="3" l="1"/>
  <c r="I78" i="3"/>
  <c r="J78" i="3"/>
  <c r="M78" i="3"/>
  <c r="N78" i="3" s="1"/>
  <c r="V78" i="3"/>
  <c r="AE78" i="3"/>
  <c r="W78" i="3" l="1"/>
  <c r="L78" i="3"/>
  <c r="U78" i="3" l="1"/>
  <c r="E79" i="3" s="1"/>
  <c r="H79" i="3" s="1"/>
  <c r="AH79" i="3"/>
  <c r="AG79" i="3"/>
  <c r="Y77" i="3"/>
  <c r="D79" i="3" l="1"/>
  <c r="G79" i="3" s="1"/>
  <c r="K79" i="3"/>
  <c r="F79" i="3" l="1"/>
  <c r="I79" i="3"/>
  <c r="J79" i="3"/>
  <c r="M79" i="3"/>
  <c r="N79" i="3" s="1"/>
  <c r="V79" i="3"/>
  <c r="AE79" i="3"/>
  <c r="W79" i="3" l="1"/>
  <c r="L79" i="3"/>
  <c r="AH80" i="3" l="1"/>
  <c r="AG80" i="3"/>
  <c r="U79" i="3"/>
  <c r="E80" i="3" s="1"/>
  <c r="H80" i="3" s="1"/>
  <c r="Y78" i="3"/>
  <c r="D80" i="3" l="1"/>
  <c r="F80" i="3" s="1"/>
  <c r="K80" i="3"/>
  <c r="G80" i="3" l="1"/>
  <c r="I80" i="3" s="1"/>
  <c r="V80" i="3"/>
  <c r="AE80" i="3"/>
  <c r="J80" i="3" l="1"/>
  <c r="L80" i="3" s="1"/>
  <c r="M80" i="3"/>
  <c r="N80" i="3" s="1"/>
  <c r="W80" i="3"/>
  <c r="U80" i="3" l="1"/>
  <c r="E81" i="3" s="1"/>
  <c r="H81" i="3" s="1"/>
  <c r="AG81" i="3"/>
  <c r="AH81" i="3"/>
  <c r="Y79" i="3"/>
  <c r="D81" i="3" l="1"/>
  <c r="G81" i="3" s="1"/>
  <c r="K81" i="3"/>
  <c r="F81" i="3" l="1"/>
  <c r="I81" i="3"/>
  <c r="J81" i="3"/>
  <c r="M81" i="3"/>
  <c r="N81" i="3" s="1"/>
  <c r="V81" i="3"/>
  <c r="AE81" i="3"/>
  <c r="W81" i="3" l="1"/>
  <c r="L81" i="3"/>
  <c r="AH82" i="3" l="1"/>
  <c r="AG82" i="3"/>
  <c r="U81" i="3"/>
  <c r="E82" i="3" s="1"/>
  <c r="H82" i="3" s="1"/>
  <c r="Y80" i="3"/>
  <c r="D82" i="3" l="1"/>
  <c r="G82" i="3" s="1"/>
  <c r="K82" i="3"/>
  <c r="F82" i="3" l="1"/>
  <c r="I82" i="3"/>
  <c r="J82" i="3"/>
  <c r="M82" i="3"/>
  <c r="N82" i="3" s="1"/>
  <c r="V82" i="3"/>
  <c r="AE82" i="3"/>
  <c r="W82" i="3" l="1"/>
  <c r="L82" i="3"/>
  <c r="AG83" i="3" l="1"/>
  <c r="U82" i="3"/>
  <c r="D83" i="3" s="1"/>
  <c r="AH83" i="3"/>
  <c r="Y81" i="3"/>
  <c r="E83" i="3" l="1"/>
  <c r="H83" i="3" s="1"/>
  <c r="K83" i="3" s="1"/>
  <c r="G83" i="3"/>
  <c r="F83" i="3" l="1"/>
  <c r="I83" i="3"/>
  <c r="J83" i="3"/>
  <c r="M83" i="3"/>
  <c r="N83" i="3" s="1"/>
  <c r="V83" i="3"/>
  <c r="AE83" i="3"/>
  <c r="W83" i="3" l="1"/>
  <c r="L83" i="3"/>
  <c r="AG84" i="3" l="1"/>
  <c r="AH84" i="3"/>
  <c r="U83" i="3"/>
  <c r="D84" i="3" s="1"/>
  <c r="Y82" i="3"/>
  <c r="G84" i="3" l="1"/>
  <c r="E84" i="3"/>
  <c r="H84" i="3" s="1"/>
  <c r="K84" i="3" l="1"/>
  <c r="I84" i="3"/>
  <c r="J84" i="3"/>
  <c r="M84" i="3"/>
  <c r="N84" i="3" s="1"/>
  <c r="F84" i="3"/>
  <c r="L84" i="3" l="1"/>
  <c r="V84" i="3"/>
  <c r="W84" i="3" s="1"/>
  <c r="AE84" i="3"/>
  <c r="AH85" i="3" l="1"/>
  <c r="AG85" i="3"/>
  <c r="U84" i="3"/>
  <c r="D85" i="3" s="1"/>
  <c r="Y83" i="3"/>
  <c r="E85" i="3" l="1"/>
  <c r="H85" i="3" s="1"/>
  <c r="K85" i="3" s="1"/>
  <c r="G85" i="3"/>
  <c r="F85" i="3" l="1"/>
  <c r="I85" i="3"/>
  <c r="J85" i="3"/>
  <c r="M85" i="3"/>
  <c r="N85" i="3" s="1"/>
  <c r="V85" i="3"/>
  <c r="AE85" i="3"/>
  <c r="W85" i="3" l="1"/>
  <c r="L85" i="3"/>
  <c r="AH86" i="3" l="1"/>
  <c r="AG86" i="3"/>
  <c r="U85" i="3"/>
  <c r="E86" i="3" s="1"/>
  <c r="H86" i="3" s="1"/>
  <c r="Y84" i="3"/>
  <c r="D86" i="3" l="1"/>
  <c r="F86" i="3" s="1"/>
  <c r="K86" i="3"/>
  <c r="G86" i="3" l="1"/>
  <c r="M86" i="3" s="1"/>
  <c r="N86" i="3" s="1"/>
  <c r="V86" i="3"/>
  <c r="AE86" i="3"/>
  <c r="I86" i="3" l="1"/>
  <c r="W86" i="3" s="1"/>
  <c r="J86" i="3"/>
  <c r="L86" i="3" s="1"/>
  <c r="U86" i="3" l="1"/>
  <c r="E87" i="3" s="1"/>
  <c r="H87" i="3" s="1"/>
  <c r="AH87" i="3"/>
  <c r="AG87" i="3"/>
  <c r="Y85" i="3"/>
  <c r="D87" i="3" l="1"/>
  <c r="G87" i="3" s="1"/>
  <c r="K87" i="3"/>
  <c r="F87" i="3" l="1"/>
  <c r="V87" i="3"/>
  <c r="AE87" i="3"/>
  <c r="I87" i="3"/>
  <c r="J87" i="3"/>
  <c r="M87" i="3"/>
  <c r="N87" i="3" s="1"/>
  <c r="L87" i="3" l="1"/>
  <c r="W87" i="3"/>
  <c r="U87" i="3" l="1"/>
  <c r="E88" i="3" s="1"/>
  <c r="H88" i="3" s="1"/>
  <c r="AG88" i="3"/>
  <c r="AH88" i="3"/>
  <c r="Y86" i="3"/>
  <c r="D88" i="3" l="1"/>
  <c r="G88" i="3" s="1"/>
  <c r="K88" i="3"/>
  <c r="F88" i="3" l="1"/>
  <c r="I88" i="3"/>
  <c r="J88" i="3"/>
  <c r="M88" i="3"/>
  <c r="N88" i="3" s="1"/>
  <c r="V88" i="3"/>
  <c r="AE88" i="3"/>
  <c r="W88" i="3" l="1"/>
  <c r="L88" i="3"/>
  <c r="AH89" i="3" l="1"/>
  <c r="U88" i="3"/>
  <c r="E89" i="3" s="1"/>
  <c r="H89" i="3" s="1"/>
  <c r="AG89" i="3"/>
  <c r="Y87" i="3"/>
  <c r="K89" i="3" l="1"/>
  <c r="D89" i="3"/>
  <c r="V89" i="3" l="1"/>
  <c r="AE89" i="3"/>
  <c r="F89" i="3"/>
  <c r="G89" i="3"/>
  <c r="I89" i="3" l="1"/>
  <c r="W89" i="3" s="1"/>
  <c r="J89" i="3"/>
  <c r="M89" i="3"/>
  <c r="N89" i="3" s="1"/>
  <c r="L89" i="3" l="1"/>
  <c r="U89" i="3" l="1"/>
  <c r="D90" i="3" s="1"/>
  <c r="AH90" i="3"/>
  <c r="AG90" i="3"/>
  <c r="Y88" i="3"/>
  <c r="G90" i="3" l="1"/>
  <c r="E90" i="3"/>
  <c r="H90" i="3" s="1"/>
  <c r="F90" i="3" l="1"/>
  <c r="I90" i="3"/>
  <c r="J90" i="3"/>
  <c r="M90" i="3"/>
  <c r="N90" i="3" s="1"/>
  <c r="K90" i="3"/>
  <c r="V90" i="3" l="1"/>
  <c r="W90" i="3" s="1"/>
  <c r="AE90" i="3"/>
  <c r="L90" i="3"/>
  <c r="AG91" i="3" l="1"/>
  <c r="AH91" i="3"/>
  <c r="U90" i="3"/>
  <c r="D91" i="3" s="1"/>
  <c r="Y89" i="3"/>
  <c r="G91" i="3" l="1"/>
  <c r="E91" i="3"/>
  <c r="H91" i="3" s="1"/>
  <c r="F91" i="3" l="1"/>
  <c r="I91" i="3"/>
  <c r="J91" i="3"/>
  <c r="M91" i="3"/>
  <c r="N91" i="3" s="1"/>
  <c r="K91" i="3"/>
  <c r="V91" i="3" l="1"/>
  <c r="W91" i="3" s="1"/>
  <c r="AE91" i="3"/>
  <c r="L91" i="3"/>
  <c r="AH92" i="3" l="1"/>
  <c r="AG92" i="3"/>
  <c r="U91" i="3"/>
  <c r="D92" i="3" s="1"/>
  <c r="Y90" i="3"/>
  <c r="G92" i="3" l="1"/>
  <c r="E92" i="3"/>
  <c r="H92" i="3" s="1"/>
  <c r="F92" i="3" l="1"/>
  <c r="I92" i="3"/>
  <c r="J92" i="3"/>
  <c r="M92" i="3"/>
  <c r="N92" i="3" s="1"/>
  <c r="K92" i="3"/>
  <c r="V92" i="3" l="1"/>
  <c r="W92" i="3" s="1"/>
  <c r="AE92" i="3"/>
  <c r="L92" i="3"/>
  <c r="U92" i="3" l="1"/>
  <c r="D93" i="3" s="1"/>
  <c r="AH93" i="3"/>
  <c r="AG93" i="3"/>
  <c r="Y91" i="3"/>
  <c r="E93" i="3" l="1"/>
  <c r="H93" i="3" s="1"/>
  <c r="K93" i="3" s="1"/>
  <c r="G93" i="3"/>
  <c r="F93" i="3" l="1"/>
  <c r="I93" i="3"/>
  <c r="J93" i="3"/>
  <c r="M93" i="3"/>
  <c r="N93" i="3" s="1"/>
  <c r="V93" i="3"/>
  <c r="AE93" i="3"/>
  <c r="W93" i="3" l="1"/>
  <c r="L93" i="3"/>
  <c r="AG94" i="3" l="1"/>
  <c r="AH94" i="3"/>
  <c r="U93" i="3"/>
  <c r="D94" i="3" s="1"/>
  <c r="Y92" i="3"/>
  <c r="E94" i="3" l="1"/>
  <c r="H94" i="3" s="1"/>
  <c r="K94" i="3" s="1"/>
  <c r="G94" i="3"/>
  <c r="F94" i="3" l="1"/>
  <c r="I94" i="3"/>
  <c r="J94" i="3"/>
  <c r="M94" i="3"/>
  <c r="N94" i="3" s="1"/>
  <c r="V94" i="3"/>
  <c r="AE94" i="3"/>
  <c r="L94" i="3" l="1"/>
  <c r="W94" i="3"/>
  <c r="U94" i="3" l="1"/>
  <c r="D95" i="3" s="1"/>
  <c r="AG95" i="3"/>
  <c r="AH95" i="3"/>
  <c r="Y93" i="3"/>
  <c r="E95" i="3" l="1"/>
  <c r="H95" i="3" s="1"/>
  <c r="K95" i="3" s="1"/>
  <c r="G95" i="3"/>
  <c r="F95" i="3" l="1"/>
  <c r="I95" i="3"/>
  <c r="J95" i="3"/>
  <c r="M95" i="3"/>
  <c r="N95" i="3" s="1"/>
  <c r="V95" i="3"/>
  <c r="AE95" i="3"/>
  <c r="W95" i="3" l="1"/>
  <c r="L95" i="3"/>
  <c r="AG96" i="3" l="1"/>
  <c r="AH96" i="3"/>
  <c r="U95" i="3"/>
  <c r="D96" i="3" s="1"/>
  <c r="Y94" i="3"/>
  <c r="G96" i="3" l="1"/>
  <c r="E96" i="3"/>
  <c r="H96" i="3" s="1"/>
  <c r="F96" i="3" l="1"/>
  <c r="I96" i="3"/>
  <c r="J96" i="3"/>
  <c r="M96" i="3"/>
  <c r="N96" i="3" s="1"/>
  <c r="K96" i="3"/>
  <c r="L96" i="3" l="1"/>
  <c r="V96" i="3"/>
  <c r="W96" i="3" s="1"/>
  <c r="AE96" i="3"/>
  <c r="AG97" i="3" l="1"/>
  <c r="AH97" i="3"/>
  <c r="U96" i="3"/>
  <c r="E97" i="3" s="1"/>
  <c r="H97" i="3" s="1"/>
  <c r="Y95" i="3"/>
  <c r="K97" i="3" l="1"/>
  <c r="D97" i="3"/>
  <c r="V97" i="3" l="1"/>
  <c r="AE97" i="3"/>
  <c r="F97" i="3"/>
  <c r="G97" i="3"/>
  <c r="I97" i="3" l="1"/>
  <c r="W97" i="3" s="1"/>
  <c r="J97" i="3"/>
  <c r="M97" i="3"/>
  <c r="N97" i="3" s="1"/>
  <c r="L97" i="3" l="1"/>
  <c r="U97" i="3" l="1"/>
  <c r="D98" i="3" s="1"/>
  <c r="AH98" i="3"/>
  <c r="AG98" i="3"/>
  <c r="Y96" i="3"/>
  <c r="G98" i="3" l="1"/>
  <c r="E98" i="3"/>
  <c r="H98" i="3" s="1"/>
  <c r="I98" i="3" l="1"/>
  <c r="J98" i="3"/>
  <c r="M98" i="3"/>
  <c r="N98" i="3" s="1"/>
  <c r="F98" i="3"/>
  <c r="K98" i="3"/>
  <c r="L98" i="3" l="1"/>
  <c r="V98" i="3"/>
  <c r="W98" i="3" s="1"/>
  <c r="AE98" i="3"/>
  <c r="AG99" i="3" l="1"/>
  <c r="AH99" i="3"/>
  <c r="U98" i="3"/>
  <c r="D99" i="3" s="1"/>
  <c r="Y97" i="3"/>
  <c r="G99" i="3" l="1"/>
  <c r="E99" i="3"/>
  <c r="H99" i="3" s="1"/>
  <c r="F99" i="3" l="1"/>
  <c r="I99" i="3"/>
  <c r="J99" i="3"/>
  <c r="M99" i="3"/>
  <c r="N99" i="3" s="1"/>
  <c r="K99" i="3"/>
  <c r="V99" i="3" l="1"/>
  <c r="W99" i="3" s="1"/>
  <c r="AE99" i="3"/>
  <c r="L99" i="3"/>
  <c r="U99" i="3" l="1"/>
  <c r="D100" i="3" s="1"/>
  <c r="AH100" i="3"/>
  <c r="AG100" i="3"/>
  <c r="Y98" i="3"/>
  <c r="E100" i="3" l="1"/>
  <c r="H100" i="3" s="1"/>
  <c r="K100" i="3" s="1"/>
  <c r="G100" i="3"/>
  <c r="F100" i="3" l="1"/>
  <c r="V100" i="3"/>
  <c r="AE100" i="3"/>
  <c r="I100" i="3"/>
  <c r="J100" i="3"/>
  <c r="M100" i="3"/>
  <c r="N100" i="3" s="1"/>
  <c r="W100" i="3" l="1"/>
  <c r="L100" i="3"/>
  <c r="AH101" i="3" l="1"/>
  <c r="U100" i="3"/>
  <c r="E101" i="3" s="1"/>
  <c r="H101" i="3" s="1"/>
  <c r="AG101" i="3"/>
  <c r="Y99" i="3"/>
  <c r="K101" i="3" l="1"/>
  <c r="D101" i="3"/>
  <c r="V101" i="3" l="1"/>
  <c r="AE101" i="3"/>
  <c r="F101" i="3"/>
  <c r="G101" i="3"/>
  <c r="I101" i="3" l="1"/>
  <c r="W101" i="3" s="1"/>
  <c r="J101" i="3"/>
  <c r="M101" i="3"/>
  <c r="N101" i="3" s="1"/>
  <c r="L101" i="3" l="1"/>
  <c r="AH102" i="3" l="1"/>
  <c r="AG102" i="3"/>
  <c r="U101" i="3"/>
  <c r="E102" i="3" s="1"/>
  <c r="H102" i="3" s="1"/>
  <c r="Y100" i="3"/>
  <c r="K102" i="3" l="1"/>
  <c r="D102" i="3"/>
  <c r="V102" i="3" l="1"/>
  <c r="AE102" i="3"/>
  <c r="F102" i="3"/>
  <c r="G102" i="3"/>
  <c r="I102" i="3" l="1"/>
  <c r="W102" i="3" s="1"/>
  <c r="J102" i="3"/>
  <c r="M102" i="3"/>
  <c r="N102" i="3" s="1"/>
  <c r="L102" i="3" l="1"/>
  <c r="AG103" i="3" l="1"/>
  <c r="AH103" i="3"/>
  <c r="U102" i="3"/>
  <c r="E103" i="3" s="1"/>
  <c r="H103" i="3" s="1"/>
  <c r="Y101" i="3"/>
  <c r="K103" i="3" l="1"/>
  <c r="D103" i="3"/>
  <c r="V103" i="3" l="1"/>
  <c r="AE103" i="3"/>
  <c r="F103" i="3"/>
  <c r="G103" i="3"/>
  <c r="I103" i="3" l="1"/>
  <c r="W103" i="3" s="1"/>
  <c r="J103" i="3"/>
  <c r="M103" i="3"/>
  <c r="N103" i="3" s="1"/>
  <c r="L103" i="3" l="1"/>
  <c r="AG104" i="3" l="1"/>
  <c r="AH104" i="3"/>
  <c r="U103" i="3"/>
  <c r="E104" i="3" s="1"/>
  <c r="H104" i="3" s="1"/>
  <c r="Y102" i="3"/>
  <c r="K104" i="3" l="1"/>
  <c r="A105" i="3" s="1"/>
  <c r="B105" i="3" s="1"/>
  <c r="D104" i="3"/>
  <c r="AA105" i="3" l="1"/>
  <c r="P105" i="3"/>
  <c r="Q105" i="3" s="1"/>
  <c r="R105" i="3" s="1"/>
  <c r="S105" i="3" s="1"/>
  <c r="AD105" i="3"/>
  <c r="Z105" i="3"/>
  <c r="AC105" i="3"/>
  <c r="V104" i="3"/>
  <c r="AE104" i="3"/>
  <c r="F104" i="3"/>
  <c r="G104" i="3"/>
  <c r="T105" i="3" l="1"/>
  <c r="I104" i="3"/>
  <c r="W104" i="3" s="1"/>
  <c r="J104" i="3"/>
  <c r="M104" i="3"/>
  <c r="N104" i="3" s="1"/>
  <c r="L104" i="3" l="1"/>
  <c r="AD104" i="3"/>
  <c r="U104" i="3" l="1"/>
  <c r="E105" i="3" s="1"/>
  <c r="H105" i="3" s="1"/>
  <c r="AG105" i="3"/>
  <c r="AH105" i="3"/>
  <c r="Y103" i="3"/>
  <c r="D105" i="3" l="1"/>
  <c r="G105" i="3" s="1"/>
  <c r="K105" i="3"/>
  <c r="A106" i="3" s="1"/>
  <c r="B106" i="3" s="1"/>
  <c r="Z106" i="3" l="1"/>
  <c r="AC106" i="3"/>
  <c r="AA106" i="3"/>
  <c r="AD106" i="3"/>
  <c r="P106" i="3"/>
  <c r="Q106" i="3" s="1"/>
  <c r="R106" i="3" s="1"/>
  <c r="S106" i="3" s="1"/>
  <c r="F105" i="3"/>
  <c r="V105" i="3"/>
  <c r="AE105" i="3"/>
  <c r="I105" i="3"/>
  <c r="J105" i="3"/>
  <c r="M105" i="3"/>
  <c r="N105" i="3" s="1"/>
  <c r="T106" i="3" l="1"/>
  <c r="W105" i="3"/>
  <c r="L105" i="3"/>
  <c r="AH106" i="3" l="1"/>
  <c r="AG106" i="3"/>
  <c r="U105" i="3"/>
  <c r="D106" i="3" s="1"/>
  <c r="Y104" i="3"/>
  <c r="E106" i="3" l="1"/>
  <c r="H106" i="3" s="1"/>
  <c r="K106" i="3" s="1"/>
  <c r="A107" i="3" s="1"/>
  <c r="B107" i="3" s="1"/>
  <c r="G106" i="3"/>
  <c r="Z107" i="3" l="1"/>
  <c r="AA107" i="3"/>
  <c r="AC107" i="3"/>
  <c r="P107" i="3"/>
  <c r="Q107" i="3" s="1"/>
  <c r="R107" i="3" s="1"/>
  <c r="S107" i="3" s="1"/>
  <c r="AD107" i="3"/>
  <c r="F106" i="3"/>
  <c r="V106" i="3"/>
  <c r="AE106" i="3"/>
  <c r="I106" i="3"/>
  <c r="J106" i="3"/>
  <c r="M106" i="3"/>
  <c r="N106" i="3" s="1"/>
  <c r="T107" i="3" l="1"/>
  <c r="W106" i="3"/>
  <c r="L106" i="3"/>
  <c r="AG107" i="3" l="1"/>
  <c r="AH107" i="3"/>
  <c r="U106" i="3"/>
  <c r="E107" i="3" s="1"/>
  <c r="H107" i="3" s="1"/>
  <c r="Y105" i="3"/>
  <c r="K107" i="3" l="1"/>
  <c r="A108" i="3" s="1"/>
  <c r="B108" i="3" s="1"/>
  <c r="D107" i="3"/>
  <c r="AA108" i="3" l="1"/>
  <c r="AC108" i="3"/>
  <c r="AD108" i="3"/>
  <c r="Z108" i="3"/>
  <c r="P108" i="3"/>
  <c r="Q108" i="3" s="1"/>
  <c r="R108" i="3" s="1"/>
  <c r="S108" i="3" s="1"/>
  <c r="V107" i="3"/>
  <c r="AE107" i="3"/>
  <c r="F107" i="3"/>
  <c r="G107" i="3"/>
  <c r="T108" i="3" l="1"/>
  <c r="I107" i="3"/>
  <c r="W107" i="3" s="1"/>
  <c r="J107" i="3"/>
  <c r="M107" i="3"/>
  <c r="N107" i="3" s="1"/>
  <c r="L107" i="3" l="1"/>
  <c r="AH108" i="3" l="1"/>
  <c r="U107" i="3"/>
  <c r="E108" i="3" s="1"/>
  <c r="H108" i="3" s="1"/>
  <c r="AG108" i="3"/>
  <c r="Y106" i="3"/>
  <c r="D108" i="3" l="1"/>
  <c r="G108" i="3" s="1"/>
  <c r="K108" i="3"/>
  <c r="A109" i="3" s="1"/>
  <c r="B109" i="3" s="1"/>
  <c r="P109" i="3" l="1"/>
  <c r="Q109" i="3" s="1"/>
  <c r="R109" i="3" s="1"/>
  <c r="S109" i="3" s="1"/>
  <c r="AA109" i="3"/>
  <c r="Z109" i="3"/>
  <c r="AD109" i="3"/>
  <c r="AC109" i="3"/>
  <c r="F108" i="3"/>
  <c r="I108" i="3"/>
  <c r="J108" i="3"/>
  <c r="M108" i="3"/>
  <c r="N108" i="3" s="1"/>
  <c r="V108" i="3"/>
  <c r="AE108" i="3"/>
  <c r="T109" i="3" l="1"/>
  <c r="W108" i="3"/>
  <c r="L108" i="3"/>
  <c r="AG109" i="3" l="1"/>
  <c r="U108" i="3"/>
  <c r="D109" i="3" s="1"/>
  <c r="AH109" i="3"/>
  <c r="Y107" i="3"/>
  <c r="E109" i="3" l="1"/>
  <c r="H109" i="3" s="1"/>
  <c r="K109" i="3" s="1"/>
  <c r="A110" i="3" s="1"/>
  <c r="B110" i="3" s="1"/>
  <c r="G109" i="3"/>
  <c r="AD110" i="3" l="1"/>
  <c r="P110" i="3"/>
  <c r="Q110" i="3" s="1"/>
  <c r="R110" i="3" s="1"/>
  <c r="S110" i="3" s="1"/>
  <c r="AA110" i="3"/>
  <c r="Z110" i="3"/>
  <c r="AC110" i="3"/>
  <c r="F109" i="3"/>
  <c r="V109" i="3"/>
  <c r="AE109" i="3"/>
  <c r="I109" i="3"/>
  <c r="J109" i="3"/>
  <c r="M109" i="3"/>
  <c r="N109" i="3" s="1"/>
  <c r="T110" i="3" l="1"/>
  <c r="L109" i="3"/>
  <c r="W109" i="3"/>
  <c r="AH110" i="3" l="1"/>
  <c r="AG110" i="3"/>
  <c r="U109" i="3"/>
  <c r="D110" i="3" s="1"/>
  <c r="Y108" i="3"/>
  <c r="E110" i="3" l="1"/>
  <c r="H110" i="3" s="1"/>
  <c r="K110" i="3" s="1"/>
  <c r="A111" i="3" s="1"/>
  <c r="B111" i="3" s="1"/>
  <c r="G110" i="3"/>
  <c r="AA111" i="3" l="1"/>
  <c r="AC111" i="3"/>
  <c r="P111" i="3"/>
  <c r="Q111" i="3" s="1"/>
  <c r="R111" i="3" s="1"/>
  <c r="S111" i="3" s="1"/>
  <c r="Z111" i="3"/>
  <c r="AD111" i="3"/>
  <c r="F110" i="3"/>
  <c r="I110" i="3"/>
  <c r="J110" i="3"/>
  <c r="M110" i="3"/>
  <c r="N110" i="3" s="1"/>
  <c r="V110" i="3"/>
  <c r="AE110" i="3"/>
  <c r="T111" i="3" l="1"/>
  <c r="W110" i="3"/>
  <c r="L110" i="3"/>
  <c r="AH111" i="3" l="1"/>
  <c r="U110" i="3"/>
  <c r="E111" i="3" s="1"/>
  <c r="H111" i="3" s="1"/>
  <c r="AG111" i="3"/>
  <c r="Y109" i="3"/>
  <c r="D111" i="3" l="1"/>
  <c r="G111" i="3" s="1"/>
  <c r="K111" i="3"/>
  <c r="A112" i="3" s="1"/>
  <c r="B112" i="3" s="1"/>
  <c r="AD112" i="3" l="1"/>
  <c r="AA112" i="3"/>
  <c r="AC112" i="3"/>
  <c r="P112" i="3"/>
  <c r="Q112" i="3" s="1"/>
  <c r="R112" i="3" s="1"/>
  <c r="S112" i="3" s="1"/>
  <c r="Z112" i="3"/>
  <c r="F111" i="3"/>
  <c r="I111" i="3"/>
  <c r="J111" i="3"/>
  <c r="M111" i="3"/>
  <c r="N111" i="3" s="1"/>
  <c r="V111" i="3"/>
  <c r="AE111" i="3"/>
  <c r="T112" i="3" l="1"/>
  <c r="W111" i="3"/>
  <c r="L111" i="3"/>
  <c r="AH112" i="3" l="1"/>
  <c r="U111" i="3"/>
  <c r="D112" i="3" s="1"/>
  <c r="AG112" i="3"/>
  <c r="Y110" i="3"/>
  <c r="E112" i="3" l="1"/>
  <c r="H112" i="3" s="1"/>
  <c r="K112" i="3" s="1"/>
  <c r="A113" i="3" s="1"/>
  <c r="B113" i="3" s="1"/>
  <c r="G112" i="3"/>
  <c r="AC113" i="3" l="1"/>
  <c r="AA113" i="3"/>
  <c r="Z113" i="3"/>
  <c r="P113" i="3"/>
  <c r="Q113" i="3" s="1"/>
  <c r="R113" i="3" s="1"/>
  <c r="S113" i="3" s="1"/>
  <c r="AD113" i="3"/>
  <c r="F112" i="3"/>
  <c r="V112" i="3"/>
  <c r="AE112" i="3"/>
  <c r="I112" i="3"/>
  <c r="J112" i="3"/>
  <c r="M112" i="3"/>
  <c r="N112" i="3" s="1"/>
  <c r="T113" i="3" l="1"/>
  <c r="W112" i="3"/>
  <c r="L112" i="3"/>
  <c r="AG113" i="3" l="1"/>
  <c r="U112" i="3"/>
  <c r="E113" i="3" s="1"/>
  <c r="H113" i="3" s="1"/>
  <c r="AH113" i="3"/>
  <c r="Y111" i="3"/>
  <c r="D113" i="3" l="1"/>
  <c r="G113" i="3" s="1"/>
  <c r="K113" i="3"/>
  <c r="A114" i="3" s="1"/>
  <c r="B114" i="3" s="1"/>
  <c r="Z114" i="3" l="1"/>
  <c r="AC114" i="3"/>
  <c r="AA114" i="3"/>
  <c r="P114" i="3"/>
  <c r="Q114" i="3" s="1"/>
  <c r="R114" i="3" s="1"/>
  <c r="S114" i="3" s="1"/>
  <c r="F113" i="3"/>
  <c r="V113" i="3"/>
  <c r="AE113" i="3"/>
  <c r="I113" i="3"/>
  <c r="J113" i="3"/>
  <c r="M113" i="3"/>
  <c r="N113" i="3" s="1"/>
  <c r="T114" i="3" l="1"/>
  <c r="W113" i="3"/>
  <c r="L113" i="3"/>
  <c r="AH114" i="3" l="1"/>
  <c r="U113" i="3"/>
  <c r="D114" i="3" s="1"/>
  <c r="AG114" i="3"/>
  <c r="Y112" i="3"/>
  <c r="E114" i="3" l="1"/>
  <c r="H114" i="3" s="1"/>
  <c r="K114" i="3" s="1"/>
  <c r="A115" i="3" s="1"/>
  <c r="B115" i="3" s="1"/>
  <c r="G114" i="3"/>
  <c r="AA115" i="3" l="1"/>
  <c r="AD115" i="3"/>
  <c r="P115" i="3"/>
  <c r="Q115" i="3" s="1"/>
  <c r="R115" i="3" s="1"/>
  <c r="S115" i="3" s="1"/>
  <c r="Z115" i="3"/>
  <c r="AC115" i="3"/>
  <c r="F114" i="3"/>
  <c r="I114" i="3"/>
  <c r="J114" i="3"/>
  <c r="AD114" i="3" s="1"/>
  <c r="M114" i="3"/>
  <c r="N114" i="3" s="1"/>
  <c r="V114" i="3"/>
  <c r="AE114" i="3"/>
  <c r="T115" i="3" l="1"/>
  <c r="W114" i="3"/>
  <c r="L114" i="3"/>
  <c r="U114" i="3" l="1"/>
  <c r="D115" i="3" s="1"/>
  <c r="AH115" i="3"/>
  <c r="AG115" i="3"/>
  <c r="Y113" i="3"/>
  <c r="G115" i="3" l="1"/>
  <c r="E115" i="3"/>
  <c r="H115" i="3" s="1"/>
  <c r="F115" i="3" l="1"/>
  <c r="I115" i="3"/>
  <c r="J115" i="3"/>
  <c r="M115" i="3"/>
  <c r="N115" i="3" s="1"/>
  <c r="K115" i="3"/>
  <c r="A116" i="3" s="1"/>
  <c r="B116" i="3" s="1"/>
  <c r="AD116" i="3" l="1"/>
  <c r="AA116" i="3"/>
  <c r="AC116" i="3"/>
  <c r="Z116" i="3"/>
  <c r="P116" i="3"/>
  <c r="Q116" i="3" s="1"/>
  <c r="R116" i="3" s="1"/>
  <c r="S116" i="3" s="1"/>
  <c r="V115" i="3"/>
  <c r="W115" i="3" s="1"/>
  <c r="AE115" i="3"/>
  <c r="L115" i="3"/>
  <c r="T116" i="3" l="1"/>
  <c r="AH116" i="3" s="1"/>
  <c r="U115" i="3"/>
  <c r="Y114" i="3"/>
  <c r="AG116" i="3" l="1"/>
  <c r="E116" i="3"/>
  <c r="H116" i="3" s="1"/>
  <c r="K116" i="3" s="1"/>
  <c r="A117" i="3" s="1"/>
  <c r="B117" i="3" s="1"/>
  <c r="D116" i="3"/>
  <c r="P117" i="3" l="1"/>
  <c r="Q117" i="3" s="1"/>
  <c r="R117" i="3" s="1"/>
  <c r="S117" i="3" s="1"/>
  <c r="AC117" i="3"/>
  <c r="AD117" i="3"/>
  <c r="AA117" i="3"/>
  <c r="Z117" i="3"/>
  <c r="V116" i="3"/>
  <c r="AE116" i="3"/>
  <c r="F116" i="3"/>
  <c r="G116" i="3"/>
  <c r="T117" i="3" l="1"/>
  <c r="I116" i="3"/>
  <c r="W116" i="3" s="1"/>
  <c r="J116" i="3"/>
  <c r="M116" i="3"/>
  <c r="N116" i="3" s="1"/>
  <c r="L116" i="3" l="1"/>
  <c r="U116" i="3" l="1"/>
  <c r="D117" i="3" s="1"/>
  <c r="AH117" i="3"/>
  <c r="AG117" i="3"/>
  <c r="Y115" i="3"/>
  <c r="E117" i="3" l="1"/>
  <c r="H117" i="3" s="1"/>
  <c r="K117" i="3" s="1"/>
  <c r="A118" i="3" s="1"/>
  <c r="B118" i="3" s="1"/>
  <c r="G117" i="3"/>
  <c r="P118" i="3" l="1"/>
  <c r="Q118" i="3" s="1"/>
  <c r="R118" i="3" s="1"/>
  <c r="S118" i="3" s="1"/>
  <c r="Z118" i="3"/>
  <c r="AA118" i="3"/>
  <c r="AC118" i="3"/>
  <c r="AD118" i="3"/>
  <c r="F117" i="3"/>
  <c r="I117" i="3"/>
  <c r="J117" i="3"/>
  <c r="M117" i="3"/>
  <c r="N117" i="3" s="1"/>
  <c r="V117" i="3"/>
  <c r="AE117" i="3"/>
  <c r="T118" i="3" l="1"/>
  <c r="W117" i="3"/>
  <c r="L117" i="3"/>
  <c r="AG118" i="3" l="1"/>
  <c r="U117" i="3"/>
  <c r="D118" i="3" s="1"/>
  <c r="AH118" i="3"/>
  <c r="Y116" i="3"/>
  <c r="E118" i="3" l="1"/>
  <c r="H118" i="3" s="1"/>
  <c r="K118" i="3" s="1"/>
  <c r="A119" i="3" s="1"/>
  <c r="B119" i="3" s="1"/>
  <c r="G118" i="3"/>
  <c r="AD119" i="3" l="1"/>
  <c r="Z119" i="3"/>
  <c r="AA119" i="3"/>
  <c r="P119" i="3"/>
  <c r="Q119" i="3" s="1"/>
  <c r="R119" i="3" s="1"/>
  <c r="S119" i="3" s="1"/>
  <c r="AC119" i="3"/>
  <c r="F118" i="3"/>
  <c r="I118" i="3"/>
  <c r="J118" i="3"/>
  <c r="M118" i="3"/>
  <c r="N118" i="3" s="1"/>
  <c r="V118" i="3"/>
  <c r="AE118" i="3"/>
  <c r="T119" i="3" l="1"/>
  <c r="L118" i="3"/>
  <c r="W118" i="3"/>
  <c r="U118" i="3" l="1"/>
  <c r="E119" i="3" s="1"/>
  <c r="H119" i="3" s="1"/>
  <c r="AG119" i="3"/>
  <c r="AH119" i="3"/>
  <c r="Y117" i="3"/>
  <c r="D119" i="3" l="1"/>
  <c r="F119" i="3" s="1"/>
  <c r="K119" i="3"/>
  <c r="A120" i="3" s="1"/>
  <c r="B120" i="3" s="1"/>
  <c r="P120" i="3" l="1"/>
  <c r="Q120" i="3" s="1"/>
  <c r="R120" i="3" s="1"/>
  <c r="S120" i="3" s="1"/>
  <c r="Z120" i="3"/>
  <c r="AA120" i="3"/>
  <c r="AC120" i="3"/>
  <c r="AD120" i="3"/>
  <c r="G119" i="3"/>
  <c r="M119" i="3" s="1"/>
  <c r="N119" i="3" s="1"/>
  <c r="V119" i="3"/>
  <c r="AE119" i="3"/>
  <c r="T120" i="3" l="1"/>
  <c r="I119" i="3"/>
  <c r="W119" i="3" s="1"/>
  <c r="J119" i="3"/>
  <c r="L119" i="3" s="1"/>
  <c r="AH120" i="3" l="1"/>
  <c r="U119" i="3"/>
  <c r="D120" i="3" s="1"/>
  <c r="AG120" i="3"/>
  <c r="Y118" i="3"/>
  <c r="E120" i="3" l="1"/>
  <c r="H120" i="3" s="1"/>
  <c r="K120" i="3" s="1"/>
  <c r="A121" i="3" s="1"/>
  <c r="B121" i="3" s="1"/>
  <c r="G120" i="3"/>
  <c r="P121" i="3" l="1"/>
  <c r="Q121" i="3" s="1"/>
  <c r="R121" i="3" s="1"/>
  <c r="S121" i="3" s="1"/>
  <c r="AC121" i="3"/>
  <c r="AA121" i="3"/>
  <c r="Z121" i="3"/>
  <c r="AD121" i="3"/>
  <c r="F120" i="3"/>
  <c r="I120" i="3"/>
  <c r="J120" i="3"/>
  <c r="M120" i="3"/>
  <c r="N120" i="3" s="1"/>
  <c r="V120" i="3"/>
  <c r="AE120" i="3"/>
  <c r="T121" i="3" l="1"/>
  <c r="W120" i="3"/>
  <c r="L120" i="3"/>
  <c r="U120" i="3" l="1"/>
  <c r="E121" i="3" s="1"/>
  <c r="H121" i="3" s="1"/>
  <c r="AH121" i="3"/>
  <c r="AG121" i="3"/>
  <c r="Y119" i="3"/>
  <c r="D121" i="3" l="1"/>
  <c r="G121" i="3" s="1"/>
  <c r="K121" i="3"/>
  <c r="A122" i="3" s="1"/>
  <c r="B122" i="3" s="1"/>
  <c r="AA122" i="3" l="1"/>
  <c r="AD122" i="3"/>
  <c r="Z122" i="3"/>
  <c r="P122" i="3"/>
  <c r="Q122" i="3" s="1"/>
  <c r="R122" i="3" s="1"/>
  <c r="S122" i="3" s="1"/>
  <c r="AC122" i="3"/>
  <c r="F121" i="3"/>
  <c r="I121" i="3"/>
  <c r="J121" i="3"/>
  <c r="M121" i="3"/>
  <c r="N121" i="3" s="1"/>
  <c r="V121" i="3"/>
  <c r="AE121" i="3"/>
  <c r="T122" i="3" l="1"/>
  <c r="L121" i="3"/>
  <c r="W121" i="3"/>
  <c r="U121" i="3" l="1"/>
  <c r="D122" i="3" s="1"/>
  <c r="AG122" i="3"/>
  <c r="AH122" i="3"/>
  <c r="Y120" i="3"/>
  <c r="G122" i="3" l="1"/>
  <c r="E122" i="3"/>
  <c r="H122" i="3" s="1"/>
  <c r="F122" i="3" l="1"/>
  <c r="K122" i="3"/>
  <c r="A123" i="3" s="1"/>
  <c r="B123" i="3" s="1"/>
  <c r="I122" i="3"/>
  <c r="J122" i="3"/>
  <c r="M122" i="3"/>
  <c r="N122" i="3" s="1"/>
  <c r="P123" i="3" l="1"/>
  <c r="Q123" i="3" s="1"/>
  <c r="R123" i="3" s="1"/>
  <c r="S123" i="3" s="1"/>
  <c r="Z123" i="3"/>
  <c r="AC123" i="3"/>
  <c r="AD123" i="3"/>
  <c r="AA123" i="3"/>
  <c r="L122" i="3"/>
  <c r="V122" i="3"/>
  <c r="W122" i="3" s="1"/>
  <c r="AE122" i="3"/>
  <c r="T123" i="3" l="1"/>
  <c r="AG123" i="3" s="1"/>
  <c r="U122" i="3"/>
  <c r="Y121" i="3"/>
  <c r="AH123" i="3" l="1"/>
  <c r="D123" i="3"/>
  <c r="G123" i="3" s="1"/>
  <c r="E123" i="3"/>
  <c r="H123" i="3" s="1"/>
  <c r="I123" i="3" l="1"/>
  <c r="J123" i="3"/>
  <c r="M123" i="3"/>
  <c r="N123" i="3" s="1"/>
  <c r="K123" i="3"/>
  <c r="A124" i="3" s="1"/>
  <c r="B124" i="3" s="1"/>
  <c r="F123" i="3"/>
  <c r="AC124" i="3" l="1"/>
  <c r="AA124" i="3"/>
  <c r="Z124" i="3"/>
  <c r="P124" i="3"/>
  <c r="Q124" i="3" s="1"/>
  <c r="R124" i="3" s="1"/>
  <c r="S124" i="3" s="1"/>
  <c r="V123" i="3"/>
  <c r="W123" i="3" s="1"/>
  <c r="AE123" i="3"/>
  <c r="L123" i="3"/>
  <c r="T124" i="3" l="1"/>
  <c r="AG124" i="3" s="1"/>
  <c r="U123" i="3"/>
  <c r="Y122" i="3"/>
  <c r="AH124" i="3" l="1"/>
  <c r="D124" i="3"/>
  <c r="G124" i="3" s="1"/>
  <c r="E124" i="3"/>
  <c r="H124" i="3" s="1"/>
  <c r="K124" i="3" s="1"/>
  <c r="A125" i="3" s="1"/>
  <c r="B125" i="3" s="1"/>
  <c r="Z125" i="3" l="1"/>
  <c r="AD125" i="3"/>
  <c r="AC125" i="3"/>
  <c r="AA125" i="3"/>
  <c r="P125" i="3"/>
  <c r="Q125" i="3" s="1"/>
  <c r="R125" i="3" s="1"/>
  <c r="S125" i="3" s="1"/>
  <c r="F124" i="3"/>
  <c r="I124" i="3"/>
  <c r="J124" i="3"/>
  <c r="AD124" i="3" s="1"/>
  <c r="M124" i="3"/>
  <c r="N124" i="3" s="1"/>
  <c r="V124" i="3"/>
  <c r="AE124" i="3"/>
  <c r="T125" i="3" l="1"/>
  <c r="W124" i="3"/>
  <c r="L124" i="3"/>
  <c r="U124" i="3" l="1"/>
  <c r="E125" i="3" s="1"/>
  <c r="H125" i="3" s="1"/>
  <c r="AH125" i="3"/>
  <c r="AG125" i="3"/>
  <c r="Y123" i="3"/>
  <c r="K125" i="3" l="1"/>
  <c r="A126" i="3" s="1"/>
  <c r="B126" i="3" s="1"/>
  <c r="D125" i="3"/>
  <c r="AA126" i="3" l="1"/>
  <c r="P126" i="3"/>
  <c r="Q126" i="3" s="1"/>
  <c r="R126" i="3" s="1"/>
  <c r="S126" i="3" s="1"/>
  <c r="Z126" i="3"/>
  <c r="AD126" i="3"/>
  <c r="AC126" i="3"/>
  <c r="V125" i="3"/>
  <c r="AE125" i="3"/>
  <c r="F125" i="3"/>
  <c r="G125" i="3"/>
  <c r="T126" i="3" l="1"/>
  <c r="I125" i="3"/>
  <c r="W125" i="3" s="1"/>
  <c r="J125" i="3"/>
  <c r="M125" i="3"/>
  <c r="N125" i="3" s="1"/>
  <c r="L125" i="3" l="1"/>
  <c r="AG126" i="3" l="1"/>
  <c r="AH126" i="3"/>
  <c r="U125" i="3"/>
  <c r="D126" i="3" s="1"/>
  <c r="Y124" i="3"/>
  <c r="E126" i="3" l="1"/>
  <c r="H126" i="3" s="1"/>
  <c r="K126" i="3" s="1"/>
  <c r="A127" i="3" s="1"/>
  <c r="B127" i="3" s="1"/>
  <c r="G126" i="3"/>
  <c r="AC127" i="3" l="1"/>
  <c r="P127" i="3"/>
  <c r="Q127" i="3" s="1"/>
  <c r="R127" i="3" s="1"/>
  <c r="S127" i="3" s="1"/>
  <c r="AA127" i="3"/>
  <c r="Z127" i="3"/>
  <c r="AD127" i="3"/>
  <c r="F126" i="3"/>
  <c r="I126" i="3"/>
  <c r="J126" i="3"/>
  <c r="M126" i="3"/>
  <c r="N126" i="3" s="1"/>
  <c r="V126" i="3"/>
  <c r="AE126" i="3"/>
  <c r="T127" i="3" l="1"/>
  <c r="W126" i="3"/>
  <c r="L126" i="3"/>
  <c r="U126" i="3" l="1"/>
  <c r="E127" i="3" s="1"/>
  <c r="H127" i="3" s="1"/>
  <c r="AH127" i="3"/>
  <c r="AG127" i="3"/>
  <c r="Y125" i="3"/>
  <c r="D127" i="3" l="1"/>
  <c r="G127" i="3" s="1"/>
  <c r="K127" i="3"/>
  <c r="A128" i="3" s="1"/>
  <c r="B128" i="3" s="1"/>
  <c r="Z128" i="3" l="1"/>
  <c r="AC128" i="3"/>
  <c r="AD128" i="3"/>
  <c r="P128" i="3"/>
  <c r="Q128" i="3" s="1"/>
  <c r="R128" i="3" s="1"/>
  <c r="S128" i="3" s="1"/>
  <c r="AA128" i="3"/>
  <c r="F127" i="3"/>
  <c r="I127" i="3"/>
  <c r="J127" i="3"/>
  <c r="M127" i="3"/>
  <c r="N127" i="3" s="1"/>
  <c r="V127" i="3"/>
  <c r="AE127" i="3"/>
  <c r="T128" i="3" l="1"/>
  <c r="W127" i="3"/>
  <c r="L127" i="3"/>
  <c r="AH128" i="3" l="1"/>
  <c r="U127" i="3"/>
  <c r="E128" i="3" s="1"/>
  <c r="H128" i="3" s="1"/>
  <c r="AG128" i="3"/>
  <c r="Y126" i="3"/>
  <c r="D128" i="3" l="1"/>
  <c r="G128" i="3" s="1"/>
  <c r="K128" i="3"/>
  <c r="A129" i="3" s="1"/>
  <c r="B129" i="3" s="1"/>
  <c r="AA129" i="3" l="1"/>
  <c r="AC129" i="3"/>
  <c r="Z129" i="3"/>
  <c r="AD129" i="3"/>
  <c r="P129" i="3"/>
  <c r="Q129" i="3" s="1"/>
  <c r="R129" i="3" s="1"/>
  <c r="S129" i="3" s="1"/>
  <c r="F128" i="3"/>
  <c r="I128" i="3"/>
  <c r="J128" i="3"/>
  <c r="M128" i="3"/>
  <c r="N128" i="3" s="1"/>
  <c r="V128" i="3"/>
  <c r="AE128" i="3"/>
  <c r="T129" i="3" l="1"/>
  <c r="W128" i="3"/>
  <c r="L128" i="3"/>
  <c r="AH129" i="3" l="1"/>
  <c r="U128" i="3"/>
  <c r="D129" i="3" s="1"/>
  <c r="AG129" i="3"/>
  <c r="Y127" i="3"/>
  <c r="G129" i="3" l="1"/>
  <c r="E129" i="3"/>
  <c r="H129" i="3" s="1"/>
  <c r="F129" i="3" l="1"/>
  <c r="I129" i="3"/>
  <c r="J129" i="3"/>
  <c r="M129" i="3"/>
  <c r="N129" i="3" s="1"/>
  <c r="K129" i="3"/>
  <c r="A130" i="3" s="1"/>
  <c r="B130" i="3" s="1"/>
  <c r="AD130" i="3" l="1"/>
  <c r="P130" i="3"/>
  <c r="Q130" i="3" s="1"/>
  <c r="R130" i="3" s="1"/>
  <c r="S130" i="3" s="1"/>
  <c r="AA130" i="3"/>
  <c r="Z130" i="3"/>
  <c r="AC130" i="3"/>
  <c r="V129" i="3"/>
  <c r="W129" i="3" s="1"/>
  <c r="AE129" i="3"/>
  <c r="L129" i="3"/>
  <c r="T130" i="3" l="1"/>
  <c r="AH130" i="3" s="1"/>
  <c r="U129" i="3"/>
  <c r="Y128" i="3"/>
  <c r="AG130" i="3" l="1"/>
  <c r="E130" i="3"/>
  <c r="H130" i="3" s="1"/>
  <c r="K130" i="3" s="1"/>
  <c r="A131" i="3" s="1"/>
  <c r="B131" i="3" s="1"/>
  <c r="D130" i="3"/>
  <c r="G130" i="3" s="1"/>
  <c r="AC131" i="3" l="1"/>
  <c r="Z131" i="3"/>
  <c r="AA131" i="3"/>
  <c r="P131" i="3"/>
  <c r="Q131" i="3" s="1"/>
  <c r="R131" i="3" s="1"/>
  <c r="S131" i="3" s="1"/>
  <c r="AD131" i="3"/>
  <c r="F130" i="3"/>
  <c r="V130" i="3"/>
  <c r="AE130" i="3"/>
  <c r="I130" i="3"/>
  <c r="J130" i="3"/>
  <c r="M130" i="3"/>
  <c r="N130" i="3" s="1"/>
  <c r="T131" i="3" l="1"/>
  <c r="L130" i="3"/>
  <c r="W130" i="3"/>
  <c r="U130" i="3" l="1"/>
  <c r="E131" i="3" s="1"/>
  <c r="H131" i="3" s="1"/>
  <c r="AH131" i="3"/>
  <c r="AG131" i="3"/>
  <c r="Y129" i="3"/>
  <c r="D131" i="3" l="1"/>
  <c r="F131" i="3" s="1"/>
  <c r="K131" i="3"/>
  <c r="A132" i="3" s="1"/>
  <c r="B132" i="3" s="1"/>
  <c r="AD132" i="3" l="1"/>
  <c r="P132" i="3"/>
  <c r="Q132" i="3" s="1"/>
  <c r="R132" i="3" s="1"/>
  <c r="S132" i="3" s="1"/>
  <c r="Z132" i="3"/>
  <c r="AA132" i="3"/>
  <c r="AC132" i="3"/>
  <c r="G131" i="3"/>
  <c r="M131" i="3" s="1"/>
  <c r="N131" i="3" s="1"/>
  <c r="V131" i="3"/>
  <c r="AE131" i="3"/>
  <c r="T132" i="3" l="1"/>
  <c r="J131" i="3"/>
  <c r="L131" i="3" s="1"/>
  <c r="I131" i="3"/>
  <c r="W131" i="3" s="1"/>
  <c r="U131" i="3" l="1"/>
  <c r="E132" i="3" s="1"/>
  <c r="H132" i="3" s="1"/>
  <c r="AH132" i="3"/>
  <c r="AG132" i="3"/>
  <c r="Y130" i="3"/>
  <c r="K132" i="3" l="1"/>
  <c r="A133" i="3" s="1"/>
  <c r="B133" i="3" s="1"/>
  <c r="D132" i="3"/>
  <c r="P133" i="3" l="1"/>
  <c r="Q133" i="3" s="1"/>
  <c r="R133" i="3" s="1"/>
  <c r="S133" i="3" s="1"/>
  <c r="Z133" i="3"/>
  <c r="AC133" i="3"/>
  <c r="AD133" i="3"/>
  <c r="AA133" i="3"/>
  <c r="V132" i="3"/>
  <c r="AE132" i="3"/>
  <c r="F132" i="3"/>
  <c r="G132" i="3"/>
  <c r="T133" i="3" l="1"/>
  <c r="I132" i="3"/>
  <c r="W132" i="3" s="1"/>
  <c r="J132" i="3"/>
  <c r="M132" i="3"/>
  <c r="N132" i="3" s="1"/>
  <c r="L132" i="3" l="1"/>
  <c r="U132" i="3" l="1"/>
  <c r="D133" i="3" s="1"/>
  <c r="AH133" i="3"/>
  <c r="AG133" i="3"/>
  <c r="Y131" i="3"/>
  <c r="E133" i="3" l="1"/>
  <c r="H133" i="3" s="1"/>
  <c r="K133" i="3" s="1"/>
  <c r="A134" i="3" s="1"/>
  <c r="B134" i="3" s="1"/>
  <c r="G133" i="3"/>
  <c r="P134" i="3" l="1"/>
  <c r="Q134" i="3" s="1"/>
  <c r="R134" i="3" s="1"/>
  <c r="S134" i="3" s="1"/>
  <c r="AC134" i="3"/>
  <c r="AA134" i="3"/>
  <c r="Z134" i="3"/>
  <c r="F133" i="3"/>
  <c r="V133" i="3"/>
  <c r="AE133" i="3"/>
  <c r="I133" i="3"/>
  <c r="J133" i="3"/>
  <c r="M133" i="3"/>
  <c r="N133" i="3" s="1"/>
  <c r="T134" i="3" l="1"/>
  <c r="W133" i="3"/>
  <c r="L133" i="3"/>
  <c r="AG134" i="3" l="1"/>
  <c r="U133" i="3"/>
  <c r="D134" i="3" s="1"/>
  <c r="AH134" i="3"/>
  <c r="Y132" i="3"/>
  <c r="E134" i="3" l="1"/>
  <c r="H134" i="3" s="1"/>
  <c r="K134" i="3" s="1"/>
  <c r="A135" i="3" s="1"/>
  <c r="B135" i="3" s="1"/>
  <c r="G134" i="3"/>
  <c r="P135" i="3" l="1"/>
  <c r="Q135" i="3" s="1"/>
  <c r="R135" i="3" s="1"/>
  <c r="S135" i="3" s="1"/>
  <c r="AA135" i="3"/>
  <c r="AC135" i="3"/>
  <c r="Z135" i="3"/>
  <c r="AD135" i="3"/>
  <c r="F134" i="3"/>
  <c r="I134" i="3"/>
  <c r="J134" i="3"/>
  <c r="AD134" i="3" s="1"/>
  <c r="M134" i="3"/>
  <c r="N134" i="3" s="1"/>
  <c r="V134" i="3"/>
  <c r="AE134" i="3"/>
  <c r="T135" i="3" l="1"/>
  <c r="W134" i="3"/>
  <c r="L134" i="3"/>
  <c r="U134" i="3" l="1"/>
  <c r="E135" i="3" s="1"/>
  <c r="H135" i="3" s="1"/>
  <c r="AH135" i="3"/>
  <c r="AG135" i="3"/>
  <c r="Y133" i="3"/>
  <c r="K135" i="3" l="1"/>
  <c r="A136" i="3" s="1"/>
  <c r="B136" i="3" s="1"/>
  <c r="D135" i="3"/>
  <c r="P136" i="3" l="1"/>
  <c r="Q136" i="3" s="1"/>
  <c r="R136" i="3" s="1"/>
  <c r="S136" i="3" s="1"/>
  <c r="Z136" i="3"/>
  <c r="AD136" i="3"/>
  <c r="AC136" i="3"/>
  <c r="AA136" i="3"/>
  <c r="V135" i="3"/>
  <c r="AE135" i="3"/>
  <c r="F135" i="3"/>
  <c r="G135" i="3"/>
  <c r="T136" i="3" l="1"/>
  <c r="I135" i="3"/>
  <c r="W135" i="3" s="1"/>
  <c r="J135" i="3"/>
  <c r="M135" i="3"/>
  <c r="N135" i="3" s="1"/>
  <c r="L135" i="3" l="1"/>
  <c r="AH136" i="3" l="1"/>
  <c r="U135" i="3"/>
  <c r="D136" i="3" s="1"/>
  <c r="AG136" i="3"/>
  <c r="Y134" i="3"/>
  <c r="E136" i="3" l="1"/>
  <c r="H136" i="3" s="1"/>
  <c r="K136" i="3" s="1"/>
  <c r="A137" i="3" s="1"/>
  <c r="B137" i="3" s="1"/>
  <c r="G136" i="3"/>
  <c r="Z137" i="3" l="1"/>
  <c r="P137" i="3"/>
  <c r="Q137" i="3" s="1"/>
  <c r="R137" i="3" s="1"/>
  <c r="S137" i="3" s="1"/>
  <c r="AD137" i="3"/>
  <c r="AC137" i="3"/>
  <c r="AA137" i="3"/>
  <c r="F136" i="3"/>
  <c r="I136" i="3"/>
  <c r="J136" i="3"/>
  <c r="M136" i="3"/>
  <c r="N136" i="3" s="1"/>
  <c r="V136" i="3"/>
  <c r="AE136" i="3"/>
  <c r="T137" i="3" l="1"/>
  <c r="W136" i="3"/>
  <c r="L136" i="3"/>
  <c r="U136" i="3" l="1"/>
  <c r="D137" i="3" s="1"/>
  <c r="AH137" i="3"/>
  <c r="AG137" i="3"/>
  <c r="Y135" i="3"/>
  <c r="E137" i="3" l="1"/>
  <c r="H137" i="3" s="1"/>
  <c r="K137" i="3" s="1"/>
  <c r="A138" i="3" s="1"/>
  <c r="B138" i="3" s="1"/>
  <c r="G137" i="3"/>
  <c r="AC138" i="3" l="1"/>
  <c r="AA138" i="3"/>
  <c r="AD138" i="3"/>
  <c r="Z138" i="3"/>
  <c r="P138" i="3"/>
  <c r="Q138" i="3" s="1"/>
  <c r="R138" i="3" s="1"/>
  <c r="S138" i="3" s="1"/>
  <c r="F137" i="3"/>
  <c r="I137" i="3"/>
  <c r="J137" i="3"/>
  <c r="M137" i="3"/>
  <c r="N137" i="3" s="1"/>
  <c r="V137" i="3"/>
  <c r="AE137" i="3"/>
  <c r="T138" i="3" l="1"/>
  <c r="W137" i="3"/>
  <c r="L137" i="3"/>
  <c r="AH138" i="3" l="1"/>
  <c r="U137" i="3"/>
  <c r="E138" i="3" s="1"/>
  <c r="H138" i="3" s="1"/>
  <c r="AG138" i="3"/>
  <c r="Y136" i="3"/>
  <c r="D138" i="3" l="1"/>
  <c r="F138" i="3" s="1"/>
  <c r="K138" i="3"/>
  <c r="A139" i="3" s="1"/>
  <c r="B139" i="3" s="1"/>
  <c r="AD139" i="3" l="1"/>
  <c r="AC139" i="3"/>
  <c r="Z139" i="3"/>
  <c r="AA139" i="3"/>
  <c r="P139" i="3"/>
  <c r="Q139" i="3" s="1"/>
  <c r="R139" i="3" s="1"/>
  <c r="S139" i="3" s="1"/>
  <c r="G138" i="3"/>
  <c r="M138" i="3" s="1"/>
  <c r="N138" i="3" s="1"/>
  <c r="V138" i="3"/>
  <c r="AE138" i="3"/>
  <c r="T139" i="3" l="1"/>
  <c r="I138" i="3"/>
  <c r="W138" i="3" s="1"/>
  <c r="J138" i="3"/>
  <c r="L138" i="3" s="1"/>
  <c r="U138" i="3" l="1"/>
  <c r="E139" i="3" s="1"/>
  <c r="H139" i="3" s="1"/>
  <c r="AG139" i="3"/>
  <c r="AH139" i="3"/>
  <c r="Y137" i="3"/>
  <c r="D139" i="3" l="1"/>
  <c r="G139" i="3" s="1"/>
  <c r="K139" i="3"/>
  <c r="A140" i="3" s="1"/>
  <c r="B140" i="3" s="1"/>
  <c r="AD140" i="3" l="1"/>
  <c r="AA140" i="3"/>
  <c r="AC140" i="3"/>
  <c r="Z140" i="3"/>
  <c r="P140" i="3"/>
  <c r="Q140" i="3" s="1"/>
  <c r="R140" i="3" s="1"/>
  <c r="S140" i="3" s="1"/>
  <c r="F139" i="3"/>
  <c r="V139" i="3"/>
  <c r="AE139" i="3"/>
  <c r="I139" i="3"/>
  <c r="J139" i="3"/>
  <c r="M139" i="3"/>
  <c r="N139" i="3" s="1"/>
  <c r="T140" i="3" l="1"/>
  <c r="W139" i="3"/>
  <c r="L139" i="3"/>
  <c r="AG140" i="3" l="1"/>
  <c r="U139" i="3"/>
  <c r="E140" i="3" s="1"/>
  <c r="H140" i="3" s="1"/>
  <c r="AH140" i="3"/>
  <c r="Y138" i="3"/>
  <c r="D140" i="3" l="1"/>
  <c r="G140" i="3" s="1"/>
  <c r="K140" i="3"/>
  <c r="A141" i="3" s="1"/>
  <c r="B141" i="3" s="1"/>
  <c r="P141" i="3" l="1"/>
  <c r="Q141" i="3" s="1"/>
  <c r="R141" i="3" s="1"/>
  <c r="S141" i="3" s="1"/>
  <c r="AC141" i="3"/>
  <c r="Z141" i="3"/>
  <c r="AA141" i="3"/>
  <c r="AD141" i="3"/>
  <c r="F140" i="3"/>
  <c r="V140" i="3"/>
  <c r="AE140" i="3"/>
  <c r="I140" i="3"/>
  <c r="J140" i="3"/>
  <c r="M140" i="3"/>
  <c r="N140" i="3" s="1"/>
  <c r="T141" i="3" l="1"/>
  <c r="W140" i="3"/>
  <c r="L140" i="3"/>
  <c r="AG141" i="3" l="1"/>
  <c r="U140" i="3"/>
  <c r="D141" i="3" s="1"/>
  <c r="AH141" i="3"/>
  <c r="Y139" i="3"/>
  <c r="E141" i="3" l="1"/>
  <c r="H141" i="3" s="1"/>
  <c r="K141" i="3" s="1"/>
  <c r="A142" i="3" s="1"/>
  <c r="B142" i="3" s="1"/>
  <c r="G141" i="3"/>
  <c r="AA142" i="3" l="1"/>
  <c r="AC142" i="3"/>
  <c r="Z142" i="3"/>
  <c r="AD142" i="3"/>
  <c r="P142" i="3"/>
  <c r="Q142" i="3" s="1"/>
  <c r="R142" i="3" s="1"/>
  <c r="S142" i="3" s="1"/>
  <c r="F141" i="3"/>
  <c r="I141" i="3"/>
  <c r="J141" i="3"/>
  <c r="M141" i="3"/>
  <c r="N141" i="3" s="1"/>
  <c r="V141" i="3"/>
  <c r="AE141" i="3"/>
  <c r="T142" i="3" l="1"/>
  <c r="W141" i="3"/>
  <c r="L141" i="3"/>
  <c r="U141" i="3" l="1"/>
  <c r="D142" i="3" s="1"/>
  <c r="AH142" i="3"/>
  <c r="AG142" i="3"/>
  <c r="Y140" i="3"/>
  <c r="E142" i="3" l="1"/>
  <c r="H142" i="3" s="1"/>
  <c r="K142" i="3" s="1"/>
  <c r="A143" i="3" s="1"/>
  <c r="B143" i="3" s="1"/>
  <c r="G142" i="3"/>
  <c r="P143" i="3" l="1"/>
  <c r="Q143" i="3" s="1"/>
  <c r="R143" i="3" s="1"/>
  <c r="S143" i="3" s="1"/>
  <c r="AC143" i="3"/>
  <c r="AA143" i="3"/>
  <c r="Z143" i="3"/>
  <c r="AD143" i="3"/>
  <c r="F142" i="3"/>
  <c r="V142" i="3"/>
  <c r="AE142" i="3"/>
  <c r="I142" i="3"/>
  <c r="J142" i="3"/>
  <c r="M142" i="3"/>
  <c r="N142" i="3" s="1"/>
  <c r="T143" i="3" l="1"/>
  <c r="W142" i="3"/>
  <c r="L142" i="3"/>
  <c r="U142" i="3" l="1"/>
  <c r="E143" i="3" s="1"/>
  <c r="H143" i="3" s="1"/>
  <c r="AG143" i="3"/>
  <c r="AH143" i="3"/>
  <c r="Y141" i="3"/>
  <c r="D143" i="3" l="1"/>
  <c r="F143" i="3" s="1"/>
  <c r="K143" i="3"/>
  <c r="A144" i="3" s="1"/>
  <c r="B144" i="3" s="1"/>
  <c r="Z144" i="3" l="1"/>
  <c r="AA144" i="3"/>
  <c r="P144" i="3"/>
  <c r="Q144" i="3" s="1"/>
  <c r="R144" i="3" s="1"/>
  <c r="S144" i="3" s="1"/>
  <c r="AC144" i="3"/>
  <c r="G143" i="3"/>
  <c r="M143" i="3" s="1"/>
  <c r="N143" i="3" s="1"/>
  <c r="V143" i="3"/>
  <c r="AE143" i="3"/>
  <c r="T144" i="3" l="1"/>
  <c r="J143" i="3"/>
  <c r="L143" i="3" s="1"/>
  <c r="I143" i="3"/>
  <c r="W143" i="3" s="1"/>
  <c r="U143" i="3" l="1"/>
  <c r="D144" i="3" s="1"/>
  <c r="AG144" i="3"/>
  <c r="AH144" i="3"/>
  <c r="Y142" i="3"/>
  <c r="E144" i="3" l="1"/>
  <c r="H144" i="3" s="1"/>
  <c r="K144" i="3" s="1"/>
  <c r="A145" i="3" s="1"/>
  <c r="B145" i="3" s="1"/>
  <c r="G144" i="3"/>
  <c r="P145" i="3" l="1"/>
  <c r="Q145" i="3" s="1"/>
  <c r="R145" i="3" s="1"/>
  <c r="S145" i="3" s="1"/>
  <c r="Z145" i="3"/>
  <c r="AA145" i="3"/>
  <c r="AC145" i="3"/>
  <c r="AD145" i="3"/>
  <c r="F144" i="3"/>
  <c r="V144" i="3"/>
  <c r="AE144" i="3"/>
  <c r="I144" i="3"/>
  <c r="J144" i="3"/>
  <c r="AD144" i="3" s="1"/>
  <c r="M144" i="3"/>
  <c r="N144" i="3" s="1"/>
  <c r="T145" i="3" l="1"/>
  <c r="W144" i="3"/>
  <c r="L144" i="3"/>
  <c r="AH145" i="3" l="1"/>
  <c r="AG145" i="3"/>
  <c r="U144" i="3"/>
  <c r="D145" i="3" s="1"/>
  <c r="Y143" i="3"/>
  <c r="E145" i="3" l="1"/>
  <c r="H145" i="3" s="1"/>
  <c r="K145" i="3" s="1"/>
  <c r="A146" i="3" s="1"/>
  <c r="B146" i="3" s="1"/>
  <c r="G145" i="3"/>
  <c r="AA146" i="3" l="1"/>
  <c r="AD146" i="3"/>
  <c r="AC146" i="3"/>
  <c r="Z146" i="3"/>
  <c r="P146" i="3"/>
  <c r="Q146" i="3" s="1"/>
  <c r="R146" i="3" s="1"/>
  <c r="S146" i="3" s="1"/>
  <c r="F145" i="3"/>
  <c r="I145" i="3"/>
  <c r="J145" i="3"/>
  <c r="M145" i="3"/>
  <c r="N145" i="3" s="1"/>
  <c r="V145" i="3"/>
  <c r="AE145" i="3"/>
  <c r="T146" i="3" l="1"/>
  <c r="W145" i="3"/>
  <c r="L145" i="3"/>
  <c r="U145" i="3" l="1"/>
  <c r="D146" i="3" s="1"/>
  <c r="AH146" i="3"/>
  <c r="AG146" i="3"/>
  <c r="Y144" i="3"/>
  <c r="E146" i="3" l="1"/>
  <c r="H146" i="3" s="1"/>
  <c r="K146" i="3" s="1"/>
  <c r="A147" i="3" s="1"/>
  <c r="B147" i="3" s="1"/>
  <c r="G146" i="3"/>
  <c r="Z147" i="3" l="1"/>
  <c r="AC147" i="3"/>
  <c r="AA147" i="3"/>
  <c r="P147" i="3"/>
  <c r="Q147" i="3" s="1"/>
  <c r="R147" i="3" s="1"/>
  <c r="S147" i="3" s="1"/>
  <c r="AD147" i="3"/>
  <c r="F146" i="3"/>
  <c r="I146" i="3"/>
  <c r="J146" i="3"/>
  <c r="M146" i="3"/>
  <c r="N146" i="3" s="1"/>
  <c r="V146" i="3"/>
  <c r="AE146" i="3"/>
  <c r="T147" i="3" l="1"/>
  <c r="W146" i="3"/>
  <c r="L146" i="3"/>
  <c r="U146" i="3" l="1"/>
  <c r="D147" i="3" s="1"/>
  <c r="AG147" i="3"/>
  <c r="AH147" i="3"/>
  <c r="Y145" i="3"/>
  <c r="E147" i="3" l="1"/>
  <c r="H147" i="3" s="1"/>
  <c r="K147" i="3" s="1"/>
  <c r="A148" i="3" s="1"/>
  <c r="B148" i="3" s="1"/>
  <c r="G147" i="3"/>
  <c r="P148" i="3" l="1"/>
  <c r="Q148" i="3" s="1"/>
  <c r="R148" i="3" s="1"/>
  <c r="S148" i="3" s="1"/>
  <c r="Z148" i="3"/>
  <c r="AD148" i="3"/>
  <c r="AC148" i="3"/>
  <c r="AA148" i="3"/>
  <c r="F147" i="3"/>
  <c r="V147" i="3"/>
  <c r="AE147" i="3"/>
  <c r="I147" i="3"/>
  <c r="J147" i="3"/>
  <c r="M147" i="3"/>
  <c r="N147" i="3" s="1"/>
  <c r="T148" i="3" l="1"/>
  <c r="W147" i="3"/>
  <c r="L147" i="3"/>
  <c r="AG148" i="3" l="1"/>
  <c r="U147" i="3"/>
  <c r="E148" i="3" s="1"/>
  <c r="H148" i="3" s="1"/>
  <c r="AH148" i="3"/>
  <c r="Y146" i="3"/>
  <c r="K148" i="3" l="1"/>
  <c r="A149" i="3" s="1"/>
  <c r="B149" i="3" s="1"/>
  <c r="D148" i="3"/>
  <c r="P149" i="3" l="1"/>
  <c r="Q149" i="3" s="1"/>
  <c r="R149" i="3" s="1"/>
  <c r="S149" i="3" s="1"/>
  <c r="AD149" i="3"/>
  <c r="AC149" i="3"/>
  <c r="AA149" i="3"/>
  <c r="Z149" i="3"/>
  <c r="V148" i="3"/>
  <c r="AE148" i="3"/>
  <c r="F148" i="3"/>
  <c r="G148" i="3"/>
  <c r="T149" i="3" l="1"/>
  <c r="I148" i="3"/>
  <c r="W148" i="3" s="1"/>
  <c r="J148" i="3"/>
  <c r="M148" i="3"/>
  <c r="N148" i="3" s="1"/>
  <c r="L148" i="3" l="1"/>
  <c r="AG149" i="3" l="1"/>
  <c r="U148" i="3"/>
  <c r="D149" i="3" s="1"/>
  <c r="AH149" i="3"/>
  <c r="Y147" i="3"/>
  <c r="E149" i="3" l="1"/>
  <c r="H149" i="3" s="1"/>
  <c r="K149" i="3" s="1"/>
  <c r="A150" i="3" s="1"/>
  <c r="B150" i="3" s="1"/>
  <c r="G149" i="3"/>
  <c r="P150" i="3" l="1"/>
  <c r="Q150" i="3" s="1"/>
  <c r="R150" i="3" s="1"/>
  <c r="S150" i="3" s="1"/>
  <c r="Z150" i="3"/>
  <c r="AD150" i="3"/>
  <c r="AA150" i="3"/>
  <c r="AC150" i="3"/>
  <c r="F149" i="3"/>
  <c r="I149" i="3"/>
  <c r="J149" i="3"/>
  <c r="M149" i="3"/>
  <c r="N149" i="3" s="1"/>
  <c r="V149" i="3"/>
  <c r="AE149" i="3"/>
  <c r="T150" i="3" l="1"/>
  <c r="W149" i="3"/>
  <c r="L149" i="3"/>
  <c r="AH150" i="3" l="1"/>
  <c r="U149" i="3"/>
  <c r="D150" i="3" s="1"/>
  <c r="AG150" i="3"/>
  <c r="Y148" i="3"/>
  <c r="E150" i="3" l="1"/>
  <c r="H150" i="3" s="1"/>
  <c r="K150" i="3" s="1"/>
  <c r="A151" i="3" s="1"/>
  <c r="B151" i="3" s="1"/>
  <c r="G150" i="3"/>
  <c r="P151" i="3" l="1"/>
  <c r="Q151" i="3" s="1"/>
  <c r="R151" i="3" s="1"/>
  <c r="S151" i="3" s="1"/>
  <c r="AC151" i="3"/>
  <c r="AD151" i="3"/>
  <c r="Z151" i="3"/>
  <c r="AA151" i="3"/>
  <c r="F150" i="3"/>
  <c r="I150" i="3"/>
  <c r="J150" i="3"/>
  <c r="M150" i="3"/>
  <c r="N150" i="3" s="1"/>
  <c r="V150" i="3"/>
  <c r="AE150" i="3"/>
  <c r="T151" i="3" l="1"/>
  <c r="W150" i="3"/>
  <c r="L150" i="3"/>
  <c r="AH151" i="3" l="1"/>
  <c r="U150" i="3"/>
  <c r="E151" i="3" s="1"/>
  <c r="H151" i="3" s="1"/>
  <c r="AG151" i="3"/>
  <c r="Y149" i="3"/>
  <c r="D151" i="3" l="1"/>
  <c r="G151" i="3" s="1"/>
  <c r="K151" i="3"/>
  <c r="A152" i="3" s="1"/>
  <c r="B152" i="3" s="1"/>
  <c r="AC152" i="3" l="1"/>
  <c r="AA152" i="3"/>
  <c r="P152" i="3"/>
  <c r="Q152" i="3" s="1"/>
  <c r="R152" i="3" s="1"/>
  <c r="S152" i="3" s="1"/>
  <c r="Z152" i="3"/>
  <c r="AD152" i="3"/>
  <c r="F151" i="3"/>
  <c r="I151" i="3"/>
  <c r="J151" i="3"/>
  <c r="M151" i="3"/>
  <c r="N151" i="3" s="1"/>
  <c r="V151" i="3"/>
  <c r="AE151" i="3"/>
  <c r="T152" i="3" l="1"/>
  <c r="W151" i="3"/>
  <c r="L151" i="3"/>
  <c r="AH152" i="3" l="1"/>
  <c r="AG152" i="3"/>
  <c r="U151" i="3"/>
  <c r="E152" i="3" s="1"/>
  <c r="H152" i="3" s="1"/>
  <c r="Y150" i="3"/>
  <c r="D152" i="3" l="1"/>
  <c r="G152" i="3" s="1"/>
  <c r="K152" i="3"/>
  <c r="A153" i="3" s="1"/>
  <c r="B153" i="3" s="1"/>
  <c r="AD153" i="3" l="1"/>
  <c r="P153" i="3"/>
  <c r="Q153" i="3" s="1"/>
  <c r="R153" i="3" s="1"/>
  <c r="S153" i="3" s="1"/>
  <c r="AA153" i="3"/>
  <c r="AC153" i="3"/>
  <c r="Z153" i="3"/>
  <c r="F152" i="3"/>
  <c r="V152" i="3"/>
  <c r="AE152" i="3"/>
  <c r="I152" i="3"/>
  <c r="J152" i="3"/>
  <c r="M152" i="3"/>
  <c r="N152" i="3" s="1"/>
  <c r="T153" i="3" l="1"/>
  <c r="W152" i="3"/>
  <c r="L152" i="3"/>
  <c r="AH153" i="3" l="1"/>
  <c r="U152" i="3"/>
  <c r="D153" i="3" s="1"/>
  <c r="AG153" i="3"/>
  <c r="Y151" i="3"/>
  <c r="G153" i="3" l="1"/>
  <c r="E153" i="3"/>
  <c r="H153" i="3" s="1"/>
  <c r="K153" i="3" l="1"/>
  <c r="A154" i="3" s="1"/>
  <c r="B154" i="3" s="1"/>
  <c r="I153" i="3"/>
  <c r="J153" i="3"/>
  <c r="M153" i="3"/>
  <c r="N153" i="3" s="1"/>
  <c r="F153" i="3"/>
  <c r="P154" i="3" l="1"/>
  <c r="Q154" i="3" s="1"/>
  <c r="R154" i="3" s="1"/>
  <c r="S154" i="3" s="1"/>
  <c r="Z154" i="3"/>
  <c r="AC154" i="3"/>
  <c r="AA154" i="3"/>
  <c r="V153" i="3"/>
  <c r="W153" i="3" s="1"/>
  <c r="AE153" i="3"/>
  <c r="L153" i="3"/>
  <c r="T154" i="3" l="1"/>
  <c r="AG154" i="3" s="1"/>
  <c r="U153" i="3"/>
  <c r="Y152" i="3"/>
  <c r="AH154" i="3" l="1"/>
  <c r="D154" i="3"/>
  <c r="G154" i="3" s="1"/>
  <c r="E154" i="3"/>
  <c r="H154" i="3" s="1"/>
  <c r="K154" i="3" s="1"/>
  <c r="A155" i="3" s="1"/>
  <c r="B155" i="3" s="1"/>
  <c r="AC155" i="3" l="1"/>
  <c r="P155" i="3"/>
  <c r="Q155" i="3" s="1"/>
  <c r="R155" i="3" s="1"/>
  <c r="S155" i="3" s="1"/>
  <c r="AA155" i="3"/>
  <c r="Z155" i="3"/>
  <c r="F154" i="3"/>
  <c r="I154" i="3"/>
  <c r="J154" i="3"/>
  <c r="AD154" i="3" s="1"/>
  <c r="M154" i="3"/>
  <c r="N154" i="3" s="1"/>
  <c r="V154" i="3"/>
  <c r="AE154" i="3"/>
  <c r="T155" i="3" l="1"/>
  <c r="L154" i="3"/>
  <c r="W154" i="3"/>
  <c r="U154" i="3" l="1"/>
  <c r="E155" i="3" s="1"/>
  <c r="H155" i="3" s="1"/>
  <c r="AH155" i="3"/>
  <c r="AG155" i="3"/>
  <c r="Y153" i="3"/>
  <c r="D155" i="3" l="1"/>
  <c r="G155" i="3" s="1"/>
  <c r="K155" i="3"/>
  <c r="A156" i="3" s="1"/>
  <c r="B156" i="3" s="1"/>
  <c r="AA156" i="3" l="1"/>
  <c r="Z156" i="3"/>
  <c r="AC156" i="3"/>
  <c r="P156" i="3"/>
  <c r="Q156" i="3" s="1"/>
  <c r="R156" i="3" s="1"/>
  <c r="S156" i="3" s="1"/>
  <c r="F155" i="3"/>
  <c r="V155" i="3"/>
  <c r="AE155" i="3"/>
  <c r="I155" i="3"/>
  <c r="J155" i="3"/>
  <c r="AD155" i="3" s="1"/>
  <c r="M155" i="3"/>
  <c r="N155" i="3" s="1"/>
  <c r="T156" i="3" l="1"/>
  <c r="W155" i="3"/>
  <c r="L155" i="3"/>
  <c r="AG156" i="3" l="1"/>
  <c r="U155" i="3"/>
  <c r="D156" i="3" s="1"/>
  <c r="AH156" i="3"/>
  <c r="Y154" i="3"/>
  <c r="E156" i="3" l="1"/>
  <c r="H156" i="3" s="1"/>
  <c r="K156" i="3" s="1"/>
  <c r="A157" i="3" s="1"/>
  <c r="B157" i="3" s="1"/>
  <c r="G156" i="3"/>
  <c r="P157" i="3" l="1"/>
  <c r="Q157" i="3" s="1"/>
  <c r="R157" i="3" s="1"/>
  <c r="S157" i="3" s="1"/>
  <c r="Z157" i="3"/>
  <c r="AA157" i="3"/>
  <c r="AC157" i="3"/>
  <c r="F156" i="3"/>
  <c r="V156" i="3"/>
  <c r="AE156" i="3"/>
  <c r="I156" i="3"/>
  <c r="J156" i="3"/>
  <c r="AD156" i="3" s="1"/>
  <c r="M156" i="3"/>
  <c r="N156" i="3" s="1"/>
  <c r="T157" i="3" l="1"/>
  <c r="W156" i="3"/>
  <c r="L156" i="3"/>
  <c r="U156" i="3" l="1"/>
  <c r="E157" i="3" s="1"/>
  <c r="H157" i="3" s="1"/>
  <c r="AH157" i="3"/>
  <c r="AG157" i="3"/>
  <c r="Y155" i="3"/>
  <c r="D157" i="3" l="1"/>
  <c r="G157" i="3" s="1"/>
  <c r="K157" i="3"/>
  <c r="A158" i="3" s="1"/>
  <c r="B158" i="3" s="1"/>
  <c r="AA158" i="3" l="1"/>
  <c r="AC158" i="3"/>
  <c r="Z158" i="3"/>
  <c r="P158" i="3"/>
  <c r="Q158" i="3" s="1"/>
  <c r="R158" i="3" s="1"/>
  <c r="S158" i="3" s="1"/>
  <c r="F157" i="3"/>
  <c r="I157" i="3"/>
  <c r="J157" i="3"/>
  <c r="AD157" i="3" s="1"/>
  <c r="M157" i="3"/>
  <c r="N157" i="3" s="1"/>
  <c r="V157" i="3"/>
  <c r="AE157" i="3"/>
  <c r="T158" i="3" l="1"/>
  <c r="W157" i="3"/>
  <c r="L157" i="3"/>
  <c r="U157" i="3" l="1"/>
  <c r="E158" i="3" s="1"/>
  <c r="H158" i="3" s="1"/>
  <c r="AH158" i="3"/>
  <c r="AG158" i="3"/>
  <c r="Y156" i="3"/>
  <c r="D158" i="3" l="1"/>
  <c r="F158" i="3" s="1"/>
  <c r="K158" i="3"/>
  <c r="A159" i="3" s="1"/>
  <c r="B159" i="3" s="1"/>
  <c r="AC159" i="3" l="1"/>
  <c r="Z159" i="3"/>
  <c r="AA159" i="3"/>
  <c r="P159" i="3"/>
  <c r="Q159" i="3" s="1"/>
  <c r="R159" i="3" s="1"/>
  <c r="S159" i="3" s="1"/>
  <c r="G158" i="3"/>
  <c r="I158" i="3" s="1"/>
  <c r="V158" i="3"/>
  <c r="AE158" i="3"/>
  <c r="T159" i="3" l="1"/>
  <c r="M158" i="3"/>
  <c r="N158" i="3" s="1"/>
  <c r="J158" i="3"/>
  <c r="W158" i="3"/>
  <c r="L158" i="3" l="1"/>
  <c r="U158" i="3" s="1"/>
  <c r="E159" i="3" s="1"/>
  <c r="H159" i="3" s="1"/>
  <c r="AD158" i="3"/>
  <c r="Y157" i="3" l="1"/>
  <c r="AH159" i="3"/>
  <c r="AG159" i="3"/>
  <c r="D159" i="3"/>
  <c r="F159" i="3" s="1"/>
  <c r="K159" i="3"/>
  <c r="A160" i="3" s="1"/>
  <c r="B160" i="3" s="1"/>
  <c r="AA160" i="3" l="1"/>
  <c r="P160" i="3"/>
  <c r="Q160" i="3" s="1"/>
  <c r="R160" i="3" s="1"/>
  <c r="S160" i="3" s="1"/>
  <c r="Z160" i="3"/>
  <c r="AC160" i="3"/>
  <c r="G159" i="3"/>
  <c r="M159" i="3" s="1"/>
  <c r="N159" i="3" s="1"/>
  <c r="V159" i="3"/>
  <c r="AE159" i="3"/>
  <c r="T160" i="3" l="1"/>
  <c r="I159" i="3"/>
  <c r="W159" i="3" s="1"/>
  <c r="J159" i="3"/>
  <c r="L159" i="3" l="1"/>
  <c r="AH160" i="3" s="1"/>
  <c r="AD159" i="3"/>
  <c r="Y158" i="3" l="1"/>
  <c r="AG160" i="3"/>
  <c r="U159" i="3"/>
  <c r="E160" i="3" s="1"/>
  <c r="H160" i="3" s="1"/>
  <c r="K160" i="3" s="1"/>
  <c r="A161" i="3" s="1"/>
  <c r="B161" i="3" s="1"/>
  <c r="D160" i="3" l="1"/>
  <c r="G160" i="3" s="1"/>
  <c r="I160" i="3" s="1"/>
  <c r="Z161" i="3"/>
  <c r="AA161" i="3"/>
  <c r="P161" i="3"/>
  <c r="Q161" i="3" s="1"/>
  <c r="R161" i="3" s="1"/>
  <c r="S161" i="3" s="1"/>
  <c r="AC161" i="3"/>
  <c r="V160" i="3"/>
  <c r="AE160" i="3"/>
  <c r="M160" i="3" l="1"/>
  <c r="N160" i="3" s="1"/>
  <c r="F160" i="3"/>
  <c r="J160" i="3"/>
  <c r="AD160" i="3" s="1"/>
  <c r="T161" i="3"/>
  <c r="W160" i="3"/>
  <c r="L160" i="3" l="1"/>
  <c r="AG161" i="3" s="1"/>
  <c r="Y159" i="3" l="1"/>
  <c r="U160" i="3"/>
  <c r="E161" i="3" s="1"/>
  <c r="H161" i="3" s="1"/>
  <c r="K161" i="3" s="1"/>
  <c r="A162" i="3" s="1"/>
  <c r="B162" i="3" s="1"/>
  <c r="AH161" i="3"/>
  <c r="D161" i="3" l="1"/>
  <c r="G161" i="3" s="1"/>
  <c r="I161" i="3" s="1"/>
  <c r="Z162" i="3"/>
  <c r="P162" i="3"/>
  <c r="Q162" i="3" s="1"/>
  <c r="R162" i="3" s="1"/>
  <c r="S162" i="3" s="1"/>
  <c r="AC162" i="3"/>
  <c r="AA162" i="3"/>
  <c r="V161" i="3"/>
  <c r="AE161" i="3"/>
  <c r="M161" i="3" l="1"/>
  <c r="N161" i="3" s="1"/>
  <c r="J161" i="3"/>
  <c r="AD161" i="3" s="1"/>
  <c r="F161" i="3"/>
  <c r="T162" i="3"/>
  <c r="W161" i="3"/>
  <c r="L161" i="3" l="1"/>
  <c r="U161" i="3" s="1"/>
  <c r="D162" i="3" s="1"/>
  <c r="Y160" i="3" l="1"/>
  <c r="AH162" i="3"/>
  <c r="AG162" i="3"/>
  <c r="G162" i="3"/>
  <c r="E162" i="3"/>
  <c r="H162" i="3" s="1"/>
  <c r="F162" i="3" l="1"/>
  <c r="I162" i="3"/>
  <c r="J162" i="3"/>
  <c r="AD162" i="3" s="1"/>
  <c r="M162" i="3"/>
  <c r="N162" i="3" s="1"/>
  <c r="K162" i="3"/>
  <c r="A163" i="3" s="1"/>
  <c r="B163" i="3" s="1"/>
  <c r="AC163" i="3" l="1"/>
  <c r="Z163" i="3"/>
  <c r="P163" i="3"/>
  <c r="Q163" i="3" s="1"/>
  <c r="R163" i="3" s="1"/>
  <c r="S163" i="3" s="1"/>
  <c r="AA163" i="3"/>
  <c r="V162" i="3"/>
  <c r="W162" i="3" s="1"/>
  <c r="AE162" i="3"/>
  <c r="L162" i="3"/>
  <c r="T163" i="3" l="1"/>
  <c r="AH163" i="3" s="1"/>
  <c r="U162" i="3"/>
  <c r="Y161" i="3"/>
  <c r="AG163" i="3" l="1"/>
  <c r="D163" i="3"/>
  <c r="G163" i="3" s="1"/>
  <c r="E163" i="3"/>
  <c r="H163" i="3" s="1"/>
  <c r="K163" i="3" s="1"/>
  <c r="A164" i="3" s="1"/>
  <c r="B164" i="3" s="1"/>
  <c r="AA164" i="3" l="1"/>
  <c r="Z164" i="3"/>
  <c r="AC164" i="3"/>
  <c r="P164" i="3"/>
  <c r="Q164" i="3" s="1"/>
  <c r="R164" i="3" s="1"/>
  <c r="S164" i="3" s="1"/>
  <c r="F163" i="3"/>
  <c r="V163" i="3"/>
  <c r="AE163" i="3"/>
  <c r="I163" i="3"/>
  <c r="J163" i="3"/>
  <c r="AD163" i="3" s="1"/>
  <c r="M163" i="3"/>
  <c r="N163" i="3" s="1"/>
  <c r="T164" i="3" l="1"/>
  <c r="W163" i="3"/>
  <c r="L163" i="3"/>
  <c r="AH164" i="3" l="1"/>
  <c r="U163" i="3"/>
  <c r="D164" i="3" s="1"/>
  <c r="AG164" i="3"/>
  <c r="Y162" i="3"/>
  <c r="E164" i="3" l="1"/>
  <c r="H164" i="3" s="1"/>
  <c r="K164" i="3" s="1"/>
  <c r="A165" i="3" s="1"/>
  <c r="B165" i="3" s="1"/>
  <c r="G164" i="3"/>
  <c r="AA165" i="3" l="1"/>
  <c r="AC165" i="3"/>
  <c r="Z165" i="3"/>
  <c r="P165" i="3"/>
  <c r="Q165" i="3" s="1"/>
  <c r="R165" i="3" s="1"/>
  <c r="S165" i="3" s="1"/>
  <c r="AD165" i="3"/>
  <c r="F164" i="3"/>
  <c r="I164" i="3"/>
  <c r="J164" i="3"/>
  <c r="AD164" i="3" s="1"/>
  <c r="M164" i="3"/>
  <c r="N164" i="3" s="1"/>
  <c r="V164" i="3"/>
  <c r="AE164" i="3"/>
  <c r="T165" i="3" l="1"/>
  <c r="W164" i="3"/>
  <c r="L164" i="3"/>
  <c r="U164" i="3" l="1"/>
  <c r="D165" i="3" s="1"/>
  <c r="AG165" i="3"/>
  <c r="AH165" i="3"/>
  <c r="Y163" i="3"/>
  <c r="E165" i="3" l="1"/>
  <c r="H165" i="3" s="1"/>
  <c r="K165" i="3" s="1"/>
  <c r="A166" i="3" s="1"/>
  <c r="B166" i="3" s="1"/>
  <c r="G165" i="3"/>
  <c r="AA166" i="3" l="1"/>
  <c r="P166" i="3"/>
  <c r="Q166" i="3" s="1"/>
  <c r="R166" i="3" s="1"/>
  <c r="S166" i="3" s="1"/>
  <c r="AD166" i="3"/>
  <c r="Z166" i="3"/>
  <c r="AC166" i="3"/>
  <c r="F165" i="3"/>
  <c r="V165" i="3"/>
  <c r="AE165" i="3"/>
  <c r="I165" i="3"/>
  <c r="J165" i="3"/>
  <c r="M165" i="3"/>
  <c r="N165" i="3" s="1"/>
  <c r="T166" i="3" l="1"/>
  <c r="L165" i="3"/>
  <c r="W165" i="3"/>
  <c r="AH166" i="3" l="1"/>
  <c r="U165" i="3"/>
  <c r="E166" i="3" s="1"/>
  <c r="H166" i="3" s="1"/>
  <c r="AG166" i="3"/>
  <c r="Y164" i="3"/>
  <c r="D166" i="3" l="1"/>
  <c r="G166" i="3" s="1"/>
  <c r="K166" i="3"/>
  <c r="A167" i="3" s="1"/>
  <c r="B167" i="3" s="1"/>
  <c r="P167" i="3" l="1"/>
  <c r="Q167" i="3" s="1"/>
  <c r="R167" i="3" s="1"/>
  <c r="S167" i="3" s="1"/>
  <c r="AA167" i="3"/>
  <c r="Z167" i="3"/>
  <c r="AD167" i="3"/>
  <c r="AC167" i="3"/>
  <c r="F166" i="3"/>
  <c r="I166" i="3"/>
  <c r="J166" i="3"/>
  <c r="M166" i="3"/>
  <c r="N166" i="3" s="1"/>
  <c r="V166" i="3"/>
  <c r="AE166" i="3"/>
  <c r="T167" i="3" l="1"/>
  <c r="W166" i="3"/>
  <c r="L166" i="3"/>
  <c r="AH167" i="3" l="1"/>
  <c r="AG167" i="3"/>
  <c r="U166" i="3"/>
  <c r="E167" i="3" s="1"/>
  <c r="H167" i="3" s="1"/>
  <c r="Y165" i="3"/>
  <c r="K167" i="3" l="1"/>
  <c r="A168" i="3" s="1"/>
  <c r="B168" i="3" s="1"/>
  <c r="D167" i="3"/>
  <c r="Z168" i="3" l="1"/>
  <c r="AD168" i="3"/>
  <c r="AC168" i="3"/>
  <c r="AA168" i="3"/>
  <c r="P168" i="3"/>
  <c r="Q168" i="3" s="1"/>
  <c r="R168" i="3" s="1"/>
  <c r="S168" i="3" s="1"/>
  <c r="V167" i="3"/>
  <c r="AE167" i="3"/>
  <c r="F167" i="3"/>
  <c r="G167" i="3"/>
  <c r="T168" i="3" l="1"/>
  <c r="I167" i="3"/>
  <c r="W167" i="3" s="1"/>
  <c r="J167" i="3"/>
  <c r="M167" i="3"/>
  <c r="N167" i="3" s="1"/>
  <c r="L167" i="3" l="1"/>
  <c r="AH168" i="3" l="1"/>
  <c r="U167" i="3"/>
  <c r="E168" i="3" s="1"/>
  <c r="H168" i="3" s="1"/>
  <c r="AG168" i="3"/>
  <c r="Y166" i="3"/>
  <c r="D168" i="3" l="1"/>
  <c r="F168" i="3" s="1"/>
  <c r="K168" i="3"/>
  <c r="A169" i="3" s="1"/>
  <c r="B169" i="3" s="1"/>
  <c r="AD169" i="3" l="1"/>
  <c r="Z169" i="3"/>
  <c r="AA169" i="3"/>
  <c r="AC169" i="3"/>
  <c r="P169" i="3"/>
  <c r="Q169" i="3" s="1"/>
  <c r="R169" i="3" s="1"/>
  <c r="S169" i="3" s="1"/>
  <c r="G168" i="3"/>
  <c r="I168" i="3" s="1"/>
  <c r="V168" i="3"/>
  <c r="AE168" i="3"/>
  <c r="T169" i="3" l="1"/>
  <c r="M168" i="3"/>
  <c r="N168" i="3" s="1"/>
  <c r="J168" i="3"/>
  <c r="L168" i="3" s="1"/>
  <c r="W168" i="3"/>
  <c r="U168" i="3" l="1"/>
  <c r="E169" i="3" s="1"/>
  <c r="H169" i="3" s="1"/>
  <c r="AH169" i="3"/>
  <c r="AG169" i="3"/>
  <c r="Y167" i="3"/>
  <c r="D169" i="3" l="1"/>
  <c r="F169" i="3" s="1"/>
  <c r="K169" i="3"/>
  <c r="A170" i="3" s="1"/>
  <c r="B170" i="3" s="1"/>
  <c r="AA170" i="3" l="1"/>
  <c r="AC170" i="3"/>
  <c r="P170" i="3"/>
  <c r="Q170" i="3" s="1"/>
  <c r="R170" i="3" s="1"/>
  <c r="S170" i="3" s="1"/>
  <c r="AD170" i="3"/>
  <c r="Z170" i="3"/>
  <c r="G169" i="3"/>
  <c r="I169" i="3" s="1"/>
  <c r="V169" i="3"/>
  <c r="AE169" i="3"/>
  <c r="T170" i="3" l="1"/>
  <c r="M169" i="3"/>
  <c r="N169" i="3" s="1"/>
  <c r="J169" i="3"/>
  <c r="L169" i="3" s="1"/>
  <c r="W169" i="3"/>
  <c r="AH170" i="3" l="1"/>
  <c r="U169" i="3"/>
  <c r="E170" i="3" s="1"/>
  <c r="H170" i="3" s="1"/>
  <c r="AG170" i="3"/>
  <c r="Y168" i="3"/>
  <c r="D170" i="3" l="1"/>
  <c r="G170" i="3" s="1"/>
  <c r="K170" i="3"/>
  <c r="A171" i="3" s="1"/>
  <c r="B171" i="3" s="1"/>
  <c r="AD171" i="3" l="1"/>
  <c r="Z171" i="3"/>
  <c r="AA171" i="3"/>
  <c r="AC171" i="3"/>
  <c r="P171" i="3"/>
  <c r="Q171" i="3" s="1"/>
  <c r="R171" i="3" s="1"/>
  <c r="S171" i="3" s="1"/>
  <c r="F170" i="3"/>
  <c r="I170" i="3"/>
  <c r="J170" i="3"/>
  <c r="M170" i="3"/>
  <c r="N170" i="3" s="1"/>
  <c r="V170" i="3"/>
  <c r="AE170" i="3"/>
  <c r="T171" i="3" l="1"/>
  <c r="W170" i="3"/>
  <c r="L170" i="3"/>
  <c r="AG171" i="3" l="1"/>
  <c r="U170" i="3"/>
  <c r="E171" i="3" s="1"/>
  <c r="H171" i="3" s="1"/>
  <c r="AH171" i="3"/>
  <c r="Y169" i="3"/>
  <c r="K171" i="3" l="1"/>
  <c r="A172" i="3" s="1"/>
  <c r="B172" i="3" s="1"/>
  <c r="D171" i="3"/>
  <c r="P172" i="3" l="1"/>
  <c r="Q172" i="3" s="1"/>
  <c r="R172" i="3" s="1"/>
  <c r="S172" i="3" s="1"/>
  <c r="AC172" i="3"/>
  <c r="AD172" i="3"/>
  <c r="AA172" i="3"/>
  <c r="Z172" i="3"/>
  <c r="F171" i="3"/>
  <c r="G171" i="3"/>
  <c r="V171" i="3"/>
  <c r="AE171" i="3"/>
  <c r="T172" i="3" l="1"/>
  <c r="I171" i="3"/>
  <c r="W171" i="3" s="1"/>
  <c r="J171" i="3"/>
  <c r="M171" i="3"/>
  <c r="N171" i="3" s="1"/>
  <c r="L171" i="3" l="1"/>
  <c r="U171" i="3" l="1"/>
  <c r="E172" i="3" s="1"/>
  <c r="H172" i="3" s="1"/>
  <c r="AH172" i="3"/>
  <c r="AG172" i="3"/>
  <c r="Y170" i="3"/>
  <c r="K172" i="3" l="1"/>
  <c r="A173" i="3" s="1"/>
  <c r="B173" i="3" s="1"/>
  <c r="D172" i="3"/>
  <c r="P173" i="3" l="1"/>
  <c r="Q173" i="3" s="1"/>
  <c r="R173" i="3" s="1"/>
  <c r="S173" i="3" s="1"/>
  <c r="AD173" i="3"/>
  <c r="AC173" i="3"/>
  <c r="Z173" i="3"/>
  <c r="AA173" i="3"/>
  <c r="V172" i="3"/>
  <c r="AE172" i="3"/>
  <c r="F172" i="3"/>
  <c r="G172" i="3"/>
  <c r="T173" i="3" l="1"/>
  <c r="I172" i="3"/>
  <c r="W172" i="3" s="1"/>
  <c r="J172" i="3"/>
  <c r="M172" i="3"/>
  <c r="N172" i="3" s="1"/>
  <c r="L172" i="3" l="1"/>
  <c r="U172" i="3" l="1"/>
  <c r="E173" i="3" s="1"/>
  <c r="H173" i="3" s="1"/>
  <c r="AH173" i="3"/>
  <c r="AG173" i="3"/>
  <c r="Y171" i="3"/>
  <c r="D173" i="3" l="1"/>
  <c r="G173" i="3" s="1"/>
  <c r="K173" i="3"/>
  <c r="A174" i="3" s="1"/>
  <c r="B174" i="3" s="1"/>
  <c r="AD174" i="3" l="1"/>
  <c r="P174" i="3"/>
  <c r="Q174" i="3" s="1"/>
  <c r="R174" i="3" s="1"/>
  <c r="S174" i="3" s="1"/>
  <c r="AA174" i="3"/>
  <c r="AC174" i="3"/>
  <c r="Z174" i="3"/>
  <c r="F173" i="3"/>
  <c r="I173" i="3"/>
  <c r="J173" i="3"/>
  <c r="M173" i="3"/>
  <c r="N173" i="3" s="1"/>
  <c r="V173" i="3"/>
  <c r="AE173" i="3"/>
  <c r="T174" i="3" l="1"/>
  <c r="L173" i="3"/>
  <c r="W173" i="3"/>
  <c r="U173" i="3" l="1"/>
  <c r="E174" i="3" s="1"/>
  <c r="H174" i="3" s="1"/>
  <c r="AG174" i="3"/>
  <c r="AH174" i="3"/>
  <c r="Y172" i="3"/>
  <c r="D174" i="3" l="1"/>
  <c r="G174" i="3" s="1"/>
  <c r="K174" i="3"/>
  <c r="A175" i="3" s="1"/>
  <c r="B175" i="3" s="1"/>
  <c r="AC175" i="3" l="1"/>
  <c r="AA175" i="3"/>
  <c r="Z175" i="3"/>
  <c r="P175" i="3"/>
  <c r="Q175" i="3" s="1"/>
  <c r="R175" i="3" s="1"/>
  <c r="S175" i="3" s="1"/>
  <c r="AD175" i="3"/>
  <c r="F174" i="3"/>
  <c r="V174" i="3"/>
  <c r="AE174" i="3"/>
  <c r="I174" i="3"/>
  <c r="J174" i="3"/>
  <c r="M174" i="3"/>
  <c r="N174" i="3" s="1"/>
  <c r="T175" i="3" l="1"/>
  <c r="W174" i="3"/>
  <c r="L174" i="3"/>
  <c r="U174" i="3" l="1"/>
  <c r="D175" i="3" s="1"/>
  <c r="AG175" i="3"/>
  <c r="AH175" i="3"/>
  <c r="Y173" i="3"/>
  <c r="E175" i="3" l="1"/>
  <c r="H175" i="3" s="1"/>
  <c r="K175" i="3" s="1"/>
  <c r="A176" i="3" s="1"/>
  <c r="B176" i="3" s="1"/>
  <c r="G175" i="3"/>
  <c r="P176" i="3" l="1"/>
  <c r="Q176" i="3" s="1"/>
  <c r="R176" i="3" s="1"/>
  <c r="S176" i="3" s="1"/>
  <c r="Z176" i="3"/>
  <c r="AA176" i="3"/>
  <c r="AC176" i="3"/>
  <c r="AD176" i="3"/>
  <c r="F175" i="3"/>
  <c r="I175" i="3"/>
  <c r="J175" i="3"/>
  <c r="M175" i="3"/>
  <c r="N175" i="3" s="1"/>
  <c r="V175" i="3"/>
  <c r="AE175" i="3"/>
  <c r="T176" i="3" l="1"/>
  <c r="W175" i="3"/>
  <c r="L175" i="3"/>
  <c r="U175" i="3" l="1"/>
  <c r="E176" i="3" s="1"/>
  <c r="H176" i="3" s="1"/>
  <c r="AG176" i="3"/>
  <c r="AH176" i="3"/>
  <c r="Y174" i="3"/>
  <c r="D176" i="3" l="1"/>
  <c r="G176" i="3" s="1"/>
  <c r="K176" i="3"/>
  <c r="A177" i="3" s="1"/>
  <c r="B177" i="3" s="1"/>
  <c r="Z177" i="3" l="1"/>
  <c r="AC177" i="3"/>
  <c r="AD177" i="3"/>
  <c r="P177" i="3"/>
  <c r="Q177" i="3" s="1"/>
  <c r="R177" i="3" s="1"/>
  <c r="S177" i="3" s="1"/>
  <c r="AA177" i="3"/>
  <c r="F176" i="3"/>
  <c r="I176" i="3"/>
  <c r="J176" i="3"/>
  <c r="M176" i="3"/>
  <c r="N176" i="3" s="1"/>
  <c r="V176" i="3"/>
  <c r="AE176" i="3"/>
  <c r="T177" i="3" l="1"/>
  <c r="W176" i="3"/>
  <c r="L176" i="3"/>
  <c r="AH177" i="3" l="1"/>
  <c r="U176" i="3"/>
  <c r="D177" i="3" s="1"/>
  <c r="AG177" i="3"/>
  <c r="Y175" i="3"/>
  <c r="G177" i="3" l="1"/>
  <c r="E177" i="3"/>
  <c r="H177" i="3" s="1"/>
  <c r="F177" i="3" l="1"/>
  <c r="I177" i="3"/>
  <c r="J177" i="3"/>
  <c r="M177" i="3"/>
  <c r="N177" i="3" s="1"/>
  <c r="K177" i="3"/>
  <c r="A178" i="3" s="1"/>
  <c r="B178" i="3" s="1"/>
  <c r="AA178" i="3" l="1"/>
  <c r="Z178" i="3"/>
  <c r="AC178" i="3"/>
  <c r="P178" i="3"/>
  <c r="Q178" i="3" s="1"/>
  <c r="R178" i="3" s="1"/>
  <c r="S178" i="3" s="1"/>
  <c r="AD178" i="3"/>
  <c r="V177" i="3"/>
  <c r="W177" i="3" s="1"/>
  <c r="AE177" i="3"/>
  <c r="L177" i="3"/>
  <c r="T178" i="3" l="1"/>
  <c r="AH178" i="3" s="1"/>
  <c r="U177" i="3"/>
  <c r="Y176" i="3"/>
  <c r="E178" i="3" l="1"/>
  <c r="H178" i="3" s="1"/>
  <c r="K178" i="3" s="1"/>
  <c r="A179" i="3" s="1"/>
  <c r="B179" i="3" s="1"/>
  <c r="AG178" i="3"/>
  <c r="D178" i="3"/>
  <c r="G178" i="3" s="1"/>
  <c r="Z179" i="3" l="1"/>
  <c r="AD179" i="3"/>
  <c r="AC179" i="3"/>
  <c r="AA179" i="3"/>
  <c r="P179" i="3"/>
  <c r="Q179" i="3" s="1"/>
  <c r="R179" i="3" s="1"/>
  <c r="S179" i="3" s="1"/>
  <c r="F178" i="3"/>
  <c r="I178" i="3"/>
  <c r="J178" i="3"/>
  <c r="M178" i="3"/>
  <c r="N178" i="3" s="1"/>
  <c r="V178" i="3"/>
  <c r="AE178" i="3"/>
  <c r="T179" i="3" l="1"/>
  <c r="W178" i="3"/>
  <c r="L178" i="3"/>
  <c r="U178" i="3" l="1"/>
  <c r="E179" i="3" s="1"/>
  <c r="H179" i="3" s="1"/>
  <c r="AG179" i="3"/>
  <c r="AH179" i="3"/>
  <c r="Y177" i="3"/>
  <c r="D179" i="3" l="1"/>
  <c r="G179" i="3" s="1"/>
  <c r="K179" i="3"/>
  <c r="A180" i="3" s="1"/>
  <c r="B180" i="3" s="1"/>
  <c r="AC180" i="3" l="1"/>
  <c r="AA180" i="3"/>
  <c r="AD180" i="3"/>
  <c r="P180" i="3"/>
  <c r="Q180" i="3" s="1"/>
  <c r="R180" i="3" s="1"/>
  <c r="S180" i="3" s="1"/>
  <c r="Z180" i="3"/>
  <c r="F179" i="3"/>
  <c r="V179" i="3"/>
  <c r="AE179" i="3"/>
  <c r="I179" i="3"/>
  <c r="J179" i="3"/>
  <c r="M179" i="3"/>
  <c r="N179" i="3" s="1"/>
  <c r="T180" i="3" l="1"/>
  <c r="W179" i="3"/>
  <c r="L179" i="3"/>
  <c r="AG180" i="3" l="1"/>
  <c r="U179" i="3"/>
  <c r="D180" i="3" s="1"/>
  <c r="AH180" i="3"/>
  <c r="Y178" i="3"/>
  <c r="E180" i="3" l="1"/>
  <c r="H180" i="3" s="1"/>
  <c r="K180" i="3" s="1"/>
  <c r="A181" i="3" s="1"/>
  <c r="B181" i="3" s="1"/>
  <c r="G180" i="3"/>
  <c r="AA181" i="3" l="1"/>
  <c r="AC181" i="3"/>
  <c r="P181" i="3"/>
  <c r="Q181" i="3" s="1"/>
  <c r="R181" i="3" s="1"/>
  <c r="S181" i="3" s="1"/>
  <c r="AD181" i="3"/>
  <c r="Z181" i="3"/>
  <c r="F180" i="3"/>
  <c r="I180" i="3"/>
  <c r="J180" i="3"/>
  <c r="M180" i="3"/>
  <c r="N180" i="3" s="1"/>
  <c r="V180" i="3"/>
  <c r="AE180" i="3"/>
  <c r="T181" i="3" l="1"/>
  <c r="L180" i="3"/>
  <c r="W180" i="3"/>
  <c r="U180" i="3" l="1"/>
  <c r="E181" i="3" s="1"/>
  <c r="H181" i="3" s="1"/>
  <c r="AH181" i="3"/>
  <c r="AG181" i="3"/>
  <c r="Y179" i="3"/>
  <c r="D181" i="3" l="1"/>
  <c r="G181" i="3" s="1"/>
  <c r="K181" i="3"/>
  <c r="A182" i="3" s="1"/>
  <c r="B182" i="3" s="1"/>
  <c r="AA182" i="3" l="1"/>
  <c r="P182" i="3"/>
  <c r="Q182" i="3" s="1"/>
  <c r="R182" i="3" s="1"/>
  <c r="S182" i="3" s="1"/>
  <c r="Z182" i="3"/>
  <c r="AC182" i="3"/>
  <c r="AD182" i="3"/>
  <c r="F181" i="3"/>
  <c r="I181" i="3"/>
  <c r="J181" i="3"/>
  <c r="M181" i="3"/>
  <c r="N181" i="3" s="1"/>
  <c r="V181" i="3"/>
  <c r="AE181" i="3"/>
  <c r="T182" i="3" l="1"/>
  <c r="W181" i="3"/>
  <c r="L181" i="3"/>
  <c r="AH182" i="3" l="1"/>
  <c r="U181" i="3"/>
  <c r="E182" i="3" s="1"/>
  <c r="H182" i="3" s="1"/>
  <c r="AG182" i="3"/>
  <c r="Y180" i="3"/>
  <c r="K182" i="3" l="1"/>
  <c r="A183" i="3" s="1"/>
  <c r="B183" i="3" s="1"/>
  <c r="D182" i="3"/>
  <c r="AA183" i="3" l="1"/>
  <c r="AD183" i="3"/>
  <c r="P183" i="3"/>
  <c r="Q183" i="3" s="1"/>
  <c r="R183" i="3" s="1"/>
  <c r="S183" i="3" s="1"/>
  <c r="AC183" i="3"/>
  <c r="Z183" i="3"/>
  <c r="V182" i="3"/>
  <c r="AE182" i="3"/>
  <c r="F182" i="3"/>
  <c r="G182" i="3"/>
  <c r="T183" i="3" l="1"/>
  <c r="I182" i="3"/>
  <c r="W182" i="3" s="1"/>
  <c r="J182" i="3"/>
  <c r="M182" i="3"/>
  <c r="N182" i="3" s="1"/>
  <c r="L182" i="3" l="1"/>
  <c r="U182" i="3" l="1"/>
  <c r="E183" i="3" s="1"/>
  <c r="H183" i="3" s="1"/>
  <c r="AH183" i="3"/>
  <c r="AG183" i="3"/>
  <c r="Y181" i="3"/>
  <c r="D183" i="3" l="1"/>
  <c r="G183" i="3" s="1"/>
  <c r="K183" i="3"/>
  <c r="A184" i="3" s="1"/>
  <c r="B184" i="3" s="1"/>
  <c r="AD184" i="3" l="1"/>
  <c r="Z184" i="3"/>
  <c r="P184" i="3"/>
  <c r="Q184" i="3" s="1"/>
  <c r="R184" i="3" s="1"/>
  <c r="S184" i="3" s="1"/>
  <c r="AC184" i="3"/>
  <c r="AA184" i="3"/>
  <c r="F183" i="3"/>
  <c r="I183" i="3"/>
  <c r="J183" i="3"/>
  <c r="M183" i="3"/>
  <c r="N183" i="3" s="1"/>
  <c r="V183" i="3"/>
  <c r="AE183" i="3"/>
  <c r="T184" i="3" l="1"/>
  <c r="W183" i="3"/>
  <c r="L183" i="3"/>
  <c r="U183" i="3" l="1"/>
  <c r="D184" i="3" s="1"/>
  <c r="AG184" i="3"/>
  <c r="AH184" i="3"/>
  <c r="Y182" i="3"/>
  <c r="G184" i="3" l="1"/>
  <c r="E184" i="3"/>
  <c r="H184" i="3" s="1"/>
  <c r="K184" i="3" l="1"/>
  <c r="A185" i="3" s="1"/>
  <c r="B185" i="3" s="1"/>
  <c r="I184" i="3"/>
  <c r="J184" i="3"/>
  <c r="M184" i="3"/>
  <c r="N184" i="3" s="1"/>
  <c r="F184" i="3"/>
  <c r="AD185" i="3" l="1"/>
  <c r="AC185" i="3"/>
  <c r="AA185" i="3"/>
  <c r="P185" i="3"/>
  <c r="Q185" i="3" s="1"/>
  <c r="R185" i="3" s="1"/>
  <c r="S185" i="3" s="1"/>
  <c r="Z185" i="3"/>
  <c r="V184" i="3"/>
  <c r="W184" i="3" s="1"/>
  <c r="AE184" i="3"/>
  <c r="L184" i="3"/>
  <c r="T185" i="3" l="1"/>
  <c r="AH185" i="3" s="1"/>
  <c r="U184" i="3"/>
  <c r="Y183" i="3"/>
  <c r="D185" i="3" l="1"/>
  <c r="G185" i="3" s="1"/>
  <c r="AG185" i="3"/>
  <c r="E185" i="3"/>
  <c r="H185" i="3" s="1"/>
  <c r="K185" i="3" s="1"/>
  <c r="A186" i="3" s="1"/>
  <c r="B186" i="3" s="1"/>
  <c r="Z186" i="3" l="1"/>
  <c r="P186" i="3"/>
  <c r="Q186" i="3" s="1"/>
  <c r="R186" i="3" s="1"/>
  <c r="S186" i="3" s="1"/>
  <c r="AA186" i="3"/>
  <c r="AC186" i="3"/>
  <c r="AD186" i="3"/>
  <c r="F185" i="3"/>
  <c r="I185" i="3"/>
  <c r="J185" i="3"/>
  <c r="M185" i="3"/>
  <c r="N185" i="3" s="1"/>
  <c r="V185" i="3"/>
  <c r="AE185" i="3"/>
  <c r="T186" i="3" l="1"/>
  <c r="W185" i="3"/>
  <c r="L185" i="3"/>
  <c r="U185" i="3" l="1"/>
  <c r="E186" i="3" s="1"/>
  <c r="H186" i="3" s="1"/>
  <c r="AH186" i="3"/>
  <c r="AG186" i="3"/>
  <c r="Y184" i="3"/>
  <c r="D186" i="3" l="1"/>
  <c r="G186" i="3" s="1"/>
  <c r="K186" i="3"/>
  <c r="A187" i="3" s="1"/>
  <c r="B187" i="3" s="1"/>
  <c r="AD187" i="3" l="1"/>
  <c r="AA187" i="3"/>
  <c r="AC187" i="3"/>
  <c r="P187" i="3"/>
  <c r="Q187" i="3" s="1"/>
  <c r="R187" i="3" s="1"/>
  <c r="S187" i="3" s="1"/>
  <c r="Z187" i="3"/>
  <c r="F186" i="3"/>
  <c r="V186" i="3"/>
  <c r="AE186" i="3"/>
  <c r="I186" i="3"/>
  <c r="J186" i="3"/>
  <c r="M186" i="3"/>
  <c r="N186" i="3" s="1"/>
  <c r="T187" i="3" l="1"/>
  <c r="L186" i="3"/>
  <c r="W186" i="3"/>
  <c r="AG187" i="3" l="1"/>
  <c r="AH187" i="3"/>
  <c r="U186" i="3"/>
  <c r="D187" i="3" s="1"/>
  <c r="Y185" i="3"/>
  <c r="G187" i="3" l="1"/>
  <c r="E187" i="3"/>
  <c r="H187" i="3" s="1"/>
  <c r="I187" i="3" l="1"/>
  <c r="J187" i="3"/>
  <c r="M187" i="3"/>
  <c r="N187" i="3" s="1"/>
  <c r="F187" i="3"/>
  <c r="K187" i="3"/>
  <c r="A188" i="3" s="1"/>
  <c r="B188" i="3" s="1"/>
  <c r="Z188" i="3" l="1"/>
  <c r="P188" i="3"/>
  <c r="Q188" i="3" s="1"/>
  <c r="R188" i="3" s="1"/>
  <c r="S188" i="3" s="1"/>
  <c r="AC188" i="3"/>
  <c r="AA188" i="3"/>
  <c r="AD188" i="3"/>
  <c r="L187" i="3"/>
  <c r="V187" i="3"/>
  <c r="W187" i="3" s="1"/>
  <c r="AE187" i="3"/>
  <c r="T188" i="3" l="1"/>
  <c r="AG188" i="3" s="1"/>
  <c r="U187" i="3"/>
  <c r="Y186" i="3"/>
  <c r="AH188" i="3" l="1"/>
  <c r="E188" i="3"/>
  <c r="H188" i="3" s="1"/>
  <c r="K188" i="3" s="1"/>
  <c r="A189" i="3" s="1"/>
  <c r="B189" i="3" s="1"/>
  <c r="D188" i="3"/>
  <c r="G188" i="3" s="1"/>
  <c r="Z189" i="3" l="1"/>
  <c r="AC189" i="3"/>
  <c r="AD189" i="3"/>
  <c r="P189" i="3"/>
  <c r="Q189" i="3" s="1"/>
  <c r="R189" i="3" s="1"/>
  <c r="S189" i="3" s="1"/>
  <c r="AA189" i="3"/>
  <c r="F188" i="3"/>
  <c r="I188" i="3"/>
  <c r="J188" i="3"/>
  <c r="M188" i="3"/>
  <c r="N188" i="3" s="1"/>
  <c r="V188" i="3"/>
  <c r="AE188" i="3"/>
  <c r="T189" i="3" l="1"/>
  <c r="W188" i="3"/>
  <c r="L188" i="3"/>
  <c r="U188" i="3" l="1"/>
  <c r="E189" i="3" s="1"/>
  <c r="H189" i="3" s="1"/>
  <c r="AH189" i="3"/>
  <c r="AG189" i="3"/>
  <c r="Y187" i="3"/>
  <c r="D189" i="3" l="1"/>
  <c r="G189" i="3" s="1"/>
  <c r="K189" i="3"/>
  <c r="A190" i="3" s="1"/>
  <c r="B190" i="3" s="1"/>
  <c r="AC190" i="3" l="1"/>
  <c r="Z190" i="3"/>
  <c r="AD190" i="3"/>
  <c r="AA190" i="3"/>
  <c r="P190" i="3"/>
  <c r="Q190" i="3" s="1"/>
  <c r="R190" i="3" s="1"/>
  <c r="S190" i="3" s="1"/>
  <c r="F189" i="3"/>
  <c r="I189" i="3"/>
  <c r="J189" i="3"/>
  <c r="M189" i="3"/>
  <c r="N189" i="3" s="1"/>
  <c r="V189" i="3"/>
  <c r="AE189" i="3"/>
  <c r="T190" i="3" l="1"/>
  <c r="W189" i="3"/>
  <c r="L189" i="3"/>
  <c r="AH190" i="3" l="1"/>
  <c r="U189" i="3"/>
  <c r="D190" i="3" s="1"/>
  <c r="AG190" i="3"/>
  <c r="Y188" i="3"/>
  <c r="G190" i="3" l="1"/>
  <c r="E190" i="3"/>
  <c r="H190" i="3" s="1"/>
  <c r="K190" i="3" l="1"/>
  <c r="A191" i="3" s="1"/>
  <c r="B191" i="3" s="1"/>
  <c r="I190" i="3"/>
  <c r="J190" i="3"/>
  <c r="M190" i="3"/>
  <c r="N190" i="3" s="1"/>
  <c r="F190" i="3"/>
  <c r="P191" i="3" l="1"/>
  <c r="Q191" i="3" s="1"/>
  <c r="R191" i="3" s="1"/>
  <c r="S191" i="3" s="1"/>
  <c r="AA191" i="3"/>
  <c r="AC191" i="3"/>
  <c r="AD191" i="3"/>
  <c r="Z191" i="3"/>
  <c r="L190" i="3"/>
  <c r="V190" i="3"/>
  <c r="W190" i="3" s="1"/>
  <c r="AE190" i="3"/>
  <c r="T191" i="3" l="1"/>
  <c r="AG191" i="3" s="1"/>
  <c r="U190" i="3"/>
  <c r="Y189" i="3"/>
  <c r="AH191" i="3" l="1"/>
  <c r="E191" i="3"/>
  <c r="H191" i="3" s="1"/>
  <c r="K191" i="3" s="1"/>
  <c r="A192" i="3" s="1"/>
  <c r="B192" i="3" s="1"/>
  <c r="D191" i="3"/>
  <c r="P192" i="3" l="1"/>
  <c r="Q192" i="3" s="1"/>
  <c r="R192" i="3" s="1"/>
  <c r="S192" i="3" s="1"/>
  <c r="Z192" i="3"/>
  <c r="AD192" i="3"/>
  <c r="AA192" i="3"/>
  <c r="AC192" i="3"/>
  <c r="V191" i="3"/>
  <c r="AE191" i="3"/>
  <c r="F191" i="3"/>
  <c r="G191" i="3"/>
  <c r="T192" i="3" l="1"/>
  <c r="I191" i="3"/>
  <c r="W191" i="3" s="1"/>
  <c r="J191" i="3"/>
  <c r="M191" i="3"/>
  <c r="N191" i="3" s="1"/>
  <c r="L191" i="3" l="1"/>
  <c r="AG192" i="3" l="1"/>
  <c r="U191" i="3"/>
  <c r="E192" i="3" s="1"/>
  <c r="H192" i="3" s="1"/>
  <c r="AH192" i="3"/>
  <c r="Y190" i="3"/>
  <c r="D192" i="3" l="1"/>
  <c r="G192" i="3" s="1"/>
  <c r="K192" i="3"/>
  <c r="A193" i="3" s="1"/>
  <c r="B193" i="3" s="1"/>
  <c r="AC193" i="3" l="1"/>
  <c r="AA193" i="3"/>
  <c r="AD193" i="3"/>
  <c r="P193" i="3"/>
  <c r="Q193" i="3" s="1"/>
  <c r="R193" i="3" s="1"/>
  <c r="S193" i="3" s="1"/>
  <c r="Z193" i="3"/>
  <c r="F192" i="3"/>
  <c r="I192" i="3"/>
  <c r="J192" i="3"/>
  <c r="M192" i="3"/>
  <c r="N192" i="3" s="1"/>
  <c r="V192" i="3"/>
  <c r="AE192" i="3"/>
  <c r="T193" i="3" l="1"/>
  <c r="W192" i="3"/>
  <c r="L192" i="3"/>
  <c r="U192" i="3" l="1"/>
  <c r="D193" i="3" s="1"/>
  <c r="AG193" i="3"/>
  <c r="AH193" i="3"/>
  <c r="Y191" i="3"/>
  <c r="G193" i="3" l="1"/>
  <c r="E193" i="3"/>
  <c r="H193" i="3" s="1"/>
  <c r="K193" i="3" l="1"/>
  <c r="A194" i="3" s="1"/>
  <c r="B194" i="3" s="1"/>
  <c r="I193" i="3"/>
  <c r="J193" i="3"/>
  <c r="M193" i="3"/>
  <c r="N193" i="3" s="1"/>
  <c r="F193" i="3"/>
  <c r="AD194" i="3" l="1"/>
  <c r="P194" i="3"/>
  <c r="Q194" i="3" s="1"/>
  <c r="R194" i="3" s="1"/>
  <c r="S194" i="3" s="1"/>
  <c r="AA194" i="3"/>
  <c r="AC194" i="3"/>
  <c r="Z194" i="3"/>
  <c r="L193" i="3"/>
  <c r="V193" i="3"/>
  <c r="W193" i="3" s="1"/>
  <c r="AE193" i="3"/>
  <c r="T194" i="3" l="1"/>
  <c r="AH194" i="3" s="1"/>
  <c r="U193" i="3"/>
  <c r="Y192" i="3"/>
  <c r="AG194" i="3" l="1"/>
  <c r="D194" i="3"/>
  <c r="G194" i="3" s="1"/>
  <c r="E194" i="3"/>
  <c r="H194" i="3" s="1"/>
  <c r="K194" i="3" s="1"/>
  <c r="A195" i="3" s="1"/>
  <c r="B195" i="3" s="1"/>
  <c r="P195" i="3" l="1"/>
  <c r="Q195" i="3" s="1"/>
  <c r="R195" i="3" s="1"/>
  <c r="S195" i="3" s="1"/>
  <c r="AD195" i="3"/>
  <c r="Z195" i="3"/>
  <c r="AA195" i="3"/>
  <c r="AC195" i="3"/>
  <c r="F194" i="3"/>
  <c r="V194" i="3"/>
  <c r="AE194" i="3"/>
  <c r="I194" i="3"/>
  <c r="J194" i="3"/>
  <c r="M194" i="3"/>
  <c r="N194" i="3" s="1"/>
  <c r="T195" i="3" l="1"/>
  <c r="W194" i="3"/>
  <c r="L194" i="3"/>
  <c r="U194" i="3" l="1"/>
  <c r="D195" i="3" s="1"/>
  <c r="AH195" i="3"/>
  <c r="AG195" i="3"/>
  <c r="Y193" i="3"/>
  <c r="E195" i="3" l="1"/>
  <c r="H195" i="3" s="1"/>
  <c r="K195" i="3" s="1"/>
  <c r="A196" i="3" s="1"/>
  <c r="B196" i="3" s="1"/>
  <c r="G195" i="3"/>
  <c r="P196" i="3" l="1"/>
  <c r="Q196" i="3" s="1"/>
  <c r="R196" i="3" s="1"/>
  <c r="S196" i="3" s="1"/>
  <c r="Z196" i="3"/>
  <c r="AC196" i="3"/>
  <c r="AD196" i="3"/>
  <c r="AA196" i="3"/>
  <c r="F195" i="3"/>
  <c r="V195" i="3"/>
  <c r="AE195" i="3"/>
  <c r="I195" i="3"/>
  <c r="J195" i="3"/>
  <c r="M195" i="3"/>
  <c r="N195" i="3" s="1"/>
  <c r="T196" i="3" l="1"/>
  <c r="W195" i="3"/>
  <c r="L195" i="3"/>
  <c r="AH196" i="3" l="1"/>
  <c r="U195" i="3"/>
  <c r="D196" i="3" s="1"/>
  <c r="AG196" i="3"/>
  <c r="Y194" i="3"/>
  <c r="E196" i="3" l="1"/>
  <c r="H196" i="3" s="1"/>
  <c r="K196" i="3" s="1"/>
  <c r="A197" i="3" s="1"/>
  <c r="B197" i="3" s="1"/>
  <c r="G196" i="3"/>
  <c r="AD197" i="3" l="1"/>
  <c r="AA197" i="3"/>
  <c r="Z197" i="3"/>
  <c r="AC197" i="3"/>
  <c r="P197" i="3"/>
  <c r="Q197" i="3" s="1"/>
  <c r="R197" i="3" s="1"/>
  <c r="S197" i="3" s="1"/>
  <c r="F196" i="3"/>
  <c r="I196" i="3"/>
  <c r="J196" i="3"/>
  <c r="M196" i="3"/>
  <c r="N196" i="3" s="1"/>
  <c r="V196" i="3"/>
  <c r="AE196" i="3"/>
  <c r="T197" i="3" l="1"/>
  <c r="L196" i="3"/>
  <c r="W196" i="3"/>
  <c r="U196" i="3" l="1"/>
  <c r="E197" i="3" s="1"/>
  <c r="H197" i="3" s="1"/>
  <c r="AG197" i="3"/>
  <c r="AH197" i="3"/>
  <c r="Y195" i="3"/>
  <c r="D197" i="3" l="1"/>
  <c r="G197" i="3" s="1"/>
  <c r="K197" i="3"/>
  <c r="A198" i="3" s="1"/>
  <c r="B198" i="3" s="1"/>
  <c r="P198" i="3" l="1"/>
  <c r="Q198" i="3" s="1"/>
  <c r="R198" i="3" s="1"/>
  <c r="S198" i="3" s="1"/>
  <c r="AA198" i="3"/>
  <c r="Z198" i="3"/>
  <c r="AC198" i="3"/>
  <c r="AD198" i="3"/>
  <c r="F197" i="3"/>
  <c r="I197" i="3"/>
  <c r="J197" i="3"/>
  <c r="M197" i="3"/>
  <c r="N197" i="3" s="1"/>
  <c r="V197" i="3"/>
  <c r="AE197" i="3"/>
  <c r="T198" i="3" l="1"/>
  <c r="W197" i="3"/>
  <c r="L197" i="3"/>
  <c r="AG198" i="3" l="1"/>
  <c r="AH198" i="3"/>
  <c r="U197" i="3"/>
  <c r="E198" i="3" s="1"/>
  <c r="H198" i="3" s="1"/>
  <c r="Y196" i="3"/>
  <c r="K198" i="3" l="1"/>
  <c r="A199" i="3" s="1"/>
  <c r="B199" i="3" s="1"/>
  <c r="D198" i="3"/>
  <c r="AD199" i="3" l="1"/>
  <c r="P199" i="3"/>
  <c r="Q199" i="3" s="1"/>
  <c r="R199" i="3" s="1"/>
  <c r="S199" i="3" s="1"/>
  <c r="AC199" i="3"/>
  <c r="AA199" i="3"/>
  <c r="Z199" i="3"/>
  <c r="V198" i="3"/>
  <c r="AE198" i="3"/>
  <c r="F198" i="3"/>
  <c r="G198" i="3"/>
  <c r="T199" i="3" l="1"/>
  <c r="I198" i="3"/>
  <c r="W198" i="3" s="1"/>
  <c r="J198" i="3"/>
  <c r="M198" i="3"/>
  <c r="N198" i="3" s="1"/>
  <c r="L198" i="3" l="1"/>
  <c r="AG199" i="3" l="1"/>
  <c r="U198" i="3"/>
  <c r="E199" i="3" s="1"/>
  <c r="H199" i="3" s="1"/>
  <c r="AH199" i="3"/>
  <c r="Y197" i="3"/>
  <c r="K199" i="3" l="1"/>
  <c r="A200" i="3" s="1"/>
  <c r="B200" i="3" s="1"/>
  <c r="D199" i="3"/>
  <c r="AA200" i="3" l="1"/>
  <c r="AC200" i="3"/>
  <c r="Z200" i="3"/>
  <c r="P200" i="3"/>
  <c r="Q200" i="3" s="1"/>
  <c r="R200" i="3" s="1"/>
  <c r="S200" i="3" s="1"/>
  <c r="AD200" i="3"/>
  <c r="V199" i="3"/>
  <c r="AE199" i="3"/>
  <c r="F199" i="3"/>
  <c r="G199" i="3"/>
  <c r="T200" i="3" l="1"/>
  <c r="I199" i="3"/>
  <c r="W199" i="3" s="1"/>
  <c r="J199" i="3"/>
  <c r="M199" i="3"/>
  <c r="N199" i="3" s="1"/>
  <c r="L199" i="3" l="1"/>
  <c r="AH200" i="3" l="1"/>
  <c r="AG200" i="3"/>
  <c r="U199" i="3"/>
  <c r="E200" i="3" s="1"/>
  <c r="H200" i="3" s="1"/>
  <c r="Y198" i="3"/>
  <c r="K200" i="3" l="1"/>
  <c r="A201" i="3" s="1"/>
  <c r="B201" i="3" s="1"/>
  <c r="D200" i="3"/>
  <c r="AC201" i="3" l="1"/>
  <c r="AD201" i="3"/>
  <c r="P201" i="3"/>
  <c r="Q201" i="3" s="1"/>
  <c r="R201" i="3" s="1"/>
  <c r="S201" i="3" s="1"/>
  <c r="AA201" i="3"/>
  <c r="Z201" i="3"/>
  <c r="V200" i="3"/>
  <c r="AE200" i="3"/>
  <c r="F200" i="3"/>
  <c r="G200" i="3"/>
  <c r="T201" i="3" l="1"/>
  <c r="I200" i="3"/>
  <c r="W200" i="3" s="1"/>
  <c r="J200" i="3"/>
  <c r="M200" i="3"/>
  <c r="N200" i="3" s="1"/>
  <c r="L200" i="3" l="1"/>
  <c r="AG201" i="3" l="1"/>
  <c r="U200" i="3"/>
  <c r="E201" i="3" s="1"/>
  <c r="H201" i="3" s="1"/>
  <c r="AH201" i="3"/>
  <c r="Y199" i="3"/>
  <c r="D201" i="3" l="1"/>
  <c r="G201" i="3" s="1"/>
  <c r="K201" i="3"/>
  <c r="A202" i="3" s="1"/>
  <c r="B202" i="3" s="1"/>
  <c r="AA202" i="3" l="1"/>
  <c r="AC202" i="3"/>
  <c r="AD202" i="3"/>
  <c r="Z202" i="3"/>
  <c r="P202" i="3"/>
  <c r="Q202" i="3" s="1"/>
  <c r="R202" i="3" s="1"/>
  <c r="S202" i="3" s="1"/>
  <c r="F201" i="3"/>
  <c r="I201" i="3"/>
  <c r="J201" i="3"/>
  <c r="M201" i="3"/>
  <c r="N201" i="3" s="1"/>
  <c r="V201" i="3"/>
  <c r="AE201" i="3"/>
  <c r="T202" i="3" l="1"/>
  <c r="W201" i="3"/>
  <c r="L201" i="3"/>
  <c r="U201" i="3" l="1"/>
  <c r="E202" i="3" s="1"/>
  <c r="H202" i="3" s="1"/>
  <c r="AG202" i="3"/>
  <c r="AH202" i="3"/>
  <c r="Y200" i="3"/>
  <c r="D202" i="3" l="1"/>
  <c r="G202" i="3" s="1"/>
  <c r="K202" i="3"/>
  <c r="A203" i="3" s="1"/>
  <c r="B203" i="3" s="1"/>
  <c r="Z203" i="3" l="1"/>
  <c r="P203" i="3"/>
  <c r="Q203" i="3" s="1"/>
  <c r="R203" i="3" s="1"/>
  <c r="S203" i="3" s="1"/>
  <c r="AD203" i="3"/>
  <c r="AC203" i="3"/>
  <c r="AA203" i="3"/>
  <c r="F202" i="3"/>
  <c r="V202" i="3"/>
  <c r="AE202" i="3"/>
  <c r="I202" i="3"/>
  <c r="J202" i="3"/>
  <c r="M202" i="3"/>
  <c r="N202" i="3" s="1"/>
  <c r="T203" i="3" l="1"/>
  <c r="W202" i="3"/>
  <c r="L202" i="3"/>
  <c r="U202" i="3" l="1"/>
  <c r="E203" i="3" s="1"/>
  <c r="H203" i="3" s="1"/>
  <c r="AH203" i="3"/>
  <c r="AG203" i="3"/>
  <c r="Y201" i="3"/>
  <c r="D203" i="3" l="1"/>
  <c r="G203" i="3" s="1"/>
  <c r="K203" i="3"/>
  <c r="A204" i="3" s="1"/>
  <c r="B204" i="3" s="1"/>
  <c r="Z204" i="3" l="1"/>
  <c r="AC204" i="3"/>
  <c r="AA204" i="3"/>
  <c r="P204" i="3"/>
  <c r="Q204" i="3" s="1"/>
  <c r="R204" i="3" s="1"/>
  <c r="S204" i="3" s="1"/>
  <c r="T204" i="3" s="1"/>
  <c r="F203" i="3"/>
  <c r="I203" i="3"/>
  <c r="J203" i="3"/>
  <c r="M203" i="3"/>
  <c r="N203" i="3" s="1"/>
  <c r="V203" i="3"/>
  <c r="AE203" i="3"/>
  <c r="W203" i="3" l="1"/>
  <c r="L203" i="3"/>
  <c r="U203" i="3" l="1"/>
  <c r="E204" i="3" s="1"/>
  <c r="H204" i="3" s="1"/>
  <c r="AH204" i="3"/>
  <c r="AG204" i="3"/>
  <c r="Y202" i="3"/>
  <c r="D204" i="3" l="1"/>
  <c r="G204" i="3" s="1"/>
  <c r="K204" i="3"/>
  <c r="F204" i="3" l="1"/>
  <c r="I204" i="3"/>
  <c r="J204" i="3"/>
  <c r="M204" i="3"/>
  <c r="N204" i="3" s="1"/>
  <c r="V204" i="3"/>
  <c r="A205" i="3"/>
  <c r="B205" i="3" s="1"/>
  <c r="AE204" i="3"/>
  <c r="W204" i="3" l="1"/>
  <c r="L204" i="3"/>
  <c r="AD204" i="3"/>
  <c r="AC205" i="3"/>
  <c r="P205" i="3"/>
  <c r="Q205" i="3" s="1"/>
  <c r="R205" i="3" s="1"/>
  <c r="S205" i="3" s="1"/>
  <c r="Z205" i="3"/>
  <c r="AA205" i="3"/>
  <c r="AD205" i="3"/>
  <c r="U204" i="3" l="1"/>
  <c r="Y203" i="3"/>
  <c r="T205" i="3"/>
  <c r="AH205" i="3" s="1"/>
  <c r="E205" i="3" l="1"/>
  <c r="H205" i="3" s="1"/>
  <c r="D205" i="3"/>
  <c r="AG205" i="3"/>
  <c r="K205" i="3" l="1"/>
  <c r="F205" i="3"/>
  <c r="G205" i="3"/>
  <c r="V205" i="3" l="1"/>
  <c r="A206" i="3"/>
  <c r="B206" i="3" s="1"/>
  <c r="AE205" i="3"/>
  <c r="I205" i="3"/>
  <c r="J205" i="3"/>
  <c r="M205" i="3"/>
  <c r="N205" i="3" s="1"/>
  <c r="W205" i="3" l="1"/>
  <c r="L205" i="3"/>
  <c r="AC206" i="3"/>
  <c r="P206" i="3"/>
  <c r="Q206" i="3" s="1"/>
  <c r="R206" i="3" s="1"/>
  <c r="S206" i="3" s="1"/>
  <c r="Z206" i="3"/>
  <c r="AA206" i="3"/>
  <c r="AD206" i="3"/>
  <c r="T206" i="3" l="1"/>
  <c r="AH206" i="3" s="1"/>
  <c r="U205" i="3"/>
  <c r="Y204" i="3"/>
  <c r="AG206" i="3" l="1"/>
  <c r="D206" i="3"/>
  <c r="E206" i="3"/>
  <c r="H206" i="3" s="1"/>
  <c r="F206" i="3" l="1"/>
  <c r="G206" i="3"/>
  <c r="K206" i="3"/>
  <c r="I206" i="3" l="1"/>
  <c r="J206" i="3"/>
  <c r="M206" i="3"/>
  <c r="N206" i="3" s="1"/>
  <c r="V206" i="3"/>
  <c r="A207" i="3"/>
  <c r="B207" i="3" s="1"/>
  <c r="AE206" i="3"/>
  <c r="W206" i="3" l="1"/>
  <c r="L206" i="3"/>
  <c r="P207" i="3"/>
  <c r="Q207" i="3" s="1"/>
  <c r="R207" i="3" s="1"/>
  <c r="S207" i="3" s="1"/>
  <c r="AC207" i="3"/>
  <c r="Z207" i="3"/>
  <c r="AA207" i="3"/>
  <c r="T207" i="3" l="1"/>
  <c r="U206" i="3"/>
  <c r="Y205" i="3"/>
  <c r="D207" i="3" l="1"/>
  <c r="G207" i="3" s="1"/>
  <c r="AH207" i="3"/>
  <c r="E207" i="3"/>
  <c r="H207" i="3" s="1"/>
  <c r="AG207" i="3"/>
  <c r="F207" i="3" l="1"/>
  <c r="I207" i="3"/>
  <c r="J207" i="3"/>
  <c r="AD207" i="3" s="1"/>
  <c r="M207" i="3"/>
  <c r="N207" i="3" s="1"/>
  <c r="K207" i="3"/>
  <c r="V207" i="3" l="1"/>
  <c r="W207" i="3" s="1"/>
  <c r="AE207" i="3"/>
  <c r="A208" i="3"/>
  <c r="B208" i="3" s="1"/>
  <c r="L207" i="3"/>
  <c r="Z208" i="3" l="1"/>
  <c r="AC208" i="3"/>
  <c r="AA208" i="3"/>
  <c r="P208" i="3"/>
  <c r="Q208" i="3" s="1"/>
  <c r="R208" i="3" s="1"/>
  <c r="S208" i="3" s="1"/>
  <c r="U207" i="3"/>
  <c r="Y206" i="3"/>
  <c r="T208" i="3" l="1"/>
  <c r="AG208" i="3" s="1"/>
  <c r="AH208" i="3" l="1"/>
  <c r="D208" i="3"/>
  <c r="G208" i="3" s="1"/>
  <c r="E208" i="3"/>
  <c r="H208" i="3" s="1"/>
  <c r="K208" i="3" s="1"/>
  <c r="F208" i="3" l="1"/>
  <c r="I208" i="3"/>
  <c r="J208" i="3"/>
  <c r="AD208" i="3" s="1"/>
  <c r="M208" i="3"/>
  <c r="N208" i="3" s="1"/>
  <c r="V208" i="3"/>
  <c r="A209" i="3"/>
  <c r="B209" i="3" s="1"/>
  <c r="AE208" i="3"/>
  <c r="W208" i="3" l="1"/>
  <c r="L208" i="3"/>
  <c r="P209" i="3"/>
  <c r="Q209" i="3" s="1"/>
  <c r="R209" i="3" s="1"/>
  <c r="S209" i="3" s="1"/>
  <c r="AC209" i="3"/>
  <c r="AD209" i="3"/>
  <c r="AA209" i="3"/>
  <c r="Z209" i="3"/>
  <c r="U208" i="3" l="1"/>
  <c r="Y207" i="3"/>
  <c r="T209" i="3"/>
  <c r="AH209" i="3" s="1"/>
  <c r="AG209" i="3" l="1"/>
  <c r="D209" i="3"/>
  <c r="G209" i="3" s="1"/>
  <c r="E209" i="3"/>
  <c r="H209" i="3" s="1"/>
  <c r="F209" i="3" l="1"/>
  <c r="K209" i="3"/>
  <c r="I209" i="3"/>
  <c r="J209" i="3"/>
  <c r="M209" i="3"/>
  <c r="N209" i="3" s="1"/>
  <c r="L209" i="3" l="1"/>
  <c r="V209" i="3"/>
  <c r="W209" i="3" s="1"/>
  <c r="A210" i="3"/>
  <c r="B210" i="3" s="1"/>
  <c r="AE209" i="3"/>
  <c r="AC210" i="3" l="1"/>
  <c r="Z210" i="3"/>
  <c r="P210" i="3"/>
  <c r="Q210" i="3" s="1"/>
  <c r="R210" i="3" s="1"/>
  <c r="S210" i="3" s="1"/>
  <c r="AA210" i="3"/>
  <c r="AD210" i="3"/>
  <c r="U209" i="3"/>
  <c r="Y208" i="3"/>
  <c r="T210" i="3" l="1"/>
  <c r="AG210" i="3" s="1"/>
  <c r="AH210" i="3" l="1"/>
  <c r="D210" i="3"/>
  <c r="E210" i="3"/>
  <c r="H210" i="3" s="1"/>
  <c r="F210" i="3" l="1"/>
  <c r="G210" i="3"/>
  <c r="K210" i="3"/>
  <c r="V210" i="3" l="1"/>
  <c r="AE210" i="3"/>
  <c r="A211" i="3"/>
  <c r="B211" i="3" s="1"/>
  <c r="I210" i="3"/>
  <c r="J210" i="3"/>
  <c r="M210" i="3"/>
  <c r="N210" i="3" s="1"/>
  <c r="W210" i="3" l="1"/>
  <c r="AC211" i="3"/>
  <c r="Z211" i="3"/>
  <c r="P211" i="3"/>
  <c r="Q211" i="3" s="1"/>
  <c r="R211" i="3" s="1"/>
  <c r="S211" i="3" s="1"/>
  <c r="AA211" i="3"/>
  <c r="AD211" i="3"/>
  <c r="L210" i="3"/>
  <c r="T211" i="3" l="1"/>
  <c r="AG211" i="3" s="1"/>
  <c r="U210" i="3"/>
  <c r="Y209" i="3"/>
  <c r="E211" i="3" l="1"/>
  <c r="H211" i="3" s="1"/>
  <c r="D211" i="3"/>
  <c r="AH211" i="3"/>
  <c r="K211" i="3" l="1"/>
  <c r="F211" i="3"/>
  <c r="G211" i="3"/>
  <c r="I211" i="3" l="1"/>
  <c r="J211" i="3"/>
  <c r="M211" i="3"/>
  <c r="N211" i="3" s="1"/>
  <c r="V211" i="3"/>
  <c r="AE211" i="3"/>
  <c r="A212" i="3"/>
  <c r="B212" i="3" s="1"/>
  <c r="W211" i="3" l="1"/>
  <c r="AA212" i="3"/>
  <c r="Z212" i="3"/>
  <c r="P212" i="3"/>
  <c r="Q212" i="3" s="1"/>
  <c r="R212" i="3" s="1"/>
  <c r="S212" i="3" s="1"/>
  <c r="AC212" i="3"/>
  <c r="AD212" i="3"/>
  <c r="L211" i="3"/>
  <c r="U211" i="3" l="1"/>
  <c r="Y210" i="3"/>
  <c r="T212" i="3"/>
  <c r="E212" i="3" l="1"/>
  <c r="H212" i="3" s="1"/>
  <c r="K212" i="3" s="1"/>
  <c r="AH212" i="3"/>
  <c r="AG212" i="3"/>
  <c r="D212" i="3"/>
  <c r="F212" i="3" l="1"/>
  <c r="G212" i="3"/>
  <c r="V212" i="3"/>
  <c r="A213" i="3"/>
  <c r="B213" i="3" s="1"/>
  <c r="AE212" i="3"/>
  <c r="AD213" i="3" l="1"/>
  <c r="AC213" i="3"/>
  <c r="P213" i="3"/>
  <c r="Q213" i="3" s="1"/>
  <c r="R213" i="3" s="1"/>
  <c r="S213" i="3" s="1"/>
  <c r="AA213" i="3"/>
  <c r="Z213" i="3"/>
  <c r="I212" i="3"/>
  <c r="W212" i="3" s="1"/>
  <c r="J212" i="3"/>
  <c r="M212" i="3"/>
  <c r="N212" i="3" s="1"/>
  <c r="T213" i="3" l="1"/>
  <c r="L212" i="3"/>
  <c r="U212" i="3" l="1"/>
  <c r="E213" i="3" s="1"/>
  <c r="H213" i="3" s="1"/>
  <c r="AH213" i="3"/>
  <c r="AG213" i="3"/>
  <c r="Y211" i="3"/>
  <c r="D213" i="3" l="1"/>
  <c r="G213" i="3" s="1"/>
  <c r="K213" i="3"/>
  <c r="F213" i="3" l="1"/>
  <c r="I213" i="3"/>
  <c r="J213" i="3"/>
  <c r="M213" i="3"/>
  <c r="N213" i="3" s="1"/>
  <c r="V213" i="3"/>
  <c r="A214" i="3"/>
  <c r="B214" i="3" s="1"/>
  <c r="AE213" i="3"/>
  <c r="W213" i="3" l="1"/>
  <c r="L213" i="3"/>
  <c r="P214" i="3"/>
  <c r="Q214" i="3" s="1"/>
  <c r="R214" i="3" s="1"/>
  <c r="S214" i="3" s="1"/>
  <c r="AC214" i="3"/>
  <c r="AA214" i="3"/>
  <c r="Z214" i="3"/>
  <c r="U213" i="3" l="1"/>
  <c r="Y212" i="3"/>
  <c r="T214" i="3"/>
  <c r="D214" i="3" l="1"/>
  <c r="G214" i="3" s="1"/>
  <c r="E214" i="3"/>
  <c r="H214" i="3" s="1"/>
  <c r="AG214" i="3"/>
  <c r="AH214" i="3"/>
  <c r="F214" i="3" l="1"/>
  <c r="I214" i="3"/>
  <c r="J214" i="3"/>
  <c r="M214" i="3"/>
  <c r="N214" i="3" s="1"/>
  <c r="K214" i="3"/>
  <c r="AE214" i="3" s="1"/>
  <c r="V214" i="3" l="1"/>
  <c r="W214" i="3" s="1"/>
  <c r="A215" i="3"/>
  <c r="B215" i="3" s="1"/>
  <c r="L214" i="3"/>
  <c r="AD214" i="3"/>
  <c r="U214" i="3" l="1"/>
  <c r="Y213" i="3"/>
  <c r="AC215" i="3"/>
  <c r="AD215" i="3"/>
  <c r="Z215" i="3"/>
  <c r="P215" i="3"/>
  <c r="Q215" i="3" s="1"/>
  <c r="R215" i="3" s="1"/>
  <c r="S215" i="3" s="1"/>
  <c r="AA215" i="3"/>
  <c r="T215" i="3" l="1"/>
  <c r="AH215" i="3" s="1"/>
  <c r="D215" i="3" l="1"/>
  <c r="G215" i="3" s="1"/>
  <c r="E215" i="3"/>
  <c r="H215" i="3" s="1"/>
  <c r="K215" i="3" s="1"/>
  <c r="AE215" i="3" s="1"/>
  <c r="AG215" i="3"/>
  <c r="F215" i="3" l="1"/>
  <c r="V215" i="3"/>
  <c r="A216" i="3"/>
  <c r="B216" i="3" s="1"/>
  <c r="I215" i="3"/>
  <c r="J215" i="3"/>
  <c r="M215" i="3"/>
  <c r="N215" i="3" s="1"/>
  <c r="W215" i="3" l="1"/>
  <c r="L215" i="3"/>
  <c r="P216" i="3"/>
  <c r="Q216" i="3" s="1"/>
  <c r="R216" i="3" s="1"/>
  <c r="S216" i="3" s="1"/>
  <c r="Z216" i="3"/>
  <c r="AC216" i="3"/>
  <c r="AD216" i="3"/>
  <c r="AA216" i="3"/>
  <c r="U215" i="3" l="1"/>
  <c r="Y214" i="3"/>
  <c r="T216" i="3"/>
  <c r="AH216" i="3" s="1"/>
  <c r="D216" i="3" l="1"/>
  <c r="G216" i="3" s="1"/>
  <c r="AG216" i="3"/>
  <c r="E216" i="3"/>
  <c r="H216" i="3" s="1"/>
  <c r="K216" i="3" l="1"/>
  <c r="AE216" i="3" s="1"/>
  <c r="I216" i="3"/>
  <c r="J216" i="3"/>
  <c r="M216" i="3"/>
  <c r="N216" i="3" s="1"/>
  <c r="F216" i="3"/>
  <c r="V216" i="3" l="1"/>
  <c r="W216" i="3" s="1"/>
  <c r="A217" i="3"/>
  <c r="B217" i="3" s="1"/>
  <c r="L216" i="3"/>
  <c r="U216" i="3" l="1"/>
  <c r="Y215" i="3"/>
  <c r="P217" i="3"/>
  <c r="Q217" i="3" s="1"/>
  <c r="R217" i="3" s="1"/>
  <c r="S217" i="3" s="1"/>
  <c r="AC217" i="3"/>
  <c r="AA217" i="3"/>
  <c r="Z217" i="3"/>
  <c r="T217" i="3" l="1"/>
  <c r="D217" i="3" s="1"/>
  <c r="G217" i="3" l="1"/>
  <c r="AG217" i="3"/>
  <c r="AH217" i="3"/>
  <c r="E217" i="3"/>
  <c r="H217" i="3" s="1"/>
  <c r="I217" i="3" l="1"/>
  <c r="J217" i="3"/>
  <c r="AD217" i="3" s="1"/>
  <c r="M217" i="3"/>
  <c r="N217" i="3" s="1"/>
  <c r="K217" i="3"/>
  <c r="AE217" i="3" s="1"/>
  <c r="F217" i="3"/>
  <c r="V217" i="3" l="1"/>
  <c r="W217" i="3" s="1"/>
  <c r="A218" i="3"/>
  <c r="B218" i="3" s="1"/>
  <c r="L217" i="3"/>
  <c r="U217" i="3" l="1"/>
  <c r="Y216" i="3"/>
  <c r="AC218" i="3"/>
  <c r="AA218" i="3"/>
  <c r="Z218" i="3"/>
  <c r="P218" i="3"/>
  <c r="Q218" i="3" s="1"/>
  <c r="R218" i="3" s="1"/>
  <c r="S218" i="3" s="1"/>
  <c r="T218" i="3" l="1"/>
  <c r="AG218" i="3" s="1"/>
  <c r="AH218" i="3" l="1"/>
  <c r="E218" i="3"/>
  <c r="H218" i="3" s="1"/>
  <c r="K218" i="3" s="1"/>
  <c r="AE218" i="3" s="1"/>
  <c r="D218" i="3"/>
  <c r="G218" i="3" s="1"/>
  <c r="F218" i="3" l="1"/>
  <c r="I218" i="3"/>
  <c r="J218" i="3"/>
  <c r="AD218" i="3" s="1"/>
  <c r="M218" i="3"/>
  <c r="N218" i="3" s="1"/>
  <c r="V218" i="3"/>
  <c r="A219" i="3"/>
  <c r="B219" i="3" s="1"/>
  <c r="W218" i="3" l="1"/>
  <c r="L218" i="3"/>
  <c r="P219" i="3"/>
  <c r="Q219" i="3" s="1"/>
  <c r="R219" i="3" s="1"/>
  <c r="S219" i="3" s="1"/>
  <c r="AD219" i="3"/>
  <c r="AC219" i="3"/>
  <c r="AA219" i="3"/>
  <c r="Z219" i="3"/>
  <c r="U218" i="3" l="1"/>
  <c r="Y217" i="3"/>
  <c r="T219" i="3"/>
  <c r="AG219" i="3" s="1"/>
  <c r="D219" i="3" l="1"/>
  <c r="E219" i="3"/>
  <c r="H219" i="3" s="1"/>
  <c r="AH219" i="3"/>
  <c r="F219" i="3" l="1"/>
  <c r="G219" i="3"/>
  <c r="K219" i="3"/>
  <c r="AE219" i="3" s="1"/>
  <c r="I219" i="3" l="1"/>
  <c r="J219" i="3"/>
  <c r="M219" i="3"/>
  <c r="N219" i="3" s="1"/>
  <c r="V219" i="3"/>
  <c r="A220" i="3"/>
  <c r="B220" i="3" s="1"/>
  <c r="W219" i="3" l="1"/>
  <c r="L219" i="3"/>
  <c r="AC220" i="3"/>
  <c r="AD220" i="3"/>
  <c r="Z220" i="3"/>
  <c r="P220" i="3"/>
  <c r="Q220" i="3" s="1"/>
  <c r="R220" i="3" s="1"/>
  <c r="S220" i="3" s="1"/>
  <c r="AA220" i="3"/>
  <c r="U219" i="3" l="1"/>
  <c r="Y218" i="3"/>
  <c r="T220" i="3"/>
  <c r="E220" i="3" l="1"/>
  <c r="H220" i="3" s="1"/>
  <c r="K220" i="3" s="1"/>
  <c r="AE220" i="3" s="1"/>
  <c r="D220" i="3"/>
  <c r="G220" i="3" s="1"/>
  <c r="AG220" i="3"/>
  <c r="AH220" i="3"/>
  <c r="F220" i="3" l="1"/>
  <c r="I220" i="3"/>
  <c r="J220" i="3"/>
  <c r="M220" i="3"/>
  <c r="N220" i="3" s="1"/>
  <c r="V220" i="3"/>
  <c r="A221" i="3"/>
  <c r="B221" i="3" s="1"/>
  <c r="W220" i="3" l="1"/>
  <c r="L220" i="3"/>
  <c r="AA221" i="3"/>
  <c r="AC221" i="3"/>
  <c r="AD221" i="3"/>
  <c r="P221" i="3"/>
  <c r="Q221" i="3" s="1"/>
  <c r="R221" i="3" s="1"/>
  <c r="S221" i="3" s="1"/>
  <c r="Z221" i="3"/>
  <c r="T221" i="3" l="1"/>
  <c r="U220" i="3"/>
  <c r="Y219" i="3"/>
  <c r="D221" i="3" l="1"/>
  <c r="G221" i="3" s="1"/>
  <c r="AH221" i="3"/>
  <c r="AG221" i="3"/>
  <c r="E221" i="3"/>
  <c r="H221" i="3" s="1"/>
  <c r="K221" i="3" l="1"/>
  <c r="AE221" i="3" s="1"/>
  <c r="I221" i="3"/>
  <c r="J221" i="3"/>
  <c r="M221" i="3"/>
  <c r="N221" i="3" s="1"/>
  <c r="F221" i="3"/>
  <c r="L221" i="3" l="1"/>
  <c r="V221" i="3"/>
  <c r="W221" i="3" s="1"/>
  <c r="A222" i="3"/>
  <c r="B222" i="3" s="1"/>
  <c r="P222" i="3" l="1"/>
  <c r="Q222" i="3" s="1"/>
  <c r="R222" i="3" s="1"/>
  <c r="S222" i="3" s="1"/>
  <c r="AC222" i="3"/>
  <c r="Z222" i="3"/>
  <c r="AA222" i="3"/>
  <c r="AD222" i="3"/>
  <c r="U221" i="3"/>
  <c r="Y220" i="3"/>
  <c r="T222" i="3" l="1"/>
  <c r="AH222" i="3" s="1"/>
  <c r="E222" i="3" l="1"/>
  <c r="H222" i="3" s="1"/>
  <c r="AG222" i="3"/>
  <c r="D222" i="3"/>
  <c r="F222" i="3" l="1"/>
  <c r="G222" i="3"/>
  <c r="K222" i="3"/>
  <c r="AE222" i="3" s="1"/>
  <c r="I222" i="3" l="1"/>
  <c r="J222" i="3"/>
  <c r="M222" i="3"/>
  <c r="N222" i="3" s="1"/>
  <c r="V222" i="3"/>
  <c r="A223" i="3"/>
  <c r="B223" i="3" s="1"/>
  <c r="W222" i="3" l="1"/>
  <c r="L222" i="3"/>
  <c r="P223" i="3"/>
  <c r="Q223" i="3" s="1"/>
  <c r="R223" i="3" s="1"/>
  <c r="S223" i="3" s="1"/>
  <c r="Z223" i="3"/>
  <c r="AC223" i="3"/>
  <c r="AD223" i="3"/>
  <c r="AA223" i="3"/>
  <c r="U222" i="3" l="1"/>
  <c r="Y221" i="3"/>
  <c r="T223" i="3"/>
  <c r="D223" i="3" l="1"/>
  <c r="G223" i="3" s="1"/>
  <c r="AG223" i="3"/>
  <c r="AH223" i="3"/>
  <c r="E223" i="3"/>
  <c r="H223" i="3" s="1"/>
  <c r="K223" i="3" s="1"/>
  <c r="AE223" i="3" s="1"/>
  <c r="F223" i="3" l="1"/>
  <c r="I223" i="3"/>
  <c r="J223" i="3"/>
  <c r="M223" i="3"/>
  <c r="N223" i="3" s="1"/>
  <c r="V223" i="3"/>
  <c r="A224" i="3"/>
  <c r="B224" i="3" s="1"/>
  <c r="W223" i="3" l="1"/>
  <c r="L223" i="3"/>
  <c r="Z224" i="3"/>
  <c r="P224" i="3"/>
  <c r="Q224" i="3" s="1"/>
  <c r="R224" i="3" s="1"/>
  <c r="S224" i="3" s="1"/>
  <c r="AC224" i="3"/>
  <c r="AA224" i="3"/>
  <c r="U223" i="3" l="1"/>
  <c r="Y222" i="3"/>
  <c r="T224" i="3"/>
  <c r="D224" i="3" l="1"/>
  <c r="G224" i="3" s="1"/>
  <c r="AG224" i="3"/>
  <c r="AH224" i="3"/>
  <c r="E224" i="3"/>
  <c r="H224" i="3" s="1"/>
  <c r="K224" i="3" s="1"/>
  <c r="AE224" i="3" s="1"/>
  <c r="F224" i="3" l="1"/>
  <c r="I224" i="3"/>
  <c r="J224" i="3"/>
  <c r="M224" i="3"/>
  <c r="N224" i="3" s="1"/>
  <c r="V224" i="3"/>
  <c r="A225" i="3"/>
  <c r="B225" i="3" s="1"/>
  <c r="W224" i="3" l="1"/>
  <c r="L224" i="3"/>
  <c r="AD224" i="3"/>
  <c r="AC225" i="3"/>
  <c r="P225" i="3"/>
  <c r="Q225" i="3" s="1"/>
  <c r="R225" i="3" s="1"/>
  <c r="S225" i="3" s="1"/>
  <c r="AA225" i="3"/>
  <c r="AD225" i="3"/>
  <c r="Z225" i="3"/>
  <c r="U224" i="3" l="1"/>
  <c r="Y223" i="3"/>
  <c r="T225" i="3"/>
  <c r="AG225" i="3" s="1"/>
  <c r="AH225" i="3" l="1"/>
  <c r="E225" i="3"/>
  <c r="H225" i="3" s="1"/>
  <c r="D225" i="3"/>
  <c r="K225" i="3" l="1"/>
  <c r="AE225" i="3" s="1"/>
  <c r="F225" i="3"/>
  <c r="G225" i="3"/>
  <c r="I225" i="3" l="1"/>
  <c r="J225" i="3"/>
  <c r="M225" i="3"/>
  <c r="N225" i="3" s="1"/>
  <c r="V225" i="3"/>
  <c r="A226" i="3"/>
  <c r="B226" i="3" s="1"/>
  <c r="W225" i="3" l="1"/>
  <c r="L225" i="3"/>
  <c r="AD226" i="3"/>
  <c r="Z226" i="3"/>
  <c r="AA226" i="3"/>
  <c r="P226" i="3"/>
  <c r="Q226" i="3" s="1"/>
  <c r="R226" i="3" s="1"/>
  <c r="S226" i="3" s="1"/>
  <c r="AC226" i="3"/>
  <c r="U225" i="3" l="1"/>
  <c r="Y224" i="3"/>
  <c r="T226" i="3"/>
  <c r="D226" i="3" l="1"/>
  <c r="G226" i="3" s="1"/>
  <c r="AH226" i="3"/>
  <c r="AG226" i="3"/>
  <c r="E226" i="3"/>
  <c r="H226" i="3" s="1"/>
  <c r="F226" i="3" l="1"/>
  <c r="I226" i="3"/>
  <c r="J226" i="3"/>
  <c r="M226" i="3"/>
  <c r="N226" i="3" s="1"/>
  <c r="K226" i="3"/>
  <c r="AE226" i="3" s="1"/>
  <c r="V226" i="3" l="1"/>
  <c r="W226" i="3" s="1"/>
  <c r="A227" i="3"/>
  <c r="B227" i="3" s="1"/>
  <c r="L226" i="3"/>
  <c r="U226" i="3" l="1"/>
  <c r="Y225" i="3"/>
  <c r="P227" i="3"/>
  <c r="Q227" i="3" s="1"/>
  <c r="R227" i="3" s="1"/>
  <c r="S227" i="3" s="1"/>
  <c r="AA227" i="3"/>
  <c r="Z227" i="3"/>
  <c r="AC227" i="3"/>
  <c r="T227" i="3" l="1"/>
  <c r="D227" i="3" s="1"/>
  <c r="E227" i="3" l="1"/>
  <c r="H227" i="3" s="1"/>
  <c r="K227" i="3" s="1"/>
  <c r="AE227" i="3" s="1"/>
  <c r="AH227" i="3"/>
  <c r="AG227" i="3"/>
  <c r="G227" i="3"/>
  <c r="F227" i="3" l="1"/>
  <c r="V227" i="3"/>
  <c r="A228" i="3"/>
  <c r="B228" i="3" s="1"/>
  <c r="I227" i="3"/>
  <c r="J227" i="3"/>
  <c r="AD227" i="3" s="1"/>
  <c r="M227" i="3"/>
  <c r="N227" i="3" s="1"/>
  <c r="L227" i="3" l="1"/>
  <c r="W227" i="3"/>
  <c r="AA228" i="3"/>
  <c r="Z228" i="3"/>
  <c r="P228" i="3"/>
  <c r="Q228" i="3" s="1"/>
  <c r="R228" i="3" s="1"/>
  <c r="S228" i="3" s="1"/>
  <c r="AC228" i="3"/>
  <c r="T228" i="3" l="1"/>
  <c r="AG228" i="3" s="1"/>
  <c r="U227" i="3"/>
  <c r="Y226" i="3"/>
  <c r="AH228" i="3" l="1"/>
  <c r="E228" i="3"/>
  <c r="H228" i="3" s="1"/>
  <c r="D228" i="3"/>
  <c r="K228" i="3" l="1"/>
  <c r="AE228" i="3" s="1"/>
  <c r="F228" i="3"/>
  <c r="G228" i="3"/>
  <c r="V228" i="3" l="1"/>
  <c r="A229" i="3"/>
  <c r="B229" i="3" s="1"/>
  <c r="I228" i="3"/>
  <c r="J228" i="3"/>
  <c r="AD228" i="3" s="1"/>
  <c r="M228" i="3"/>
  <c r="N228" i="3" s="1"/>
  <c r="W228" i="3" l="1"/>
  <c r="L228" i="3"/>
  <c r="AA229" i="3"/>
  <c r="AD229" i="3"/>
  <c r="AC229" i="3"/>
  <c r="P229" i="3"/>
  <c r="Q229" i="3" s="1"/>
  <c r="R229" i="3" s="1"/>
  <c r="S229" i="3" s="1"/>
  <c r="Z229" i="3"/>
  <c r="U228" i="3" l="1"/>
  <c r="Y227" i="3"/>
  <c r="T229" i="3"/>
  <c r="AH229" i="3" s="1"/>
  <c r="D229" i="3" l="1"/>
  <c r="E229" i="3"/>
  <c r="H229" i="3" s="1"/>
  <c r="AG229" i="3"/>
  <c r="K229" i="3" l="1"/>
  <c r="AE229" i="3" s="1"/>
  <c r="F229" i="3"/>
  <c r="G229" i="3"/>
  <c r="V229" i="3" l="1"/>
  <c r="A230" i="3"/>
  <c r="B230" i="3" s="1"/>
  <c r="I229" i="3"/>
  <c r="J229" i="3"/>
  <c r="M229" i="3"/>
  <c r="N229" i="3" s="1"/>
  <c r="L229" i="3" l="1"/>
  <c r="W229" i="3"/>
  <c r="P230" i="3"/>
  <c r="Q230" i="3" s="1"/>
  <c r="R230" i="3" s="1"/>
  <c r="S230" i="3" s="1"/>
  <c r="AA230" i="3"/>
  <c r="AC230" i="3"/>
  <c r="AD230" i="3"/>
  <c r="Z230" i="3"/>
  <c r="U229" i="3" l="1"/>
  <c r="Y228" i="3"/>
  <c r="T230" i="3"/>
  <c r="AH230" i="3" s="1"/>
  <c r="AG230" i="3" l="1"/>
  <c r="D230" i="3"/>
  <c r="E230" i="3"/>
  <c r="H230" i="3" s="1"/>
  <c r="K230" i="3" l="1"/>
  <c r="AE230" i="3" s="1"/>
  <c r="F230" i="3"/>
  <c r="G230" i="3"/>
  <c r="I230" i="3" l="1"/>
  <c r="J230" i="3"/>
  <c r="M230" i="3"/>
  <c r="N230" i="3" s="1"/>
  <c r="V230" i="3"/>
  <c r="A231" i="3"/>
  <c r="B231" i="3" s="1"/>
  <c r="W230" i="3" l="1"/>
  <c r="L230" i="3"/>
  <c r="AD231" i="3"/>
  <c r="P231" i="3"/>
  <c r="Q231" i="3" s="1"/>
  <c r="R231" i="3" s="1"/>
  <c r="S231" i="3" s="1"/>
  <c r="AA231" i="3"/>
  <c r="Z231" i="3"/>
  <c r="AC231" i="3"/>
  <c r="T231" i="3" l="1"/>
  <c r="U230" i="3"/>
  <c r="Y229" i="3"/>
  <c r="D231" i="3" l="1"/>
  <c r="G231" i="3" s="1"/>
  <c r="E231" i="3"/>
  <c r="H231" i="3" s="1"/>
  <c r="K231" i="3" s="1"/>
  <c r="AE231" i="3" s="1"/>
  <c r="AG231" i="3"/>
  <c r="AH231" i="3"/>
  <c r="F231" i="3" l="1"/>
  <c r="V231" i="3"/>
  <c r="A232" i="3"/>
  <c r="B232" i="3" s="1"/>
  <c r="I231" i="3"/>
  <c r="J231" i="3"/>
  <c r="M231" i="3"/>
  <c r="N231" i="3" s="1"/>
  <c r="L231" i="3" l="1"/>
  <c r="W231" i="3"/>
  <c r="P232" i="3"/>
  <c r="Q232" i="3" s="1"/>
  <c r="R232" i="3" s="1"/>
  <c r="S232" i="3" s="1"/>
  <c r="AD232" i="3"/>
  <c r="Z232" i="3"/>
  <c r="AA232" i="3"/>
  <c r="AC232" i="3"/>
  <c r="U231" i="3" l="1"/>
  <c r="Y230" i="3"/>
  <c r="T232" i="3"/>
  <c r="D232" i="3" l="1"/>
  <c r="G232" i="3" s="1"/>
  <c r="AG232" i="3"/>
  <c r="E232" i="3"/>
  <c r="H232" i="3" s="1"/>
  <c r="AH232" i="3"/>
  <c r="F232" i="3" l="1"/>
  <c r="I232" i="3"/>
  <c r="J232" i="3"/>
  <c r="M232" i="3"/>
  <c r="N232" i="3" s="1"/>
  <c r="K232" i="3"/>
  <c r="AE232" i="3" s="1"/>
  <c r="V232" i="3" l="1"/>
  <c r="W232" i="3" s="1"/>
  <c r="A233" i="3"/>
  <c r="B233" i="3" s="1"/>
  <c r="L232" i="3"/>
  <c r="U232" i="3" l="1"/>
  <c r="Y231" i="3"/>
  <c r="AA233" i="3"/>
  <c r="AD233" i="3"/>
  <c r="AC233" i="3"/>
  <c r="P233" i="3"/>
  <c r="Q233" i="3" s="1"/>
  <c r="R233" i="3" s="1"/>
  <c r="S233" i="3" s="1"/>
  <c r="Z233" i="3"/>
  <c r="T233" i="3" l="1"/>
  <c r="D233" i="3" s="1"/>
  <c r="AG233" i="3" l="1"/>
  <c r="AH233" i="3"/>
  <c r="E233" i="3"/>
  <c r="H233" i="3" s="1"/>
  <c r="K233" i="3" s="1"/>
  <c r="AE233" i="3" s="1"/>
  <c r="G233" i="3"/>
  <c r="F233" i="3" l="1"/>
  <c r="I233" i="3"/>
  <c r="J233" i="3"/>
  <c r="M233" i="3"/>
  <c r="N233" i="3" s="1"/>
  <c r="V233" i="3"/>
  <c r="A234" i="3"/>
  <c r="B234" i="3" s="1"/>
  <c r="W233" i="3" l="1"/>
  <c r="L233" i="3"/>
  <c r="Z234" i="3"/>
  <c r="P234" i="3"/>
  <c r="Q234" i="3" s="1"/>
  <c r="R234" i="3" s="1"/>
  <c r="S234" i="3" s="1"/>
  <c r="AC234" i="3"/>
  <c r="AA234" i="3"/>
  <c r="U233" i="3" l="1"/>
  <c r="Y232" i="3"/>
  <c r="T234" i="3"/>
  <c r="E234" i="3" l="1"/>
  <c r="H234" i="3" s="1"/>
  <c r="K234" i="3" s="1"/>
  <c r="AE234" i="3" s="1"/>
  <c r="AG234" i="3"/>
  <c r="AH234" i="3"/>
  <c r="D234" i="3"/>
  <c r="G234" i="3" s="1"/>
  <c r="F234" i="3" l="1"/>
  <c r="I234" i="3"/>
  <c r="J234" i="3"/>
  <c r="M234" i="3"/>
  <c r="N234" i="3" s="1"/>
  <c r="V234" i="3"/>
  <c r="A235" i="3"/>
  <c r="B235" i="3" s="1"/>
  <c r="L234" i="3" l="1"/>
  <c r="AD234" i="3"/>
  <c r="W234" i="3"/>
  <c r="AC235" i="3"/>
  <c r="AA235" i="3"/>
  <c r="Z235" i="3"/>
  <c r="P235" i="3"/>
  <c r="Q235" i="3" s="1"/>
  <c r="R235" i="3" s="1"/>
  <c r="S235" i="3" s="1"/>
  <c r="AD235" i="3"/>
  <c r="U234" i="3" l="1"/>
  <c r="Y233" i="3"/>
  <c r="T235" i="3"/>
  <c r="E235" i="3" l="1"/>
  <c r="H235" i="3" s="1"/>
  <c r="K235" i="3" s="1"/>
  <c r="AE235" i="3" s="1"/>
  <c r="AG235" i="3"/>
  <c r="D235" i="3"/>
  <c r="AH235" i="3"/>
  <c r="F235" i="3" l="1"/>
  <c r="G235" i="3"/>
  <c r="V235" i="3"/>
  <c r="A236" i="3"/>
  <c r="B236" i="3" s="1"/>
  <c r="AD236" i="3" l="1"/>
  <c r="P236" i="3"/>
  <c r="Q236" i="3" s="1"/>
  <c r="R236" i="3" s="1"/>
  <c r="S236" i="3" s="1"/>
  <c r="AA236" i="3"/>
  <c r="Z236" i="3"/>
  <c r="AC236" i="3"/>
  <c r="I235" i="3"/>
  <c r="W235" i="3" s="1"/>
  <c r="J235" i="3"/>
  <c r="M235" i="3"/>
  <c r="N235" i="3" s="1"/>
  <c r="T236" i="3" l="1"/>
  <c r="L235" i="3"/>
  <c r="U235" i="3" l="1"/>
  <c r="D236" i="3" s="1"/>
  <c r="AH236" i="3"/>
  <c r="AG236" i="3"/>
  <c r="Y234" i="3"/>
  <c r="E236" i="3" l="1"/>
  <c r="H236" i="3" s="1"/>
  <c r="K236" i="3" s="1"/>
  <c r="AE236" i="3" s="1"/>
  <c r="G236" i="3"/>
  <c r="F236" i="3" l="1"/>
  <c r="I236" i="3"/>
  <c r="J236" i="3"/>
  <c r="M236" i="3"/>
  <c r="N236" i="3" s="1"/>
  <c r="V236" i="3"/>
  <c r="A237" i="3"/>
  <c r="B237" i="3" s="1"/>
  <c r="W236" i="3" l="1"/>
  <c r="L236" i="3"/>
  <c r="P237" i="3"/>
  <c r="Q237" i="3" s="1"/>
  <c r="R237" i="3" s="1"/>
  <c r="S237" i="3" s="1"/>
  <c r="AA237" i="3"/>
  <c r="Z237" i="3"/>
  <c r="AC237" i="3"/>
  <c r="U236" i="3" l="1"/>
  <c r="Y235" i="3"/>
  <c r="T237" i="3"/>
  <c r="AH237" i="3" s="1"/>
  <c r="E237" i="3" l="1"/>
  <c r="H237" i="3" s="1"/>
  <c r="K237" i="3" s="1"/>
  <c r="AE237" i="3" s="1"/>
  <c r="AG237" i="3"/>
  <c r="D237" i="3"/>
  <c r="F237" i="3" l="1"/>
  <c r="G237" i="3"/>
  <c r="M237" i="3" s="1"/>
  <c r="N237" i="3" s="1"/>
  <c r="V237" i="3"/>
  <c r="A238" i="3"/>
  <c r="B238" i="3" s="1"/>
  <c r="I237" i="3" l="1"/>
  <c r="W237" i="3" s="1"/>
  <c r="J237" i="3"/>
  <c r="P238" i="3"/>
  <c r="Q238" i="3" s="1"/>
  <c r="R238" i="3" s="1"/>
  <c r="S238" i="3" s="1"/>
  <c r="Z238" i="3"/>
  <c r="AC238" i="3"/>
  <c r="AA238" i="3"/>
  <c r="L237" i="3" l="1"/>
  <c r="U237" i="3" s="1"/>
  <c r="AD237" i="3"/>
  <c r="T238" i="3"/>
  <c r="Y236" i="3" l="1"/>
  <c r="AG238" i="3"/>
  <c r="AH238" i="3"/>
  <c r="E238" i="3"/>
  <c r="H238" i="3" s="1"/>
  <c r="K238" i="3" s="1"/>
  <c r="AE238" i="3" s="1"/>
  <c r="D238" i="3"/>
  <c r="F238" i="3" l="1"/>
  <c r="G238" i="3"/>
  <c r="M238" i="3" s="1"/>
  <c r="N238" i="3" s="1"/>
  <c r="V238" i="3"/>
  <c r="A239" i="3"/>
  <c r="B239" i="3" s="1"/>
  <c r="I238" i="3" l="1"/>
  <c r="W238" i="3" s="1"/>
  <c r="J238" i="3"/>
  <c r="AD239" i="3"/>
  <c r="P239" i="3"/>
  <c r="Q239" i="3" s="1"/>
  <c r="R239" i="3" s="1"/>
  <c r="S239" i="3" s="1"/>
  <c r="AC239" i="3"/>
  <c r="Z239" i="3"/>
  <c r="AA239" i="3"/>
  <c r="L238" i="3" l="1"/>
  <c r="U238" i="3" s="1"/>
  <c r="AD238" i="3"/>
  <c r="T239" i="3"/>
  <c r="Y237" i="3" l="1"/>
  <c r="D239" i="3"/>
  <c r="G239" i="3" s="1"/>
  <c r="E239" i="3"/>
  <c r="H239" i="3" s="1"/>
  <c r="K239" i="3" s="1"/>
  <c r="AE239" i="3" s="1"/>
  <c r="AG239" i="3"/>
  <c r="AH239" i="3"/>
  <c r="F239" i="3" l="1"/>
  <c r="I239" i="3"/>
  <c r="J239" i="3"/>
  <c r="M239" i="3"/>
  <c r="N239" i="3" s="1"/>
  <c r="V239" i="3"/>
  <c r="A240" i="3"/>
  <c r="B240" i="3" s="1"/>
  <c r="W239" i="3" l="1"/>
  <c r="L239" i="3"/>
  <c r="Z240" i="3"/>
  <c r="P240" i="3"/>
  <c r="Q240" i="3" s="1"/>
  <c r="R240" i="3" s="1"/>
  <c r="S240" i="3" s="1"/>
  <c r="AD240" i="3"/>
  <c r="AA240" i="3"/>
  <c r="AC240" i="3"/>
  <c r="U239" i="3" l="1"/>
  <c r="Y238" i="3"/>
  <c r="T240" i="3"/>
  <c r="E240" i="3" l="1"/>
  <c r="H240" i="3" s="1"/>
  <c r="K240" i="3" s="1"/>
  <c r="AE240" i="3" s="1"/>
  <c r="D240" i="3"/>
  <c r="AG240" i="3"/>
  <c r="AH240" i="3"/>
  <c r="V240" i="3" l="1"/>
  <c r="A241" i="3"/>
  <c r="B241" i="3" s="1"/>
  <c r="F240" i="3"/>
  <c r="G240" i="3"/>
  <c r="I240" i="3" l="1"/>
  <c r="W240" i="3" s="1"/>
  <c r="J240" i="3"/>
  <c r="M240" i="3"/>
  <c r="N240" i="3" s="1"/>
  <c r="Z241" i="3"/>
  <c r="AD241" i="3"/>
  <c r="AC241" i="3"/>
  <c r="P241" i="3"/>
  <c r="Q241" i="3" s="1"/>
  <c r="R241" i="3" s="1"/>
  <c r="S241" i="3" s="1"/>
  <c r="AA241" i="3"/>
  <c r="T241" i="3" l="1"/>
  <c r="L240" i="3"/>
  <c r="AG241" i="3" l="1"/>
  <c r="AH241" i="3"/>
  <c r="U240" i="3"/>
  <c r="D241" i="3" s="1"/>
  <c r="Y239" i="3"/>
  <c r="G241" i="3" l="1"/>
  <c r="E241" i="3"/>
  <c r="H241" i="3" s="1"/>
  <c r="F241" i="3" l="1"/>
  <c r="I241" i="3"/>
  <c r="J241" i="3"/>
  <c r="M241" i="3"/>
  <c r="N241" i="3" s="1"/>
  <c r="K241" i="3"/>
  <c r="AE241" i="3" s="1"/>
  <c r="V241" i="3" l="1"/>
  <c r="W241" i="3" s="1"/>
  <c r="A242" i="3"/>
  <c r="B242" i="3" s="1"/>
  <c r="L241" i="3"/>
  <c r="U241" i="3" l="1"/>
  <c r="Y240" i="3"/>
  <c r="Z242" i="3"/>
  <c r="AA242" i="3"/>
  <c r="P242" i="3"/>
  <c r="Q242" i="3" s="1"/>
  <c r="R242" i="3" s="1"/>
  <c r="S242" i="3" s="1"/>
  <c r="AD242" i="3"/>
  <c r="AC242" i="3"/>
  <c r="T242" i="3" l="1"/>
  <c r="D242" i="3" s="1"/>
  <c r="E242" i="3" l="1"/>
  <c r="H242" i="3" s="1"/>
  <c r="K242" i="3" s="1"/>
  <c r="AE242" i="3" s="1"/>
  <c r="G242" i="3"/>
  <c r="AH242" i="3"/>
  <c r="AG242" i="3"/>
  <c r="F242" i="3" l="1"/>
  <c r="I242" i="3"/>
  <c r="J242" i="3"/>
  <c r="M242" i="3"/>
  <c r="N242" i="3" s="1"/>
  <c r="V242" i="3"/>
  <c r="A243" i="3"/>
  <c r="B243" i="3" s="1"/>
  <c r="W242" i="3" l="1"/>
  <c r="L242" i="3"/>
  <c r="AA243" i="3"/>
  <c r="AC243" i="3"/>
  <c r="Z243" i="3"/>
  <c r="P243" i="3"/>
  <c r="Q243" i="3" s="1"/>
  <c r="R243" i="3" s="1"/>
  <c r="S243" i="3" s="1"/>
  <c r="AD243" i="3"/>
  <c r="U242" i="3" l="1"/>
  <c r="Y241" i="3"/>
  <c r="T243" i="3"/>
  <c r="AH243" i="3" s="1"/>
  <c r="D243" i="3" l="1"/>
  <c r="G243" i="3" s="1"/>
  <c r="E243" i="3"/>
  <c r="H243" i="3" s="1"/>
  <c r="K243" i="3" s="1"/>
  <c r="AE243" i="3" s="1"/>
  <c r="AG243" i="3"/>
  <c r="F243" i="3" l="1"/>
  <c r="I243" i="3"/>
  <c r="J243" i="3"/>
  <c r="M243" i="3"/>
  <c r="N243" i="3" s="1"/>
  <c r="V243" i="3"/>
  <c r="A244" i="3"/>
  <c r="B244" i="3" s="1"/>
  <c r="W243" i="3" l="1"/>
  <c r="L243" i="3"/>
  <c r="AA244" i="3"/>
  <c r="P244" i="3"/>
  <c r="Q244" i="3" s="1"/>
  <c r="R244" i="3" s="1"/>
  <c r="S244" i="3" s="1"/>
  <c r="Z244" i="3"/>
  <c r="AC244" i="3"/>
  <c r="U243" i="3" l="1"/>
  <c r="Y242" i="3"/>
  <c r="T244" i="3"/>
  <c r="D244" i="3" l="1"/>
  <c r="G244" i="3" s="1"/>
  <c r="E244" i="3"/>
  <c r="H244" i="3" s="1"/>
  <c r="AG244" i="3"/>
  <c r="AH244" i="3"/>
  <c r="I244" i="3" l="1"/>
  <c r="J244" i="3"/>
  <c r="M244" i="3"/>
  <c r="N244" i="3" s="1"/>
  <c r="F244" i="3"/>
  <c r="K244" i="3"/>
  <c r="AE244" i="3" s="1"/>
  <c r="L244" i="3" l="1"/>
  <c r="AD244" i="3"/>
  <c r="V244" i="3"/>
  <c r="W244" i="3" s="1"/>
  <c r="A245" i="3"/>
  <c r="B245" i="3" s="1"/>
  <c r="U244" i="3" l="1"/>
  <c r="Y243" i="3"/>
  <c r="Z245" i="3"/>
  <c r="AD245" i="3"/>
  <c r="AA245" i="3"/>
  <c r="P245" i="3"/>
  <c r="Q245" i="3" s="1"/>
  <c r="R245" i="3" s="1"/>
  <c r="S245" i="3" s="1"/>
  <c r="AC245" i="3"/>
  <c r="T245" i="3" l="1"/>
  <c r="AG245" i="3" s="1"/>
  <c r="D245" i="3" l="1"/>
  <c r="G245" i="3" s="1"/>
  <c r="AH245" i="3"/>
  <c r="E245" i="3"/>
  <c r="H245" i="3" s="1"/>
  <c r="F245" i="3" l="1"/>
  <c r="I245" i="3"/>
  <c r="J245" i="3"/>
  <c r="M245" i="3"/>
  <c r="N245" i="3" s="1"/>
  <c r="K245" i="3"/>
  <c r="AE245" i="3" s="1"/>
  <c r="V245" i="3" l="1"/>
  <c r="W245" i="3" s="1"/>
  <c r="A246" i="3"/>
  <c r="B246" i="3" s="1"/>
  <c r="L245" i="3"/>
  <c r="U245" i="3" l="1"/>
  <c r="Y244" i="3"/>
  <c r="P246" i="3"/>
  <c r="Q246" i="3" s="1"/>
  <c r="R246" i="3" s="1"/>
  <c r="S246" i="3" s="1"/>
  <c r="AC246" i="3"/>
  <c r="Z246" i="3"/>
  <c r="AD246" i="3"/>
  <c r="AA246" i="3"/>
  <c r="T246" i="3" l="1"/>
  <c r="D246" i="3" s="1"/>
  <c r="E246" i="3" l="1"/>
  <c r="H246" i="3" s="1"/>
  <c r="K246" i="3" s="1"/>
  <c r="AE246" i="3" s="1"/>
  <c r="AG246" i="3"/>
  <c r="AH246" i="3"/>
  <c r="G246" i="3"/>
  <c r="F246" i="3" l="1"/>
  <c r="I246" i="3"/>
  <c r="J246" i="3"/>
  <c r="M246" i="3"/>
  <c r="N246" i="3" s="1"/>
  <c r="V246" i="3"/>
  <c r="A247" i="3"/>
  <c r="B247" i="3" s="1"/>
  <c r="W246" i="3" l="1"/>
  <c r="L246" i="3"/>
  <c r="P247" i="3"/>
  <c r="Q247" i="3" s="1"/>
  <c r="R247" i="3" s="1"/>
  <c r="S247" i="3" s="1"/>
  <c r="AA247" i="3"/>
  <c r="AC247" i="3"/>
  <c r="Z247" i="3"/>
  <c r="U246" i="3" l="1"/>
  <c r="Y245" i="3"/>
  <c r="T247" i="3"/>
  <c r="AG247" i="3" s="1"/>
  <c r="AH247" i="3" l="1"/>
  <c r="D247" i="3"/>
  <c r="E247" i="3"/>
  <c r="H247" i="3" s="1"/>
  <c r="K247" i="3" s="1"/>
  <c r="AE247" i="3" s="1"/>
  <c r="F247" i="3" l="1"/>
  <c r="G247" i="3"/>
  <c r="M247" i="3" s="1"/>
  <c r="N247" i="3" s="1"/>
  <c r="V247" i="3"/>
  <c r="A248" i="3"/>
  <c r="B248" i="3" s="1"/>
  <c r="I247" i="3" l="1"/>
  <c r="W247" i="3" s="1"/>
  <c r="J247" i="3"/>
  <c r="Z248" i="3"/>
  <c r="P248" i="3"/>
  <c r="Q248" i="3" s="1"/>
  <c r="R248" i="3" s="1"/>
  <c r="S248" i="3" s="1"/>
  <c r="AA248" i="3"/>
  <c r="AC248" i="3"/>
  <c r="L247" i="3" l="1"/>
  <c r="U247" i="3" s="1"/>
  <c r="AD247" i="3"/>
  <c r="T248" i="3"/>
  <c r="AG248" i="3" l="1"/>
  <c r="Y246" i="3"/>
  <c r="E248" i="3"/>
  <c r="H248" i="3" s="1"/>
  <c r="K248" i="3" s="1"/>
  <c r="AE248" i="3" s="1"/>
  <c r="AH248" i="3"/>
  <c r="D248" i="3"/>
  <c r="G248" i="3" s="1"/>
  <c r="F248" i="3" l="1"/>
  <c r="I248" i="3"/>
  <c r="J248" i="3"/>
  <c r="AD248" i="3" s="1"/>
  <c r="M248" i="3"/>
  <c r="N248" i="3" s="1"/>
  <c r="V248" i="3"/>
  <c r="A249" i="3"/>
  <c r="B249" i="3" s="1"/>
  <c r="W248" i="3" l="1"/>
  <c r="L248" i="3"/>
  <c r="AC249" i="3"/>
  <c r="P249" i="3"/>
  <c r="Q249" i="3" s="1"/>
  <c r="R249" i="3" s="1"/>
  <c r="S249" i="3" s="1"/>
  <c r="Z249" i="3"/>
  <c r="AD249" i="3"/>
  <c r="AA249" i="3"/>
  <c r="U248" i="3" l="1"/>
  <c r="Y247" i="3"/>
  <c r="T249" i="3"/>
  <c r="AG249" i="3" s="1"/>
  <c r="D249" i="3" l="1"/>
  <c r="G249" i="3" s="1"/>
  <c r="AH249" i="3"/>
  <c r="E249" i="3"/>
  <c r="H249" i="3" s="1"/>
  <c r="K249" i="3" s="1"/>
  <c r="AE249" i="3" s="1"/>
  <c r="F249" i="3" l="1"/>
  <c r="I249" i="3"/>
  <c r="J249" i="3"/>
  <c r="M249" i="3"/>
  <c r="N249" i="3" s="1"/>
  <c r="V249" i="3"/>
  <c r="A250" i="3"/>
  <c r="B250" i="3" s="1"/>
  <c r="W249" i="3" l="1"/>
  <c r="L249" i="3"/>
  <c r="AC250" i="3"/>
  <c r="AA250" i="3"/>
  <c r="P250" i="3"/>
  <c r="Q250" i="3" s="1"/>
  <c r="R250" i="3" s="1"/>
  <c r="S250" i="3" s="1"/>
  <c r="AD250" i="3"/>
  <c r="Z250" i="3"/>
  <c r="T250" i="3" l="1"/>
  <c r="AG250" i="3" s="1"/>
  <c r="U249" i="3"/>
  <c r="Y248" i="3"/>
  <c r="D250" i="3" l="1"/>
  <c r="E250" i="3"/>
  <c r="H250" i="3" s="1"/>
  <c r="AH250" i="3"/>
  <c r="F250" i="3" l="1"/>
  <c r="G250" i="3"/>
  <c r="K250" i="3"/>
  <c r="AE250" i="3" s="1"/>
  <c r="V250" i="3" l="1"/>
  <c r="A251" i="3"/>
  <c r="B251" i="3" s="1"/>
  <c r="I250" i="3"/>
  <c r="J250" i="3"/>
  <c r="M250" i="3"/>
  <c r="N250" i="3" s="1"/>
  <c r="W250" i="3" l="1"/>
  <c r="L250" i="3"/>
  <c r="P251" i="3"/>
  <c r="Q251" i="3" s="1"/>
  <c r="R251" i="3" s="1"/>
  <c r="S251" i="3" s="1"/>
  <c r="AC251" i="3"/>
  <c r="AA251" i="3"/>
  <c r="Z251" i="3"/>
  <c r="AD251" i="3"/>
  <c r="U250" i="3" l="1"/>
  <c r="Y249" i="3"/>
  <c r="T251" i="3"/>
  <c r="D251" i="3" l="1"/>
  <c r="G251" i="3" s="1"/>
  <c r="AG251" i="3"/>
  <c r="AH251" i="3"/>
  <c r="E251" i="3"/>
  <c r="H251" i="3" s="1"/>
  <c r="I251" i="3" l="1"/>
  <c r="J251" i="3"/>
  <c r="M251" i="3"/>
  <c r="N251" i="3" s="1"/>
  <c r="K251" i="3"/>
  <c r="AE251" i="3" s="1"/>
  <c r="F251" i="3"/>
  <c r="V251" i="3" l="1"/>
  <c r="W251" i="3" s="1"/>
  <c r="A252" i="3"/>
  <c r="B252" i="3" s="1"/>
  <c r="L251" i="3"/>
  <c r="U251" i="3" l="1"/>
  <c r="Y250" i="3"/>
  <c r="AD252" i="3"/>
  <c r="Z252" i="3"/>
  <c r="AA252" i="3"/>
  <c r="P252" i="3"/>
  <c r="Q252" i="3" s="1"/>
  <c r="R252" i="3" s="1"/>
  <c r="S252" i="3" s="1"/>
  <c r="AC252" i="3"/>
  <c r="T252" i="3" l="1"/>
  <c r="AH252" i="3" s="1"/>
  <c r="E252" i="3" l="1"/>
  <c r="H252" i="3" s="1"/>
  <c r="K252" i="3" s="1"/>
  <c r="AE252" i="3" s="1"/>
  <c r="AG252" i="3"/>
  <c r="D252" i="3"/>
  <c r="F252" i="3" l="1"/>
  <c r="G252" i="3"/>
  <c r="V252" i="3"/>
  <c r="A253" i="3"/>
  <c r="B253" i="3" s="1"/>
  <c r="AC253" i="3" l="1"/>
  <c r="AA253" i="3"/>
  <c r="AD253" i="3"/>
  <c r="P253" i="3"/>
  <c r="Q253" i="3" s="1"/>
  <c r="R253" i="3" s="1"/>
  <c r="S253" i="3" s="1"/>
  <c r="Z253" i="3"/>
  <c r="I252" i="3"/>
  <c r="W252" i="3" s="1"/>
  <c r="J252" i="3"/>
  <c r="M252" i="3"/>
  <c r="N252" i="3" s="1"/>
  <c r="L252" i="3" l="1"/>
  <c r="T253" i="3"/>
  <c r="AH253" i="3" l="1"/>
  <c r="U252" i="3"/>
  <c r="E253" i="3" s="1"/>
  <c r="H253" i="3" s="1"/>
  <c r="AG253" i="3"/>
  <c r="Y251" i="3"/>
  <c r="D253" i="3" l="1"/>
  <c r="F253" i="3" s="1"/>
  <c r="K253" i="3"/>
  <c r="AE253" i="3" s="1"/>
  <c r="G253" i="3" l="1"/>
  <c r="J253" i="3" s="1"/>
  <c r="V253" i="3"/>
  <c r="A254" i="3"/>
  <c r="B254" i="3" s="1"/>
  <c r="M253" i="3" l="1"/>
  <c r="N253" i="3" s="1"/>
  <c r="I253" i="3"/>
  <c r="W253" i="3" s="1"/>
  <c r="L253" i="3"/>
  <c r="AA254" i="3"/>
  <c r="AC254" i="3"/>
  <c r="P254" i="3"/>
  <c r="Q254" i="3" s="1"/>
  <c r="R254" i="3" s="1"/>
  <c r="S254" i="3" s="1"/>
  <c r="Z254" i="3"/>
  <c r="U253" i="3" l="1"/>
  <c r="Y252" i="3"/>
  <c r="T254" i="3"/>
  <c r="AH254" i="3" s="1"/>
  <c r="D254" i="3" l="1"/>
  <c r="G254" i="3" s="1"/>
  <c r="E254" i="3"/>
  <c r="H254" i="3" s="1"/>
  <c r="K254" i="3" s="1"/>
  <c r="AE254" i="3" s="1"/>
  <c r="AG254" i="3"/>
  <c r="F254" i="3" l="1"/>
  <c r="I254" i="3"/>
  <c r="J254" i="3"/>
  <c r="M254" i="3"/>
  <c r="N254" i="3" s="1"/>
  <c r="V254" i="3"/>
  <c r="A255" i="3"/>
  <c r="B255" i="3" s="1"/>
  <c r="W254" i="3" l="1"/>
  <c r="L254" i="3"/>
  <c r="AD254" i="3"/>
  <c r="AA255" i="3"/>
  <c r="AC255" i="3"/>
  <c r="AD255" i="3"/>
  <c r="Z255" i="3"/>
  <c r="P255" i="3"/>
  <c r="Q255" i="3" s="1"/>
  <c r="R255" i="3" s="1"/>
  <c r="S255" i="3" s="1"/>
  <c r="U254" i="3" l="1"/>
  <c r="Y253" i="3"/>
  <c r="T255" i="3"/>
  <c r="D255" i="3" l="1"/>
  <c r="G255" i="3" s="1"/>
  <c r="AG255" i="3"/>
  <c r="AH255" i="3"/>
  <c r="E255" i="3"/>
  <c r="H255" i="3" s="1"/>
  <c r="K255" i="3" s="1"/>
  <c r="AE255" i="3" s="1"/>
  <c r="F255" i="3" l="1"/>
  <c r="I255" i="3"/>
  <c r="J255" i="3"/>
  <c r="M255" i="3"/>
  <c r="N255" i="3" s="1"/>
  <c r="V255" i="3"/>
  <c r="A256" i="3"/>
  <c r="B256" i="3" s="1"/>
  <c r="W255" i="3" l="1"/>
  <c r="L255" i="3"/>
  <c r="AA256" i="3"/>
  <c r="AD256" i="3"/>
  <c r="P256" i="3"/>
  <c r="Q256" i="3" s="1"/>
  <c r="R256" i="3" s="1"/>
  <c r="S256" i="3" s="1"/>
  <c r="Z256" i="3"/>
  <c r="AC256" i="3"/>
  <c r="U255" i="3" l="1"/>
  <c r="Y254" i="3"/>
  <c r="T256" i="3"/>
  <c r="D256" i="3" l="1"/>
  <c r="G256" i="3" s="1"/>
  <c r="E256" i="3"/>
  <c r="H256" i="3" s="1"/>
  <c r="AH256" i="3"/>
  <c r="AG256" i="3"/>
  <c r="F256" i="3" l="1"/>
  <c r="I256" i="3"/>
  <c r="J256" i="3"/>
  <c r="M256" i="3"/>
  <c r="N256" i="3" s="1"/>
  <c r="K256" i="3"/>
  <c r="AE256" i="3" s="1"/>
  <c r="L256" i="3" l="1"/>
  <c r="V256" i="3"/>
  <c r="W256" i="3" s="1"/>
  <c r="A257" i="3"/>
  <c r="B257" i="3" s="1"/>
  <c r="U256" i="3" l="1"/>
  <c r="Y255" i="3"/>
  <c r="AC257" i="3"/>
  <c r="Z257" i="3"/>
  <c r="P257" i="3"/>
  <c r="Q257" i="3" s="1"/>
  <c r="R257" i="3" s="1"/>
  <c r="S257" i="3" s="1"/>
  <c r="AA257" i="3"/>
  <c r="T257" i="3" l="1"/>
  <c r="D257" i="3" s="1"/>
  <c r="E257" i="3" l="1"/>
  <c r="H257" i="3" s="1"/>
  <c r="K257" i="3" s="1"/>
  <c r="AE257" i="3" s="1"/>
  <c r="AG257" i="3"/>
  <c r="AH257" i="3"/>
  <c r="G257" i="3"/>
  <c r="F257" i="3" l="1"/>
  <c r="V257" i="3"/>
  <c r="A258" i="3"/>
  <c r="B258" i="3" s="1"/>
  <c r="I257" i="3"/>
  <c r="J257" i="3"/>
  <c r="AD257" i="3" s="1"/>
  <c r="M257" i="3"/>
  <c r="N257" i="3" s="1"/>
  <c r="W257" i="3" l="1"/>
  <c r="L257" i="3"/>
  <c r="AC258" i="3"/>
  <c r="Z258" i="3"/>
  <c r="P258" i="3"/>
  <c r="Q258" i="3" s="1"/>
  <c r="R258" i="3" s="1"/>
  <c r="S258" i="3" s="1"/>
  <c r="AA258" i="3"/>
  <c r="U257" i="3" l="1"/>
  <c r="Y256" i="3"/>
  <c r="T258" i="3"/>
  <c r="AG258" i="3" s="1"/>
  <c r="E258" i="3" l="1"/>
  <c r="H258" i="3" s="1"/>
  <c r="D258" i="3"/>
  <c r="AH258" i="3"/>
  <c r="F258" i="3" l="1"/>
  <c r="G258" i="3"/>
  <c r="K258" i="3"/>
  <c r="AE258" i="3" s="1"/>
  <c r="V258" i="3" l="1"/>
  <c r="A259" i="3"/>
  <c r="B259" i="3" s="1"/>
  <c r="I258" i="3"/>
  <c r="J258" i="3"/>
  <c r="AD258" i="3" s="1"/>
  <c r="M258" i="3"/>
  <c r="N258" i="3" s="1"/>
  <c r="L258" i="3" l="1"/>
  <c r="AC259" i="3"/>
  <c r="P259" i="3"/>
  <c r="Q259" i="3" s="1"/>
  <c r="R259" i="3" s="1"/>
  <c r="S259" i="3" s="1"/>
  <c r="Z259" i="3"/>
  <c r="AD259" i="3"/>
  <c r="AA259" i="3"/>
  <c r="W258" i="3"/>
  <c r="U258" i="3" l="1"/>
  <c r="Y257" i="3"/>
  <c r="T259" i="3"/>
  <c r="AH259" i="3" s="1"/>
  <c r="D259" i="3" l="1"/>
  <c r="G259" i="3" s="1"/>
  <c r="AG259" i="3"/>
  <c r="E259" i="3"/>
  <c r="H259" i="3" s="1"/>
  <c r="K259" i="3" s="1"/>
  <c r="AE259" i="3" s="1"/>
  <c r="F259" i="3" l="1"/>
  <c r="I259" i="3"/>
  <c r="J259" i="3"/>
  <c r="M259" i="3"/>
  <c r="N259" i="3" s="1"/>
  <c r="V259" i="3"/>
  <c r="A260" i="3"/>
  <c r="B260" i="3" s="1"/>
  <c r="W259" i="3" l="1"/>
  <c r="L259" i="3"/>
  <c r="AA260" i="3"/>
  <c r="P260" i="3"/>
  <c r="Q260" i="3" s="1"/>
  <c r="R260" i="3" s="1"/>
  <c r="S260" i="3" s="1"/>
  <c r="AD260" i="3"/>
  <c r="Z260" i="3"/>
  <c r="AC260" i="3"/>
  <c r="U259" i="3" l="1"/>
  <c r="Y258" i="3"/>
  <c r="T260" i="3"/>
  <c r="AH260" i="3" s="1"/>
  <c r="AG260" i="3" l="1"/>
  <c r="D260" i="3"/>
  <c r="E260" i="3"/>
  <c r="H260" i="3" s="1"/>
  <c r="K260" i="3" l="1"/>
  <c r="AE260" i="3" s="1"/>
  <c r="F260" i="3"/>
  <c r="G260" i="3"/>
  <c r="I260" i="3" l="1"/>
  <c r="J260" i="3"/>
  <c r="M260" i="3"/>
  <c r="N260" i="3" s="1"/>
  <c r="V260" i="3"/>
  <c r="A261" i="3"/>
  <c r="B261" i="3" s="1"/>
  <c r="W260" i="3" l="1"/>
  <c r="L260" i="3"/>
  <c r="Z261" i="3"/>
  <c r="AA261" i="3"/>
  <c r="AD261" i="3"/>
  <c r="P261" i="3"/>
  <c r="Q261" i="3" s="1"/>
  <c r="R261" i="3" s="1"/>
  <c r="S261" i="3" s="1"/>
  <c r="AC261" i="3"/>
  <c r="U260" i="3" l="1"/>
  <c r="Y259" i="3"/>
  <c r="T261" i="3"/>
  <c r="AH261" i="3" s="1"/>
  <c r="E261" i="3" l="1"/>
  <c r="H261" i="3" s="1"/>
  <c r="D261" i="3"/>
  <c r="AG261" i="3"/>
  <c r="K261" i="3" l="1"/>
  <c r="AE261" i="3" s="1"/>
  <c r="F261" i="3"/>
  <c r="G261" i="3"/>
  <c r="I261" i="3" l="1"/>
  <c r="J261" i="3"/>
  <c r="M261" i="3"/>
  <c r="N261" i="3" s="1"/>
  <c r="V261" i="3"/>
  <c r="A262" i="3"/>
  <c r="B262" i="3" s="1"/>
  <c r="W261" i="3" l="1"/>
  <c r="L261" i="3"/>
  <c r="AA262" i="3"/>
  <c r="Z262" i="3"/>
  <c r="P262" i="3"/>
  <c r="Q262" i="3" s="1"/>
  <c r="R262" i="3" s="1"/>
  <c r="S262" i="3" s="1"/>
  <c r="AC262" i="3"/>
  <c r="AD262" i="3"/>
  <c r="T262" i="3" l="1"/>
  <c r="AG262" i="3" s="1"/>
  <c r="U261" i="3"/>
  <c r="Y260" i="3"/>
  <c r="E262" i="3" l="1"/>
  <c r="H262" i="3" s="1"/>
  <c r="K262" i="3" s="1"/>
  <c r="AE262" i="3" s="1"/>
  <c r="AH262" i="3"/>
  <c r="D262" i="3"/>
  <c r="F262" i="3" l="1"/>
  <c r="G262" i="3"/>
  <c r="V262" i="3"/>
  <c r="A263" i="3"/>
  <c r="B263" i="3" s="1"/>
  <c r="P263" i="3" l="1"/>
  <c r="Q263" i="3" s="1"/>
  <c r="R263" i="3" s="1"/>
  <c r="S263" i="3" s="1"/>
  <c r="AA263" i="3"/>
  <c r="Z263" i="3"/>
  <c r="AD263" i="3"/>
  <c r="AC263" i="3"/>
  <c r="I262" i="3"/>
  <c r="W262" i="3" s="1"/>
  <c r="J262" i="3"/>
  <c r="M262" i="3"/>
  <c r="N262" i="3" s="1"/>
  <c r="L262" i="3" l="1"/>
  <c r="T263" i="3"/>
  <c r="U262" i="3" l="1"/>
  <c r="E263" i="3" s="1"/>
  <c r="H263" i="3" s="1"/>
  <c r="AH263" i="3"/>
  <c r="AG263" i="3"/>
  <c r="Y261" i="3"/>
  <c r="D263" i="3" l="1"/>
  <c r="G263" i="3" s="1"/>
  <c r="K263" i="3"/>
  <c r="AE263" i="3" s="1"/>
  <c r="F263" i="3" l="1"/>
  <c r="V263" i="3"/>
  <c r="A264" i="3"/>
  <c r="B264" i="3" s="1"/>
  <c r="I263" i="3"/>
  <c r="J263" i="3"/>
  <c r="M263" i="3"/>
  <c r="N263" i="3" s="1"/>
  <c r="W263" i="3" l="1"/>
  <c r="L263" i="3"/>
  <c r="P264" i="3"/>
  <c r="Q264" i="3" s="1"/>
  <c r="R264" i="3" s="1"/>
  <c r="S264" i="3" s="1"/>
  <c r="AA264" i="3"/>
  <c r="AC264" i="3"/>
  <c r="Z264" i="3"/>
  <c r="U263" i="3" l="1"/>
  <c r="Y262" i="3"/>
  <c r="T264" i="3"/>
  <c r="AH264" i="3" s="1"/>
  <c r="AG264" i="3" l="1"/>
  <c r="D264" i="3"/>
  <c r="G264" i="3" s="1"/>
  <c r="E264" i="3"/>
  <c r="H264" i="3" s="1"/>
  <c r="K264" i="3" l="1"/>
  <c r="AE264" i="3" s="1"/>
  <c r="I264" i="3"/>
  <c r="J264" i="3"/>
  <c r="AD264" i="3" s="1"/>
  <c r="M264" i="3"/>
  <c r="N264" i="3" s="1"/>
  <c r="F264" i="3"/>
  <c r="L264" i="3" l="1"/>
  <c r="V264" i="3"/>
  <c r="W264" i="3" s="1"/>
  <c r="A265" i="3"/>
  <c r="B265" i="3" s="1"/>
  <c r="U264" i="3" l="1"/>
  <c r="Y263" i="3"/>
  <c r="P265" i="3"/>
  <c r="Q265" i="3" s="1"/>
  <c r="R265" i="3" s="1"/>
  <c r="S265" i="3" s="1"/>
  <c r="AA265" i="3"/>
  <c r="AD265" i="3"/>
  <c r="Z265" i="3"/>
  <c r="AC265" i="3"/>
  <c r="T265" i="3" l="1"/>
  <c r="AG265" i="3" l="1"/>
  <c r="AH265" i="3"/>
  <c r="D265" i="3"/>
  <c r="E265" i="3"/>
  <c r="H265" i="3" s="1"/>
  <c r="F265" i="3" l="1"/>
  <c r="G265" i="3"/>
  <c r="K265" i="3"/>
  <c r="AE265" i="3" s="1"/>
  <c r="I265" i="3" l="1"/>
  <c r="J265" i="3"/>
  <c r="M265" i="3"/>
  <c r="N265" i="3" s="1"/>
  <c r="V265" i="3"/>
  <c r="A266" i="3"/>
  <c r="B266" i="3" s="1"/>
  <c r="L265" i="3" l="1"/>
  <c r="W265" i="3"/>
  <c r="P266" i="3"/>
  <c r="Q266" i="3" s="1"/>
  <c r="R266" i="3" s="1"/>
  <c r="S266" i="3" s="1"/>
  <c r="AC266" i="3"/>
  <c r="Z266" i="3"/>
  <c r="AA266" i="3"/>
  <c r="AD266" i="3"/>
  <c r="T266" i="3" l="1"/>
  <c r="U265" i="3"/>
  <c r="Y264" i="3"/>
  <c r="E266" i="3" l="1"/>
  <c r="H266" i="3" s="1"/>
  <c r="K266" i="3" s="1"/>
  <c r="AE266" i="3" s="1"/>
  <c r="AH266" i="3"/>
  <c r="AG266" i="3"/>
  <c r="D266" i="3"/>
  <c r="V266" i="3" l="1"/>
  <c r="A267" i="3"/>
  <c r="B267" i="3" s="1"/>
  <c r="F266" i="3"/>
  <c r="G266" i="3"/>
  <c r="I266" i="3" l="1"/>
  <c r="W266" i="3" s="1"/>
  <c r="J266" i="3"/>
  <c r="M266" i="3"/>
  <c r="N266" i="3" s="1"/>
  <c r="AC267" i="3"/>
  <c r="P267" i="3"/>
  <c r="Q267" i="3" s="1"/>
  <c r="R267" i="3" s="1"/>
  <c r="S267" i="3" s="1"/>
  <c r="AA267" i="3"/>
  <c r="Z267" i="3"/>
  <c r="T267" i="3" l="1"/>
  <c r="L266" i="3"/>
  <c r="AH267" i="3" l="1"/>
  <c r="AG267" i="3"/>
  <c r="U266" i="3"/>
  <c r="E267" i="3" s="1"/>
  <c r="H267" i="3" s="1"/>
  <c r="Y265" i="3"/>
  <c r="K267" i="3" l="1"/>
  <c r="AE267" i="3" s="1"/>
  <c r="D267" i="3"/>
  <c r="V267" i="3" l="1"/>
  <c r="A268" i="3"/>
  <c r="B268" i="3" s="1"/>
  <c r="F267" i="3"/>
  <c r="G267" i="3"/>
  <c r="I267" i="3" l="1"/>
  <c r="W267" i="3" s="1"/>
  <c r="J267" i="3"/>
  <c r="AD267" i="3" s="1"/>
  <c r="M267" i="3"/>
  <c r="N267" i="3" s="1"/>
  <c r="AC268" i="3"/>
  <c r="P268" i="3"/>
  <c r="Q268" i="3" s="1"/>
  <c r="R268" i="3" s="1"/>
  <c r="S268" i="3" s="1"/>
  <c r="Z268" i="3"/>
  <c r="AA268" i="3"/>
  <c r="T268" i="3" l="1"/>
  <c r="L267" i="3"/>
  <c r="U267" i="3" l="1"/>
  <c r="E268" i="3" s="1"/>
  <c r="H268" i="3" s="1"/>
  <c r="AH268" i="3"/>
  <c r="AG268" i="3"/>
  <c r="Y266" i="3"/>
  <c r="K268" i="3" l="1"/>
  <c r="AE268" i="3" s="1"/>
  <c r="D268" i="3"/>
  <c r="V268" i="3" l="1"/>
  <c r="A269" i="3"/>
  <c r="B269" i="3" s="1"/>
  <c r="F268" i="3"/>
  <c r="G268" i="3"/>
  <c r="I268" i="3" l="1"/>
  <c r="W268" i="3" s="1"/>
  <c r="J268" i="3"/>
  <c r="AD268" i="3" s="1"/>
  <c r="M268" i="3"/>
  <c r="N268" i="3" s="1"/>
  <c r="AD269" i="3"/>
  <c r="P269" i="3"/>
  <c r="Q269" i="3" s="1"/>
  <c r="R269" i="3" s="1"/>
  <c r="S269" i="3" s="1"/>
  <c r="AA269" i="3"/>
  <c r="Z269" i="3"/>
  <c r="AC269" i="3"/>
  <c r="T269" i="3" l="1"/>
  <c r="L268" i="3"/>
  <c r="U268" i="3" l="1"/>
  <c r="D269" i="3" s="1"/>
  <c r="AH269" i="3"/>
  <c r="AG269" i="3"/>
  <c r="Y267" i="3"/>
  <c r="G269" i="3" l="1"/>
  <c r="E269" i="3"/>
  <c r="H269" i="3" s="1"/>
  <c r="F269" i="3" l="1"/>
  <c r="I269" i="3"/>
  <c r="J269" i="3"/>
  <c r="M269" i="3"/>
  <c r="N269" i="3" s="1"/>
  <c r="K269" i="3"/>
  <c r="AE269" i="3" s="1"/>
  <c r="V269" i="3" l="1"/>
  <c r="W269" i="3" s="1"/>
  <c r="A270" i="3"/>
  <c r="B270" i="3" s="1"/>
  <c r="L269" i="3"/>
  <c r="U269" i="3" l="1"/>
  <c r="Y268" i="3"/>
  <c r="AA270" i="3"/>
  <c r="Z270" i="3"/>
  <c r="P270" i="3"/>
  <c r="Q270" i="3" s="1"/>
  <c r="R270" i="3" s="1"/>
  <c r="S270" i="3" s="1"/>
  <c r="AC270" i="3"/>
  <c r="AD270" i="3"/>
  <c r="T270" i="3" l="1"/>
  <c r="AG270" i="3" s="1"/>
  <c r="AH270" i="3" l="1"/>
  <c r="E270" i="3"/>
  <c r="H270" i="3" s="1"/>
  <c r="K270" i="3" s="1"/>
  <c r="AE270" i="3" s="1"/>
  <c r="D270" i="3"/>
  <c r="G270" i="3" s="1"/>
  <c r="F270" i="3" l="1"/>
  <c r="V270" i="3"/>
  <c r="A271" i="3"/>
  <c r="B271" i="3" s="1"/>
  <c r="I270" i="3"/>
  <c r="J270" i="3"/>
  <c r="M270" i="3"/>
  <c r="N270" i="3" s="1"/>
  <c r="L270" i="3" l="1"/>
  <c r="Z271" i="3"/>
  <c r="AA271" i="3"/>
  <c r="P271" i="3"/>
  <c r="Q271" i="3" s="1"/>
  <c r="R271" i="3" s="1"/>
  <c r="S271" i="3" s="1"/>
  <c r="AC271" i="3"/>
  <c r="AD271" i="3"/>
  <c r="W270" i="3"/>
  <c r="U270" i="3" l="1"/>
  <c r="Y269" i="3"/>
  <c r="T271" i="3"/>
  <c r="AH271" i="3" s="1"/>
  <c r="AG271" i="3" l="1"/>
  <c r="D271" i="3"/>
  <c r="E271" i="3"/>
  <c r="H271" i="3" s="1"/>
  <c r="K271" i="3" l="1"/>
  <c r="AE271" i="3" s="1"/>
  <c r="F271" i="3"/>
  <c r="G271" i="3"/>
  <c r="I271" i="3" l="1"/>
  <c r="J271" i="3"/>
  <c r="M271" i="3"/>
  <c r="N271" i="3" s="1"/>
  <c r="V271" i="3"/>
  <c r="A272" i="3"/>
  <c r="B272" i="3" s="1"/>
  <c r="W271" i="3" l="1"/>
  <c r="L271" i="3"/>
  <c r="AD272" i="3"/>
  <c r="Z272" i="3"/>
  <c r="AA272" i="3"/>
  <c r="P272" i="3"/>
  <c r="Q272" i="3" s="1"/>
  <c r="R272" i="3" s="1"/>
  <c r="S272" i="3" s="1"/>
  <c r="AC272" i="3"/>
  <c r="T272" i="3" l="1"/>
  <c r="U271" i="3"/>
  <c r="Y270" i="3"/>
  <c r="D272" i="3" l="1"/>
  <c r="G272" i="3" s="1"/>
  <c r="E272" i="3"/>
  <c r="H272" i="3" s="1"/>
  <c r="K272" i="3" s="1"/>
  <c r="AE272" i="3" s="1"/>
  <c r="AG272" i="3"/>
  <c r="AH272" i="3"/>
  <c r="F272" i="3" l="1"/>
  <c r="I272" i="3"/>
  <c r="J272" i="3"/>
  <c r="M272" i="3"/>
  <c r="N272" i="3" s="1"/>
  <c r="V272" i="3"/>
  <c r="A273" i="3"/>
  <c r="B273" i="3" s="1"/>
  <c r="W272" i="3" l="1"/>
  <c r="L272" i="3"/>
  <c r="AA273" i="3"/>
  <c r="P273" i="3"/>
  <c r="Q273" i="3" s="1"/>
  <c r="R273" i="3" s="1"/>
  <c r="S273" i="3" s="1"/>
  <c r="Z273" i="3"/>
  <c r="AC273" i="3"/>
  <c r="AD273" i="3"/>
  <c r="T273" i="3" l="1"/>
  <c r="AG273" i="3" s="1"/>
  <c r="U272" i="3"/>
  <c r="Y271" i="3"/>
  <c r="D273" i="3" l="1"/>
  <c r="G273" i="3" s="1"/>
  <c r="AH273" i="3"/>
  <c r="E273" i="3"/>
  <c r="H273" i="3" s="1"/>
  <c r="F273" i="3" l="1"/>
  <c r="I273" i="3"/>
  <c r="J273" i="3"/>
  <c r="M273" i="3"/>
  <c r="N273" i="3" s="1"/>
  <c r="K273" i="3"/>
  <c r="AE273" i="3" s="1"/>
  <c r="L273" i="3" l="1"/>
  <c r="V273" i="3"/>
  <c r="W273" i="3" s="1"/>
  <c r="A274" i="3"/>
  <c r="B274" i="3" s="1"/>
  <c r="P274" i="3" l="1"/>
  <c r="Q274" i="3" s="1"/>
  <c r="R274" i="3" s="1"/>
  <c r="S274" i="3" s="1"/>
  <c r="AC274" i="3"/>
  <c r="Z274" i="3"/>
  <c r="AA274" i="3"/>
  <c r="U273" i="3"/>
  <c r="Y272" i="3"/>
  <c r="T274" i="3" l="1"/>
  <c r="AG274" i="3" s="1"/>
  <c r="D274" i="3" l="1"/>
  <c r="G274" i="3" s="1"/>
  <c r="AH274" i="3"/>
  <c r="E274" i="3"/>
  <c r="H274" i="3" s="1"/>
  <c r="I274" i="3" l="1"/>
  <c r="J274" i="3"/>
  <c r="AD274" i="3" s="1"/>
  <c r="M274" i="3"/>
  <c r="N274" i="3" s="1"/>
  <c r="K274" i="3"/>
  <c r="AE274" i="3" s="1"/>
  <c r="F274" i="3"/>
  <c r="L274" i="3" l="1"/>
  <c r="V274" i="3"/>
  <c r="W274" i="3" s="1"/>
  <c r="A275" i="3"/>
  <c r="B275" i="3" s="1"/>
  <c r="U274" i="3" l="1"/>
  <c r="Y273" i="3"/>
  <c r="AA275" i="3"/>
  <c r="P275" i="3"/>
  <c r="Q275" i="3" s="1"/>
  <c r="R275" i="3" s="1"/>
  <c r="S275" i="3" s="1"/>
  <c r="AD275" i="3"/>
  <c r="Z275" i="3"/>
  <c r="AC275" i="3"/>
  <c r="T275" i="3" l="1"/>
  <c r="AH275" i="3" s="1"/>
  <c r="E275" i="3" l="1"/>
  <c r="H275" i="3" s="1"/>
  <c r="AG275" i="3"/>
  <c r="D275" i="3"/>
  <c r="F275" i="3" l="1"/>
  <c r="G275" i="3"/>
  <c r="K275" i="3"/>
  <c r="AE275" i="3" s="1"/>
  <c r="I275" i="3" l="1"/>
  <c r="J275" i="3"/>
  <c r="M275" i="3"/>
  <c r="N275" i="3" s="1"/>
  <c r="V275" i="3"/>
  <c r="A276" i="3"/>
  <c r="B276" i="3" s="1"/>
  <c r="W275" i="3" l="1"/>
  <c r="L275" i="3"/>
  <c r="AA276" i="3"/>
  <c r="Z276" i="3"/>
  <c r="P276" i="3"/>
  <c r="Q276" i="3" s="1"/>
  <c r="R276" i="3" s="1"/>
  <c r="S276" i="3" s="1"/>
  <c r="AC276" i="3"/>
  <c r="AD276" i="3"/>
  <c r="U275" i="3" l="1"/>
  <c r="Y274" i="3"/>
  <c r="T276" i="3"/>
  <c r="AH276" i="3" s="1"/>
  <c r="D276" i="3" l="1"/>
  <c r="AG276" i="3"/>
  <c r="E276" i="3"/>
  <c r="H276" i="3" s="1"/>
  <c r="F276" i="3" l="1"/>
  <c r="G276" i="3"/>
  <c r="K276" i="3"/>
  <c r="AE276" i="3" s="1"/>
  <c r="I276" i="3" l="1"/>
  <c r="J276" i="3"/>
  <c r="M276" i="3"/>
  <c r="N276" i="3" s="1"/>
  <c r="V276" i="3"/>
  <c r="A277" i="3"/>
  <c r="B277" i="3" s="1"/>
  <c r="W276" i="3" l="1"/>
  <c r="L276" i="3"/>
  <c r="P277" i="3"/>
  <c r="Q277" i="3" s="1"/>
  <c r="R277" i="3" s="1"/>
  <c r="S277" i="3" s="1"/>
  <c r="AC277" i="3"/>
  <c r="Z277" i="3"/>
  <c r="AA277" i="3"/>
  <c r="U276" i="3" l="1"/>
  <c r="Y275" i="3"/>
  <c r="T277" i="3"/>
  <c r="AG277" i="3" s="1"/>
  <c r="D277" i="3" l="1"/>
  <c r="G277" i="3" s="1"/>
  <c r="E277" i="3"/>
  <c r="H277" i="3" s="1"/>
  <c r="K277" i="3" s="1"/>
  <c r="AE277" i="3" s="1"/>
  <c r="AH277" i="3"/>
  <c r="F277" i="3" l="1"/>
  <c r="V277" i="3"/>
  <c r="A278" i="3"/>
  <c r="B278" i="3" s="1"/>
  <c r="I277" i="3"/>
  <c r="J277" i="3"/>
  <c r="AD277" i="3" s="1"/>
  <c r="M277" i="3"/>
  <c r="N277" i="3" s="1"/>
  <c r="W277" i="3" l="1"/>
  <c r="L277" i="3"/>
  <c r="AC278" i="3"/>
  <c r="Z278" i="3"/>
  <c r="P278" i="3"/>
  <c r="Q278" i="3" s="1"/>
  <c r="R278" i="3" s="1"/>
  <c r="S278" i="3" s="1"/>
  <c r="AA278" i="3"/>
  <c r="T278" i="3" l="1"/>
  <c r="U277" i="3"/>
  <c r="Y276" i="3"/>
  <c r="E278" i="3" l="1"/>
  <c r="H278" i="3" s="1"/>
  <c r="K278" i="3" s="1"/>
  <c r="AE278" i="3" s="1"/>
  <c r="D278" i="3"/>
  <c r="AH278" i="3"/>
  <c r="AG278" i="3"/>
  <c r="V278" i="3" l="1"/>
  <c r="A279" i="3"/>
  <c r="B279" i="3" s="1"/>
  <c r="F278" i="3"/>
  <c r="G278" i="3"/>
  <c r="I278" i="3" l="1"/>
  <c r="W278" i="3" s="1"/>
  <c r="J278" i="3"/>
  <c r="AD278" i="3" s="1"/>
  <c r="M278" i="3"/>
  <c r="N278" i="3" s="1"/>
  <c r="P279" i="3"/>
  <c r="Q279" i="3" s="1"/>
  <c r="R279" i="3" s="1"/>
  <c r="S279" i="3" s="1"/>
  <c r="AA279" i="3"/>
  <c r="AD279" i="3"/>
  <c r="Z279" i="3"/>
  <c r="AC279" i="3"/>
  <c r="T279" i="3" l="1"/>
  <c r="L278" i="3"/>
  <c r="U278" i="3" l="1"/>
  <c r="D279" i="3" s="1"/>
  <c r="AG279" i="3"/>
  <c r="AH279" i="3"/>
  <c r="Y277" i="3"/>
  <c r="G279" i="3" l="1"/>
  <c r="E279" i="3"/>
  <c r="H279" i="3" s="1"/>
  <c r="I279" i="3" l="1"/>
  <c r="J279" i="3"/>
  <c r="M279" i="3"/>
  <c r="N279" i="3" s="1"/>
  <c r="F279" i="3"/>
  <c r="K279" i="3"/>
  <c r="AE279" i="3" s="1"/>
  <c r="V279" i="3" l="1"/>
  <c r="W279" i="3" s="1"/>
  <c r="A280" i="3"/>
  <c r="B280" i="3" s="1"/>
  <c r="L279" i="3"/>
  <c r="U279" i="3" l="1"/>
  <c r="Y278" i="3"/>
  <c r="AA280" i="3"/>
  <c r="P280" i="3"/>
  <c r="Q280" i="3" s="1"/>
  <c r="R280" i="3" s="1"/>
  <c r="S280" i="3" s="1"/>
  <c r="AD280" i="3"/>
  <c r="AC280" i="3"/>
  <c r="Z280" i="3"/>
  <c r="T280" i="3" l="1"/>
  <c r="AH280" i="3" s="1"/>
  <c r="D280" i="3" l="1"/>
  <c r="G280" i="3" s="1"/>
  <c r="E280" i="3"/>
  <c r="H280" i="3" s="1"/>
  <c r="K280" i="3" s="1"/>
  <c r="AE280" i="3" s="1"/>
  <c r="AG280" i="3"/>
  <c r="F280" i="3" l="1"/>
  <c r="I280" i="3"/>
  <c r="J280" i="3"/>
  <c r="M280" i="3"/>
  <c r="N280" i="3" s="1"/>
  <c r="V280" i="3"/>
  <c r="A281" i="3"/>
  <c r="B281" i="3" s="1"/>
  <c r="L280" i="3" l="1"/>
  <c r="W280" i="3"/>
  <c r="AC281" i="3"/>
  <c r="AA281" i="3"/>
  <c r="P281" i="3"/>
  <c r="Q281" i="3" s="1"/>
  <c r="R281" i="3" s="1"/>
  <c r="S281" i="3" s="1"/>
  <c r="AD281" i="3"/>
  <c r="Z281" i="3"/>
  <c r="T281" i="3" l="1"/>
  <c r="AG281" i="3" s="1"/>
  <c r="U280" i="3"/>
  <c r="Y279" i="3"/>
  <c r="D281" i="3" l="1"/>
  <c r="E281" i="3"/>
  <c r="H281" i="3" s="1"/>
  <c r="AH281" i="3"/>
  <c r="F281" i="3" l="1"/>
  <c r="G281" i="3"/>
  <c r="K281" i="3"/>
  <c r="AE281" i="3" s="1"/>
  <c r="I281" i="3" l="1"/>
  <c r="J281" i="3"/>
  <c r="M281" i="3"/>
  <c r="N281" i="3" s="1"/>
  <c r="V281" i="3"/>
  <c r="A282" i="3"/>
  <c r="B282" i="3" s="1"/>
  <c r="W281" i="3" l="1"/>
  <c r="L281" i="3"/>
  <c r="AC282" i="3"/>
  <c r="Z282" i="3"/>
  <c r="AD282" i="3"/>
  <c r="P282" i="3"/>
  <c r="Q282" i="3" s="1"/>
  <c r="R282" i="3" s="1"/>
  <c r="S282" i="3" s="1"/>
  <c r="AA282" i="3"/>
  <c r="U281" i="3" l="1"/>
  <c r="Y280" i="3"/>
  <c r="T282" i="3"/>
  <c r="D282" i="3" l="1"/>
  <c r="G282" i="3" s="1"/>
  <c r="E282" i="3"/>
  <c r="H282" i="3" s="1"/>
  <c r="AH282" i="3"/>
  <c r="AG282" i="3"/>
  <c r="F282" i="3" l="1"/>
  <c r="I282" i="3"/>
  <c r="J282" i="3"/>
  <c r="M282" i="3"/>
  <c r="N282" i="3" s="1"/>
  <c r="K282" i="3"/>
  <c r="AE282" i="3" s="1"/>
  <c r="V282" i="3" l="1"/>
  <c r="W282" i="3" s="1"/>
  <c r="A283" i="3"/>
  <c r="B283" i="3" s="1"/>
  <c r="L282" i="3"/>
  <c r="U282" i="3" l="1"/>
  <c r="Y281" i="3"/>
  <c r="Z283" i="3"/>
  <c r="AC283" i="3"/>
  <c r="AD283" i="3"/>
  <c r="P283" i="3"/>
  <c r="Q283" i="3" s="1"/>
  <c r="R283" i="3" s="1"/>
  <c r="S283" i="3" s="1"/>
  <c r="AA283" i="3"/>
  <c r="T283" i="3" l="1"/>
  <c r="AH283" i="3" s="1"/>
  <c r="AG283" i="3" l="1"/>
  <c r="E283" i="3"/>
  <c r="H283" i="3" s="1"/>
  <c r="K283" i="3" s="1"/>
  <c r="AE283" i="3" s="1"/>
  <c r="D283" i="3"/>
  <c r="F283" i="3" l="1"/>
  <c r="G283" i="3"/>
  <c r="J283" i="3" s="1"/>
  <c r="V283" i="3"/>
  <c r="A284" i="3"/>
  <c r="B284" i="3" s="1"/>
  <c r="M283" i="3" l="1"/>
  <c r="N283" i="3" s="1"/>
  <c r="I283" i="3"/>
  <c r="W283" i="3" s="1"/>
  <c r="L283" i="3"/>
  <c r="AC284" i="3"/>
  <c r="AA284" i="3"/>
  <c r="P284" i="3"/>
  <c r="Q284" i="3" s="1"/>
  <c r="R284" i="3" s="1"/>
  <c r="S284" i="3" s="1"/>
  <c r="Z284" i="3"/>
  <c r="T284" i="3" l="1"/>
  <c r="AH284" i="3" s="1"/>
  <c r="U283" i="3"/>
  <c r="Y282" i="3"/>
  <c r="AG284" i="3" l="1"/>
  <c r="D284" i="3"/>
  <c r="E284" i="3"/>
  <c r="H284" i="3" s="1"/>
  <c r="F284" i="3" l="1"/>
  <c r="G284" i="3"/>
  <c r="K284" i="3"/>
  <c r="AE284" i="3" s="1"/>
  <c r="V284" i="3" l="1"/>
  <c r="A285" i="3"/>
  <c r="B285" i="3" s="1"/>
  <c r="I284" i="3"/>
  <c r="J284" i="3"/>
  <c r="AD284" i="3" s="1"/>
  <c r="M284" i="3"/>
  <c r="N284" i="3" s="1"/>
  <c r="W284" i="3" l="1"/>
  <c r="L284" i="3"/>
  <c r="AD285" i="3"/>
  <c r="AA285" i="3"/>
  <c r="P285" i="3"/>
  <c r="Q285" i="3" s="1"/>
  <c r="R285" i="3" s="1"/>
  <c r="S285" i="3" s="1"/>
  <c r="Z285" i="3"/>
  <c r="AC285" i="3"/>
  <c r="U284" i="3" l="1"/>
  <c r="Y283" i="3"/>
  <c r="T285" i="3"/>
  <c r="E285" i="3" l="1"/>
  <c r="H285" i="3" s="1"/>
  <c r="K285" i="3" s="1"/>
  <c r="AE285" i="3" s="1"/>
  <c r="AH285" i="3"/>
  <c r="D285" i="3"/>
  <c r="G285" i="3" s="1"/>
  <c r="AG285" i="3"/>
  <c r="F285" i="3" l="1"/>
  <c r="V285" i="3"/>
  <c r="A286" i="3"/>
  <c r="B286" i="3" s="1"/>
  <c r="I285" i="3"/>
  <c r="J285" i="3"/>
  <c r="M285" i="3"/>
  <c r="N285" i="3" s="1"/>
  <c r="W285" i="3" l="1"/>
  <c r="L285" i="3"/>
  <c r="AA286" i="3"/>
  <c r="P286" i="3"/>
  <c r="Q286" i="3" s="1"/>
  <c r="R286" i="3" s="1"/>
  <c r="S286" i="3" s="1"/>
  <c r="AD286" i="3"/>
  <c r="AC286" i="3"/>
  <c r="Z286" i="3"/>
  <c r="T286" i="3" l="1"/>
  <c r="AH286" i="3" s="1"/>
  <c r="U285" i="3"/>
  <c r="Y284" i="3"/>
  <c r="D286" i="3" l="1"/>
  <c r="G286" i="3" s="1"/>
  <c r="AG286" i="3"/>
  <c r="E286" i="3"/>
  <c r="H286" i="3" s="1"/>
  <c r="F286" i="3" l="1"/>
  <c r="I286" i="3"/>
  <c r="J286" i="3"/>
  <c r="M286" i="3"/>
  <c r="N286" i="3" s="1"/>
  <c r="K286" i="3"/>
  <c r="AE286" i="3" s="1"/>
  <c r="V286" i="3" l="1"/>
  <c r="W286" i="3" s="1"/>
  <c r="A287" i="3"/>
  <c r="B287" i="3" s="1"/>
  <c r="L286" i="3"/>
  <c r="U286" i="3" l="1"/>
  <c r="Y285" i="3"/>
  <c r="P287" i="3"/>
  <c r="Q287" i="3" s="1"/>
  <c r="R287" i="3" s="1"/>
  <c r="S287" i="3" s="1"/>
  <c r="AA287" i="3"/>
  <c r="Z287" i="3"/>
  <c r="AC287" i="3"/>
  <c r="T287" i="3" l="1"/>
  <c r="D287" i="3" s="1"/>
  <c r="G287" i="3" l="1"/>
  <c r="AH287" i="3"/>
  <c r="AG287" i="3"/>
  <c r="E287" i="3"/>
  <c r="H287" i="3" s="1"/>
  <c r="F287" i="3" l="1"/>
  <c r="K287" i="3"/>
  <c r="AE287" i="3" s="1"/>
  <c r="I287" i="3"/>
  <c r="J287" i="3"/>
  <c r="AD287" i="3" s="1"/>
  <c r="M287" i="3"/>
  <c r="N287" i="3" s="1"/>
  <c r="L287" i="3" l="1"/>
  <c r="V287" i="3"/>
  <c r="W287" i="3" s="1"/>
  <c r="A288" i="3"/>
  <c r="B288" i="3" s="1"/>
  <c r="U287" i="3" l="1"/>
  <c r="Y286" i="3"/>
  <c r="P288" i="3"/>
  <c r="Q288" i="3" s="1"/>
  <c r="R288" i="3" s="1"/>
  <c r="S288" i="3" s="1"/>
  <c r="AA288" i="3"/>
  <c r="AC288" i="3"/>
  <c r="Z288" i="3"/>
  <c r="T288" i="3" l="1"/>
  <c r="D288" i="3" s="1"/>
  <c r="AG288" i="3" l="1"/>
  <c r="AH288" i="3"/>
  <c r="E288" i="3"/>
  <c r="H288" i="3" s="1"/>
  <c r="K288" i="3" s="1"/>
  <c r="AE288" i="3" s="1"/>
  <c r="G288" i="3"/>
  <c r="F288" i="3" l="1"/>
  <c r="I288" i="3"/>
  <c r="J288" i="3"/>
  <c r="AD288" i="3" s="1"/>
  <c r="M288" i="3"/>
  <c r="N288" i="3" s="1"/>
  <c r="V288" i="3"/>
  <c r="A289" i="3"/>
  <c r="B289" i="3" s="1"/>
  <c r="W288" i="3" l="1"/>
  <c r="L288" i="3"/>
  <c r="AD289" i="3"/>
  <c r="P289" i="3"/>
  <c r="Q289" i="3" s="1"/>
  <c r="R289" i="3" s="1"/>
  <c r="S289" i="3" s="1"/>
  <c r="AA289" i="3"/>
  <c r="AC289" i="3"/>
  <c r="Z289" i="3"/>
  <c r="T289" i="3" l="1"/>
  <c r="U288" i="3"/>
  <c r="Y287" i="3"/>
  <c r="E289" i="3" l="1"/>
  <c r="H289" i="3" s="1"/>
  <c r="K289" i="3" s="1"/>
  <c r="AE289" i="3" s="1"/>
  <c r="AH289" i="3"/>
  <c r="AG289" i="3"/>
  <c r="D289" i="3"/>
  <c r="V289" i="3" l="1"/>
  <c r="A290" i="3"/>
  <c r="B290" i="3" s="1"/>
  <c r="F289" i="3"/>
  <c r="G289" i="3"/>
  <c r="I289" i="3" l="1"/>
  <c r="W289" i="3" s="1"/>
  <c r="J289" i="3"/>
  <c r="M289" i="3"/>
  <c r="N289" i="3" s="1"/>
  <c r="AA290" i="3"/>
  <c r="AC290" i="3"/>
  <c r="Z290" i="3"/>
  <c r="P290" i="3"/>
  <c r="Q290" i="3" s="1"/>
  <c r="R290" i="3" s="1"/>
  <c r="S290" i="3" s="1"/>
  <c r="AD290" i="3"/>
  <c r="T290" i="3" l="1"/>
  <c r="L289" i="3"/>
  <c r="U289" i="3" l="1"/>
  <c r="E290" i="3" s="1"/>
  <c r="H290" i="3" s="1"/>
  <c r="AH290" i="3"/>
  <c r="AG290" i="3"/>
  <c r="Y288" i="3"/>
  <c r="D290" i="3" l="1"/>
  <c r="G290" i="3" s="1"/>
  <c r="K290" i="3"/>
  <c r="AE290" i="3" s="1"/>
  <c r="F290" i="3" l="1"/>
  <c r="I290" i="3"/>
  <c r="J290" i="3"/>
  <c r="M290" i="3"/>
  <c r="N290" i="3" s="1"/>
  <c r="V290" i="3"/>
  <c r="A291" i="3"/>
  <c r="B291" i="3" s="1"/>
  <c r="L290" i="3" l="1"/>
  <c r="W290" i="3"/>
  <c r="P291" i="3"/>
  <c r="Q291" i="3" s="1"/>
  <c r="R291" i="3" s="1"/>
  <c r="S291" i="3" s="1"/>
  <c r="AD291" i="3"/>
  <c r="Z291" i="3"/>
  <c r="AA291" i="3"/>
  <c r="AC291" i="3"/>
  <c r="U290" i="3" l="1"/>
  <c r="Y289" i="3"/>
  <c r="T291" i="3"/>
  <c r="AG291" i="3" s="1"/>
  <c r="D291" i="3" l="1"/>
  <c r="E291" i="3"/>
  <c r="H291" i="3" s="1"/>
  <c r="AH291" i="3"/>
  <c r="K291" i="3" l="1"/>
  <c r="AE291" i="3" s="1"/>
  <c r="F291" i="3"/>
  <c r="G291" i="3"/>
  <c r="I291" i="3" l="1"/>
  <c r="J291" i="3"/>
  <c r="M291" i="3"/>
  <c r="N291" i="3" s="1"/>
  <c r="V291" i="3"/>
  <c r="A292" i="3"/>
  <c r="B292" i="3" s="1"/>
  <c r="W291" i="3" l="1"/>
  <c r="L291" i="3"/>
  <c r="Z292" i="3"/>
  <c r="AC292" i="3"/>
  <c r="AD292" i="3"/>
  <c r="AA292" i="3"/>
  <c r="P292" i="3"/>
  <c r="Q292" i="3" s="1"/>
  <c r="R292" i="3" s="1"/>
  <c r="S292" i="3" s="1"/>
  <c r="U291" i="3" l="1"/>
  <c r="Y290" i="3"/>
  <c r="T292" i="3"/>
  <c r="E292" i="3" l="1"/>
  <c r="H292" i="3" s="1"/>
  <c r="K292" i="3" s="1"/>
  <c r="AE292" i="3" s="1"/>
  <c r="D292" i="3"/>
  <c r="AG292" i="3"/>
  <c r="AH292" i="3"/>
  <c r="V292" i="3" l="1"/>
  <c r="A293" i="3"/>
  <c r="B293" i="3" s="1"/>
  <c r="F292" i="3"/>
  <c r="G292" i="3"/>
  <c r="I292" i="3" l="1"/>
  <c r="W292" i="3" s="1"/>
  <c r="J292" i="3"/>
  <c r="M292" i="3"/>
  <c r="N292" i="3" s="1"/>
  <c r="Z293" i="3"/>
  <c r="AC293" i="3"/>
  <c r="AD293" i="3"/>
  <c r="P293" i="3"/>
  <c r="Q293" i="3" s="1"/>
  <c r="R293" i="3" s="1"/>
  <c r="S293" i="3" s="1"/>
  <c r="AA293" i="3"/>
  <c r="L292" i="3" l="1"/>
  <c r="T293" i="3"/>
  <c r="U292" i="3" l="1"/>
  <c r="E293" i="3" s="1"/>
  <c r="H293" i="3" s="1"/>
  <c r="AH293" i="3"/>
  <c r="AG293" i="3"/>
  <c r="Y291" i="3"/>
  <c r="K293" i="3" l="1"/>
  <c r="AE293" i="3" s="1"/>
  <c r="D293" i="3"/>
  <c r="V293" i="3" l="1"/>
  <c r="A294" i="3"/>
  <c r="B294" i="3" s="1"/>
  <c r="F293" i="3"/>
  <c r="G293" i="3"/>
  <c r="I293" i="3" l="1"/>
  <c r="W293" i="3" s="1"/>
  <c r="J293" i="3"/>
  <c r="M293" i="3"/>
  <c r="N293" i="3" s="1"/>
  <c r="AA294" i="3"/>
  <c r="P294" i="3"/>
  <c r="Q294" i="3" s="1"/>
  <c r="R294" i="3" s="1"/>
  <c r="S294" i="3" s="1"/>
  <c r="Z294" i="3"/>
  <c r="AC294" i="3"/>
  <c r="L293" i="3" l="1"/>
  <c r="T294" i="3"/>
  <c r="AG294" i="3" l="1"/>
  <c r="U293" i="3"/>
  <c r="E294" i="3" s="1"/>
  <c r="H294" i="3" s="1"/>
  <c r="AH294" i="3"/>
  <c r="Y292" i="3"/>
  <c r="D294" i="3" l="1"/>
  <c r="G294" i="3" s="1"/>
  <c r="K294" i="3"/>
  <c r="AE294" i="3" s="1"/>
  <c r="F294" i="3" l="1"/>
  <c r="I294" i="3"/>
  <c r="J294" i="3"/>
  <c r="AD294" i="3" s="1"/>
  <c r="M294" i="3"/>
  <c r="N294" i="3" s="1"/>
  <c r="V294" i="3"/>
  <c r="A295" i="3"/>
  <c r="B295" i="3" s="1"/>
  <c r="L294" i="3" l="1"/>
  <c r="W294" i="3"/>
  <c r="AA295" i="3"/>
  <c r="AD295" i="3"/>
  <c r="P295" i="3"/>
  <c r="Q295" i="3" s="1"/>
  <c r="R295" i="3" s="1"/>
  <c r="S295" i="3" s="1"/>
  <c r="AC295" i="3"/>
  <c r="Z295" i="3"/>
  <c r="U294" i="3" l="1"/>
  <c r="Y293" i="3"/>
  <c r="T295" i="3"/>
  <c r="AG295" i="3" s="1"/>
  <c r="D295" i="3" l="1"/>
  <c r="AH295" i="3"/>
  <c r="E295" i="3"/>
  <c r="H295" i="3" s="1"/>
  <c r="F295" i="3" l="1"/>
  <c r="G295" i="3"/>
  <c r="K295" i="3"/>
  <c r="AE295" i="3" s="1"/>
  <c r="V295" i="3" l="1"/>
  <c r="A296" i="3"/>
  <c r="B296" i="3" s="1"/>
  <c r="I295" i="3"/>
  <c r="J295" i="3"/>
  <c r="M295" i="3"/>
  <c r="N295" i="3" s="1"/>
  <c r="L295" i="3" l="1"/>
  <c r="AC296" i="3"/>
  <c r="Z296" i="3"/>
  <c r="AD296" i="3"/>
  <c r="P296" i="3"/>
  <c r="Q296" i="3" s="1"/>
  <c r="R296" i="3" s="1"/>
  <c r="S296" i="3" s="1"/>
  <c r="AA296" i="3"/>
  <c r="W295" i="3"/>
  <c r="T296" i="3" l="1"/>
  <c r="U295" i="3"/>
  <c r="Y294" i="3"/>
  <c r="D296" i="3" l="1"/>
  <c r="G296" i="3" s="1"/>
  <c r="AG296" i="3"/>
  <c r="AH296" i="3"/>
  <c r="E296" i="3"/>
  <c r="H296" i="3" s="1"/>
  <c r="F296" i="3" l="1"/>
  <c r="I296" i="3"/>
  <c r="J296" i="3"/>
  <c r="M296" i="3"/>
  <c r="N296" i="3" s="1"/>
  <c r="K296" i="3"/>
  <c r="AE296" i="3" s="1"/>
  <c r="V296" i="3" l="1"/>
  <c r="W296" i="3" s="1"/>
  <c r="A297" i="3"/>
  <c r="B297" i="3" s="1"/>
  <c r="L296" i="3"/>
  <c r="U296" i="3" l="1"/>
  <c r="Y295" i="3"/>
  <c r="AA297" i="3"/>
  <c r="P297" i="3"/>
  <c r="Q297" i="3" s="1"/>
  <c r="R297" i="3" s="1"/>
  <c r="S297" i="3" s="1"/>
  <c r="Z297" i="3"/>
  <c r="AC297" i="3"/>
  <c r="T297" i="3" l="1"/>
  <c r="E297" i="3" s="1"/>
  <c r="H297" i="3" s="1"/>
  <c r="D297" i="3" l="1"/>
  <c r="F297" i="3" s="1"/>
  <c r="AG297" i="3"/>
  <c r="K297" i="3"/>
  <c r="AE297" i="3" s="1"/>
  <c r="AH297" i="3"/>
  <c r="G297" i="3" l="1"/>
  <c r="M297" i="3" s="1"/>
  <c r="N297" i="3" s="1"/>
  <c r="V297" i="3"/>
  <c r="A298" i="3"/>
  <c r="B298" i="3" s="1"/>
  <c r="J297" i="3" l="1"/>
  <c r="I297" i="3"/>
  <c r="W297" i="3" s="1"/>
  <c r="Z298" i="3"/>
  <c r="P298" i="3"/>
  <c r="Q298" i="3" s="1"/>
  <c r="R298" i="3" s="1"/>
  <c r="S298" i="3" s="1"/>
  <c r="AA298" i="3"/>
  <c r="AC298" i="3"/>
  <c r="L297" i="3" l="1"/>
  <c r="U297" i="3" s="1"/>
  <c r="AD297" i="3"/>
  <c r="T298" i="3"/>
  <c r="Y296" i="3" l="1"/>
  <c r="E298" i="3"/>
  <c r="H298" i="3" s="1"/>
  <c r="K298" i="3" s="1"/>
  <c r="AE298" i="3" s="1"/>
  <c r="AH298" i="3"/>
  <c r="D298" i="3"/>
  <c r="AG298" i="3"/>
  <c r="F298" i="3" l="1"/>
  <c r="G298" i="3"/>
  <c r="V298" i="3"/>
  <c r="A299" i="3"/>
  <c r="B299" i="3" s="1"/>
  <c r="I298" i="3" l="1"/>
  <c r="W298" i="3" s="1"/>
  <c r="J298" i="3"/>
  <c r="AD298" i="3" s="1"/>
  <c r="M298" i="3"/>
  <c r="N298" i="3" s="1"/>
  <c r="Z299" i="3"/>
  <c r="AD299" i="3"/>
  <c r="P299" i="3"/>
  <c r="Q299" i="3" s="1"/>
  <c r="R299" i="3" s="1"/>
  <c r="S299" i="3" s="1"/>
  <c r="AA299" i="3"/>
  <c r="AC299" i="3"/>
  <c r="L298" i="3" l="1"/>
  <c r="T299" i="3"/>
  <c r="AG299" i="3" l="1"/>
  <c r="U298" i="3"/>
  <c r="E299" i="3" s="1"/>
  <c r="H299" i="3" s="1"/>
  <c r="AH299" i="3"/>
  <c r="Y297" i="3"/>
  <c r="D299" i="3" l="1"/>
  <c r="G299" i="3" s="1"/>
  <c r="K299" i="3"/>
  <c r="AE299" i="3" s="1"/>
  <c r="F299" i="3" l="1"/>
  <c r="I299" i="3"/>
  <c r="J299" i="3"/>
  <c r="M299" i="3"/>
  <c r="N299" i="3" s="1"/>
  <c r="V299" i="3"/>
  <c r="A300" i="3"/>
  <c r="B300" i="3" s="1"/>
  <c r="W299" i="3" l="1"/>
  <c r="L299" i="3"/>
  <c r="Z300" i="3"/>
  <c r="P300" i="3"/>
  <c r="Q300" i="3" s="1"/>
  <c r="R300" i="3" s="1"/>
  <c r="S300" i="3" s="1"/>
  <c r="AD300" i="3"/>
  <c r="AA300" i="3"/>
  <c r="AC300" i="3"/>
  <c r="U299" i="3" l="1"/>
  <c r="Y298" i="3"/>
  <c r="T300" i="3"/>
  <c r="E300" i="3" l="1"/>
  <c r="H300" i="3" s="1"/>
  <c r="K300" i="3" s="1"/>
  <c r="AE300" i="3" s="1"/>
  <c r="AH300" i="3"/>
  <c r="AG300" i="3"/>
  <c r="D300" i="3"/>
  <c r="F300" i="3" l="1"/>
  <c r="G300" i="3"/>
  <c r="V300" i="3"/>
  <c r="A301" i="3"/>
  <c r="B301" i="3" s="1"/>
  <c r="I300" i="3" l="1"/>
  <c r="W300" i="3" s="1"/>
  <c r="J300" i="3"/>
  <c r="M300" i="3"/>
  <c r="N300" i="3" s="1"/>
  <c r="AC301" i="3"/>
  <c r="Z301" i="3"/>
  <c r="AD301" i="3"/>
  <c r="AA301" i="3"/>
  <c r="P301" i="3"/>
  <c r="Q301" i="3" s="1"/>
  <c r="R301" i="3" s="1"/>
  <c r="S301" i="3" s="1"/>
  <c r="L300" i="3" l="1"/>
  <c r="T301" i="3"/>
  <c r="AH301" i="3" l="1"/>
  <c r="U300" i="3"/>
  <c r="D301" i="3" s="1"/>
  <c r="AG301" i="3"/>
  <c r="Y299" i="3"/>
  <c r="E301" i="3" l="1"/>
  <c r="H301" i="3" s="1"/>
  <c r="K301" i="3" s="1"/>
  <c r="AE301" i="3" s="1"/>
  <c r="G301" i="3"/>
  <c r="F301" i="3" l="1"/>
  <c r="I301" i="3"/>
  <c r="J301" i="3"/>
  <c r="M301" i="3"/>
  <c r="N301" i="3" s="1"/>
  <c r="V301" i="3"/>
  <c r="A302" i="3"/>
  <c r="B302" i="3" s="1"/>
  <c r="W301" i="3" l="1"/>
  <c r="L301" i="3"/>
  <c r="P302" i="3"/>
  <c r="Q302" i="3" s="1"/>
  <c r="R302" i="3" s="1"/>
  <c r="S302" i="3" s="1"/>
  <c r="AA302" i="3"/>
  <c r="AC302" i="3"/>
  <c r="AD302" i="3"/>
  <c r="Z302" i="3"/>
  <c r="U301" i="3" l="1"/>
  <c r="Y300" i="3"/>
  <c r="T302" i="3"/>
  <c r="AG302" i="3" s="1"/>
  <c r="AH302" i="3" l="1"/>
  <c r="D302" i="3"/>
  <c r="E302" i="3"/>
  <c r="H302" i="3" s="1"/>
  <c r="K302" i="3" s="1"/>
  <c r="AE302" i="3" s="1"/>
  <c r="F302" i="3" l="1"/>
  <c r="G302" i="3"/>
  <c r="M302" i="3" s="1"/>
  <c r="N302" i="3" s="1"/>
  <c r="V302" i="3"/>
  <c r="A303" i="3"/>
  <c r="B303" i="3" s="1"/>
  <c r="I302" i="3" l="1"/>
  <c r="W302" i="3" s="1"/>
  <c r="J302" i="3"/>
  <c r="L302" i="3" s="1"/>
  <c r="AD303" i="3"/>
  <c r="Z303" i="3"/>
  <c r="P303" i="3"/>
  <c r="Q303" i="3" s="1"/>
  <c r="R303" i="3" s="1"/>
  <c r="S303" i="3" s="1"/>
  <c r="AA303" i="3"/>
  <c r="AC303" i="3"/>
  <c r="T303" i="3" l="1"/>
  <c r="U302" i="3"/>
  <c r="Y301" i="3"/>
  <c r="E303" i="3" l="1"/>
  <c r="H303" i="3" s="1"/>
  <c r="K303" i="3" s="1"/>
  <c r="AE303" i="3" s="1"/>
  <c r="D303" i="3"/>
  <c r="G303" i="3" s="1"/>
  <c r="AH303" i="3"/>
  <c r="AG303" i="3"/>
  <c r="F303" i="3" l="1"/>
  <c r="I303" i="3"/>
  <c r="J303" i="3"/>
  <c r="M303" i="3"/>
  <c r="N303" i="3" s="1"/>
  <c r="V303" i="3"/>
  <c r="A304" i="3"/>
  <c r="B304" i="3" s="1"/>
  <c r="W303" i="3" l="1"/>
  <c r="L303" i="3"/>
  <c r="Z304" i="3"/>
  <c r="P304" i="3"/>
  <c r="Q304" i="3" s="1"/>
  <c r="R304" i="3" s="1"/>
  <c r="S304" i="3" s="1"/>
  <c r="AC304" i="3"/>
  <c r="AA304" i="3"/>
  <c r="U303" i="3" l="1"/>
  <c r="Y302" i="3"/>
  <c r="T304" i="3"/>
  <c r="AH304" i="3" s="1"/>
  <c r="AG304" i="3" l="1"/>
  <c r="D304" i="3"/>
  <c r="G304" i="3" s="1"/>
  <c r="E304" i="3"/>
  <c r="H304" i="3" s="1"/>
  <c r="K304" i="3" s="1"/>
  <c r="AE304" i="3" s="1"/>
  <c r="F304" i="3" l="1"/>
  <c r="I304" i="3"/>
  <c r="J304" i="3"/>
  <c r="AD304" i="3" s="1"/>
  <c r="M304" i="3"/>
  <c r="N304" i="3" s="1"/>
  <c r="V304" i="3"/>
  <c r="A305" i="3"/>
  <c r="B305" i="3" s="1"/>
  <c r="W304" i="3" l="1"/>
  <c r="L304" i="3"/>
  <c r="Z305" i="3"/>
  <c r="AA305" i="3"/>
  <c r="P305" i="3"/>
  <c r="Q305" i="3" s="1"/>
  <c r="R305" i="3" s="1"/>
  <c r="S305" i="3" s="1"/>
  <c r="AC305" i="3"/>
  <c r="AD305" i="3"/>
  <c r="U304" i="3" l="1"/>
  <c r="Y303" i="3"/>
  <c r="T305" i="3"/>
  <c r="AG305" i="3" s="1"/>
  <c r="AH305" i="3" l="1"/>
  <c r="E305" i="3"/>
  <c r="H305" i="3" s="1"/>
  <c r="K305" i="3" s="1"/>
  <c r="AE305" i="3" s="1"/>
  <c r="D305" i="3"/>
  <c r="V305" i="3" l="1"/>
  <c r="A306" i="3"/>
  <c r="B306" i="3" s="1"/>
  <c r="F305" i="3"/>
  <c r="G305" i="3"/>
  <c r="I305" i="3" l="1"/>
  <c r="W305" i="3" s="1"/>
  <c r="J305" i="3"/>
  <c r="M305" i="3"/>
  <c r="N305" i="3" s="1"/>
  <c r="AA306" i="3"/>
  <c r="Z306" i="3"/>
  <c r="P306" i="3"/>
  <c r="Q306" i="3" s="1"/>
  <c r="R306" i="3" s="1"/>
  <c r="S306" i="3" s="1"/>
  <c r="AC306" i="3"/>
  <c r="AD306" i="3"/>
  <c r="T306" i="3" l="1"/>
  <c r="L305" i="3"/>
  <c r="U305" i="3" l="1"/>
  <c r="E306" i="3" s="1"/>
  <c r="H306" i="3" s="1"/>
  <c r="AH306" i="3"/>
  <c r="AG306" i="3"/>
  <c r="Y304" i="3"/>
  <c r="D306" i="3" l="1"/>
  <c r="G306" i="3" s="1"/>
  <c r="K306" i="3"/>
  <c r="AE306" i="3" s="1"/>
  <c r="F306" i="3" l="1"/>
  <c r="I306" i="3"/>
  <c r="J306" i="3"/>
  <c r="M306" i="3"/>
  <c r="N306" i="3" s="1"/>
  <c r="V306" i="3"/>
  <c r="A307" i="3"/>
  <c r="B307" i="3" s="1"/>
  <c r="W306" i="3" l="1"/>
  <c r="L306" i="3"/>
  <c r="AC307" i="3"/>
  <c r="P307" i="3"/>
  <c r="Q307" i="3" s="1"/>
  <c r="R307" i="3" s="1"/>
  <c r="S307" i="3" s="1"/>
  <c r="AA307" i="3"/>
  <c r="Z307" i="3"/>
  <c r="T307" i="3" l="1"/>
  <c r="AH307" i="3" s="1"/>
  <c r="U306" i="3"/>
  <c r="Y305" i="3"/>
  <c r="D307" i="3" l="1"/>
  <c r="E307" i="3"/>
  <c r="H307" i="3" s="1"/>
  <c r="AG307" i="3"/>
  <c r="F307" i="3" l="1"/>
  <c r="G307" i="3"/>
  <c r="K307" i="3"/>
  <c r="AE307" i="3" s="1"/>
  <c r="I307" i="3" l="1"/>
  <c r="J307" i="3"/>
  <c r="AD307" i="3" s="1"/>
  <c r="M307" i="3"/>
  <c r="N307" i="3" s="1"/>
  <c r="V307" i="3"/>
  <c r="A308" i="3"/>
  <c r="B308" i="3" s="1"/>
  <c r="L307" i="3" l="1"/>
  <c r="Z308" i="3"/>
  <c r="AA308" i="3"/>
  <c r="P308" i="3"/>
  <c r="Q308" i="3" s="1"/>
  <c r="R308" i="3" s="1"/>
  <c r="S308" i="3" s="1"/>
  <c r="AC308" i="3"/>
  <c r="W307" i="3"/>
  <c r="T308" i="3" l="1"/>
  <c r="U307" i="3"/>
  <c r="Y306" i="3"/>
  <c r="E308" i="3" l="1"/>
  <c r="H308" i="3" s="1"/>
  <c r="K308" i="3" s="1"/>
  <c r="AE308" i="3" s="1"/>
  <c r="AH308" i="3"/>
  <c r="AG308" i="3"/>
  <c r="D308" i="3"/>
  <c r="F308" i="3" l="1"/>
  <c r="G308" i="3"/>
  <c r="V308" i="3"/>
  <c r="A309" i="3"/>
  <c r="B309" i="3" s="1"/>
  <c r="I308" i="3" l="1"/>
  <c r="W308" i="3" s="1"/>
  <c r="J308" i="3"/>
  <c r="AD308" i="3" s="1"/>
  <c r="M308" i="3"/>
  <c r="N308" i="3" s="1"/>
  <c r="AC309" i="3"/>
  <c r="AD309" i="3"/>
  <c r="P309" i="3"/>
  <c r="Q309" i="3" s="1"/>
  <c r="R309" i="3" s="1"/>
  <c r="S309" i="3" s="1"/>
  <c r="AA309" i="3"/>
  <c r="Z309" i="3"/>
  <c r="T309" i="3" l="1"/>
  <c r="L308" i="3"/>
  <c r="AG309" i="3" l="1"/>
  <c r="AH309" i="3"/>
  <c r="U308" i="3"/>
  <c r="E309" i="3" s="1"/>
  <c r="H309" i="3" s="1"/>
  <c r="Y307" i="3"/>
  <c r="D309" i="3" l="1"/>
  <c r="G309" i="3" s="1"/>
  <c r="K309" i="3"/>
  <c r="AE309" i="3" s="1"/>
  <c r="F309" i="3" l="1"/>
  <c r="V309" i="3"/>
  <c r="A310" i="3"/>
  <c r="B310" i="3" s="1"/>
  <c r="I309" i="3"/>
  <c r="J309" i="3"/>
  <c r="M309" i="3"/>
  <c r="N309" i="3" s="1"/>
  <c r="W309" i="3" l="1"/>
  <c r="L309" i="3"/>
  <c r="AC310" i="3"/>
  <c r="AD310" i="3"/>
  <c r="Z310" i="3"/>
  <c r="AA310" i="3"/>
  <c r="P310" i="3"/>
  <c r="Q310" i="3" s="1"/>
  <c r="R310" i="3" s="1"/>
  <c r="S310" i="3" s="1"/>
  <c r="T310" i="3" l="1"/>
  <c r="AH310" i="3" s="1"/>
  <c r="U309" i="3"/>
  <c r="Y308" i="3"/>
  <c r="AG310" i="3" l="1"/>
  <c r="E310" i="3"/>
  <c r="H310" i="3" s="1"/>
  <c r="D310" i="3"/>
  <c r="K310" i="3" l="1"/>
  <c r="AE310" i="3" s="1"/>
  <c r="F310" i="3"/>
  <c r="G310" i="3"/>
  <c r="I310" i="3" l="1"/>
  <c r="J310" i="3"/>
  <c r="M310" i="3"/>
  <c r="N310" i="3" s="1"/>
  <c r="V310" i="3"/>
  <c r="A311" i="3"/>
  <c r="B311" i="3" s="1"/>
  <c r="W310" i="3" l="1"/>
  <c r="L310" i="3"/>
  <c r="AA311" i="3"/>
  <c r="Z311" i="3"/>
  <c r="P311" i="3"/>
  <c r="Q311" i="3" s="1"/>
  <c r="R311" i="3" s="1"/>
  <c r="S311" i="3" s="1"/>
  <c r="AC311" i="3"/>
  <c r="AD311" i="3"/>
  <c r="T311" i="3" l="1"/>
  <c r="AH311" i="3" s="1"/>
  <c r="U310" i="3"/>
  <c r="Y309" i="3"/>
  <c r="D311" i="3" l="1"/>
  <c r="G311" i="3" s="1"/>
  <c r="E311" i="3"/>
  <c r="H311" i="3" s="1"/>
  <c r="AG311" i="3"/>
  <c r="I311" i="3" l="1"/>
  <c r="J311" i="3"/>
  <c r="M311" i="3"/>
  <c r="N311" i="3" s="1"/>
  <c r="K311" i="3"/>
  <c r="AE311" i="3" s="1"/>
  <c r="F311" i="3"/>
  <c r="V311" i="3" l="1"/>
  <c r="W311" i="3" s="1"/>
  <c r="A312" i="3"/>
  <c r="B312" i="3" s="1"/>
  <c r="L311" i="3"/>
  <c r="U311" i="3" l="1"/>
  <c r="Y310" i="3"/>
  <c r="AA312" i="3"/>
  <c r="Z312" i="3"/>
  <c r="AD312" i="3"/>
  <c r="P312" i="3"/>
  <c r="Q312" i="3" s="1"/>
  <c r="R312" i="3" s="1"/>
  <c r="S312" i="3" s="1"/>
  <c r="AC312" i="3"/>
  <c r="T312" i="3" l="1"/>
  <c r="AG312" i="3" s="1"/>
  <c r="E312" i="3" l="1"/>
  <c r="H312" i="3" s="1"/>
  <c r="K312" i="3" s="1"/>
  <c r="AE312" i="3" s="1"/>
  <c r="D312" i="3"/>
  <c r="AH312" i="3"/>
  <c r="V312" i="3" l="1"/>
  <c r="A313" i="3"/>
  <c r="B313" i="3" s="1"/>
  <c r="F312" i="3"/>
  <c r="G312" i="3"/>
  <c r="I312" i="3" l="1"/>
  <c r="W312" i="3" s="1"/>
  <c r="J312" i="3"/>
  <c r="M312" i="3"/>
  <c r="N312" i="3" s="1"/>
  <c r="Z313" i="3"/>
  <c r="AC313" i="3"/>
  <c r="P313" i="3"/>
  <c r="Q313" i="3" s="1"/>
  <c r="R313" i="3" s="1"/>
  <c r="S313" i="3" s="1"/>
  <c r="AD313" i="3"/>
  <c r="AA313" i="3"/>
  <c r="T313" i="3" l="1"/>
  <c r="L312" i="3"/>
  <c r="AG313" i="3" l="1"/>
  <c r="AH313" i="3"/>
  <c r="U312" i="3"/>
  <c r="D313" i="3" s="1"/>
  <c r="Y311" i="3"/>
  <c r="E313" i="3" l="1"/>
  <c r="H313" i="3" s="1"/>
  <c r="K313" i="3" s="1"/>
  <c r="AE313" i="3" s="1"/>
  <c r="G313" i="3"/>
  <c r="F313" i="3" l="1"/>
  <c r="I313" i="3"/>
  <c r="J313" i="3"/>
  <c r="M313" i="3"/>
  <c r="N313" i="3" s="1"/>
  <c r="V313" i="3"/>
  <c r="A314" i="3"/>
  <c r="B314" i="3" s="1"/>
  <c r="Z314" i="3" l="1"/>
  <c r="AC314" i="3"/>
  <c r="AA314" i="3"/>
  <c r="P314" i="3"/>
  <c r="Q314" i="3" s="1"/>
  <c r="R314" i="3" s="1"/>
  <c r="S314" i="3" s="1"/>
  <c r="L313" i="3"/>
  <c r="W313" i="3"/>
  <c r="U313" i="3" l="1"/>
  <c r="Y312" i="3"/>
  <c r="T314" i="3"/>
  <c r="D314" i="3" l="1"/>
  <c r="G314" i="3" s="1"/>
  <c r="AG314" i="3"/>
  <c r="AH314" i="3"/>
  <c r="E314" i="3"/>
  <c r="H314" i="3" s="1"/>
  <c r="F314" i="3" l="1"/>
  <c r="I314" i="3"/>
  <c r="J314" i="3"/>
  <c r="AD314" i="3" s="1"/>
  <c r="M314" i="3"/>
  <c r="N314" i="3" s="1"/>
  <c r="K314" i="3"/>
  <c r="AE314" i="3" s="1"/>
  <c r="V314" i="3" l="1"/>
  <c r="W314" i="3" s="1"/>
  <c r="A315" i="3"/>
  <c r="B315" i="3" s="1"/>
  <c r="L314" i="3"/>
  <c r="U314" i="3" l="1"/>
  <c r="Y313" i="3"/>
  <c r="Z315" i="3"/>
  <c r="P315" i="3"/>
  <c r="Q315" i="3" s="1"/>
  <c r="R315" i="3" s="1"/>
  <c r="S315" i="3" s="1"/>
  <c r="AD315" i="3"/>
  <c r="AA315" i="3"/>
  <c r="AC315" i="3"/>
  <c r="T315" i="3" l="1"/>
  <c r="D315" i="3" s="1"/>
  <c r="AH315" i="3" l="1"/>
  <c r="AG315" i="3"/>
  <c r="E315" i="3"/>
  <c r="H315" i="3" s="1"/>
  <c r="K315" i="3" s="1"/>
  <c r="AE315" i="3" s="1"/>
  <c r="G315" i="3"/>
  <c r="F315" i="3" l="1"/>
  <c r="I315" i="3"/>
  <c r="J315" i="3"/>
  <c r="M315" i="3"/>
  <c r="N315" i="3" s="1"/>
  <c r="V315" i="3"/>
  <c r="A316" i="3"/>
  <c r="B316" i="3" s="1"/>
  <c r="W315" i="3" l="1"/>
  <c r="L315" i="3"/>
  <c r="Z316" i="3"/>
  <c r="AC316" i="3"/>
  <c r="P316" i="3"/>
  <c r="Q316" i="3" s="1"/>
  <c r="R316" i="3" s="1"/>
  <c r="S316" i="3" s="1"/>
  <c r="AD316" i="3"/>
  <c r="AA316" i="3"/>
  <c r="U315" i="3" l="1"/>
  <c r="Y314" i="3"/>
  <c r="T316" i="3"/>
  <c r="AG316" i="3" s="1"/>
  <c r="D316" i="3" l="1"/>
  <c r="AH316" i="3"/>
  <c r="E316" i="3"/>
  <c r="H316" i="3" s="1"/>
  <c r="F316" i="3" l="1"/>
  <c r="G316" i="3"/>
  <c r="K316" i="3"/>
  <c r="AE316" i="3" s="1"/>
  <c r="V316" i="3" l="1"/>
  <c r="A317" i="3"/>
  <c r="B317" i="3" s="1"/>
  <c r="I316" i="3"/>
  <c r="J316" i="3"/>
  <c r="M316" i="3"/>
  <c r="N316" i="3" s="1"/>
  <c r="W316" i="3" l="1"/>
  <c r="L316" i="3"/>
  <c r="Z317" i="3"/>
  <c r="AA317" i="3"/>
  <c r="P317" i="3"/>
  <c r="Q317" i="3" s="1"/>
  <c r="R317" i="3" s="1"/>
  <c r="S317" i="3" s="1"/>
  <c r="AC317" i="3"/>
  <c r="T317" i="3" l="1"/>
  <c r="AG317" i="3" s="1"/>
  <c r="U316" i="3"/>
  <c r="Y315" i="3"/>
  <c r="E317" i="3" l="1"/>
  <c r="H317" i="3" s="1"/>
  <c r="K317" i="3" s="1"/>
  <c r="AE317" i="3" s="1"/>
  <c r="D317" i="3"/>
  <c r="AH317" i="3"/>
  <c r="V317" i="3" l="1"/>
  <c r="A318" i="3"/>
  <c r="B318" i="3" s="1"/>
  <c r="F317" i="3"/>
  <c r="G317" i="3"/>
  <c r="I317" i="3" l="1"/>
  <c r="W317" i="3" s="1"/>
  <c r="J317" i="3"/>
  <c r="AD317" i="3" s="1"/>
  <c r="M317" i="3"/>
  <c r="N317" i="3" s="1"/>
  <c r="AA318" i="3"/>
  <c r="P318" i="3"/>
  <c r="Q318" i="3" s="1"/>
  <c r="R318" i="3" s="1"/>
  <c r="S318" i="3" s="1"/>
  <c r="Z318" i="3"/>
  <c r="AC318" i="3"/>
  <c r="T318" i="3" l="1"/>
  <c r="L317" i="3"/>
  <c r="AH318" i="3" l="1"/>
  <c r="AG318" i="3"/>
  <c r="U317" i="3"/>
  <c r="E318" i="3" s="1"/>
  <c r="H318" i="3" s="1"/>
  <c r="Y316" i="3"/>
  <c r="K318" i="3" l="1"/>
  <c r="AE318" i="3" s="1"/>
  <c r="D318" i="3"/>
  <c r="V318" i="3" l="1"/>
  <c r="A319" i="3"/>
  <c r="B319" i="3" s="1"/>
  <c r="F318" i="3"/>
  <c r="G318" i="3"/>
  <c r="I318" i="3" l="1"/>
  <c r="W318" i="3" s="1"/>
  <c r="J318" i="3"/>
  <c r="AD318" i="3" s="1"/>
  <c r="M318" i="3"/>
  <c r="N318" i="3" s="1"/>
  <c r="Z319" i="3"/>
  <c r="AC319" i="3"/>
  <c r="P319" i="3"/>
  <c r="Q319" i="3" s="1"/>
  <c r="R319" i="3" s="1"/>
  <c r="S319" i="3" s="1"/>
  <c r="AD319" i="3"/>
  <c r="AA319" i="3"/>
  <c r="T319" i="3" l="1"/>
  <c r="L318" i="3"/>
  <c r="U318" i="3" l="1"/>
  <c r="E319" i="3" s="1"/>
  <c r="H319" i="3" s="1"/>
  <c r="AH319" i="3"/>
  <c r="AG319" i="3"/>
  <c r="Y317" i="3"/>
  <c r="D319" i="3" l="1"/>
  <c r="G319" i="3" s="1"/>
  <c r="K319" i="3"/>
  <c r="AE319" i="3" s="1"/>
  <c r="F319" i="3" l="1"/>
  <c r="V319" i="3"/>
  <c r="A320" i="3"/>
  <c r="B320" i="3" s="1"/>
  <c r="I319" i="3"/>
  <c r="J319" i="3"/>
  <c r="M319" i="3"/>
  <c r="N319" i="3" s="1"/>
  <c r="L319" i="3" l="1"/>
  <c r="W319" i="3"/>
  <c r="AA320" i="3"/>
  <c r="AC320" i="3"/>
  <c r="P320" i="3"/>
  <c r="Q320" i="3" s="1"/>
  <c r="R320" i="3" s="1"/>
  <c r="S320" i="3" s="1"/>
  <c r="Z320" i="3"/>
  <c r="AD320" i="3"/>
  <c r="U319" i="3" l="1"/>
  <c r="Y318" i="3"/>
  <c r="T320" i="3"/>
  <c r="AH320" i="3" s="1"/>
  <c r="D320" i="3" l="1"/>
  <c r="AG320" i="3"/>
  <c r="E320" i="3"/>
  <c r="H320" i="3" s="1"/>
  <c r="F320" i="3" l="1"/>
  <c r="G320" i="3"/>
  <c r="K320" i="3"/>
  <c r="AE320" i="3" s="1"/>
  <c r="I320" i="3" l="1"/>
  <c r="J320" i="3"/>
  <c r="M320" i="3"/>
  <c r="N320" i="3" s="1"/>
  <c r="V320" i="3"/>
  <c r="A321" i="3"/>
  <c r="B321" i="3" s="1"/>
  <c r="W320" i="3" l="1"/>
  <c r="L320" i="3"/>
  <c r="AC321" i="3"/>
  <c r="AA321" i="3"/>
  <c r="Z321" i="3"/>
  <c r="P321" i="3"/>
  <c r="Q321" i="3" s="1"/>
  <c r="R321" i="3" s="1"/>
  <c r="S321" i="3" s="1"/>
  <c r="AD321" i="3"/>
  <c r="U320" i="3" l="1"/>
  <c r="Y319" i="3"/>
  <c r="T321" i="3"/>
  <c r="D321" i="3" l="1"/>
  <c r="G321" i="3" s="1"/>
  <c r="AH321" i="3"/>
  <c r="E321" i="3"/>
  <c r="H321" i="3" s="1"/>
  <c r="AG321" i="3"/>
  <c r="F321" i="3" l="1"/>
  <c r="I321" i="3"/>
  <c r="J321" i="3"/>
  <c r="M321" i="3"/>
  <c r="N321" i="3" s="1"/>
  <c r="K321" i="3"/>
  <c r="AE321" i="3" s="1"/>
  <c r="V321" i="3" l="1"/>
  <c r="W321" i="3" s="1"/>
  <c r="A322" i="3"/>
  <c r="B322" i="3" s="1"/>
  <c r="L321" i="3"/>
  <c r="U321" i="3" l="1"/>
  <c r="Y320" i="3"/>
  <c r="P322" i="3"/>
  <c r="Q322" i="3" s="1"/>
  <c r="R322" i="3" s="1"/>
  <c r="S322" i="3" s="1"/>
  <c r="Z322" i="3"/>
  <c r="AC322" i="3"/>
  <c r="AD322" i="3"/>
  <c r="AA322" i="3"/>
  <c r="T322" i="3" l="1"/>
  <c r="AH322" i="3" s="1"/>
  <c r="E322" i="3" l="1"/>
  <c r="H322" i="3" s="1"/>
  <c r="K322" i="3" s="1"/>
  <c r="AE322" i="3" s="1"/>
  <c r="AG322" i="3"/>
  <c r="D322" i="3"/>
  <c r="V322" i="3" l="1"/>
  <c r="A323" i="3"/>
  <c r="B323" i="3" s="1"/>
  <c r="F322" i="3"/>
  <c r="G322" i="3"/>
  <c r="I322" i="3" l="1"/>
  <c r="W322" i="3" s="1"/>
  <c r="J322" i="3"/>
  <c r="M322" i="3"/>
  <c r="N322" i="3" s="1"/>
  <c r="P323" i="3"/>
  <c r="Q323" i="3" s="1"/>
  <c r="R323" i="3" s="1"/>
  <c r="S323" i="3" s="1"/>
  <c r="AA323" i="3"/>
  <c r="Z323" i="3"/>
  <c r="AD323" i="3"/>
  <c r="AC323" i="3"/>
  <c r="T323" i="3" l="1"/>
  <c r="L322" i="3"/>
  <c r="AH323" i="3" l="1"/>
  <c r="U322" i="3"/>
  <c r="D323" i="3" s="1"/>
  <c r="AG323" i="3"/>
  <c r="Y321" i="3"/>
  <c r="G323" i="3" l="1"/>
  <c r="E323" i="3"/>
  <c r="H323" i="3" s="1"/>
  <c r="F323" i="3" l="1"/>
  <c r="K323" i="3"/>
  <c r="AE323" i="3" s="1"/>
  <c r="I323" i="3"/>
  <c r="J323" i="3"/>
  <c r="M323" i="3"/>
  <c r="N323" i="3" s="1"/>
  <c r="L323" i="3" l="1"/>
  <c r="V323" i="3"/>
  <c r="W323" i="3" s="1"/>
  <c r="A324" i="3"/>
  <c r="B324" i="3" s="1"/>
  <c r="U323" i="3" l="1"/>
  <c r="Y322" i="3"/>
  <c r="Z324" i="3"/>
  <c r="P324" i="3"/>
  <c r="Q324" i="3" s="1"/>
  <c r="R324" i="3" s="1"/>
  <c r="S324" i="3" s="1"/>
  <c r="AA324" i="3"/>
  <c r="AC324" i="3"/>
  <c r="T324" i="3" l="1"/>
  <c r="AG324" i="3" s="1"/>
  <c r="E324" i="3" l="1"/>
  <c r="H324" i="3" s="1"/>
  <c r="K324" i="3" s="1"/>
  <c r="AE324" i="3" s="1"/>
  <c r="AH324" i="3"/>
  <c r="D324" i="3"/>
  <c r="V324" i="3" l="1"/>
  <c r="A325" i="3"/>
  <c r="B325" i="3" s="1"/>
  <c r="F324" i="3"/>
  <c r="G324" i="3"/>
  <c r="I324" i="3" l="1"/>
  <c r="W324" i="3" s="1"/>
  <c r="J324" i="3"/>
  <c r="AD324" i="3" s="1"/>
  <c r="M324" i="3"/>
  <c r="N324" i="3" s="1"/>
  <c r="P325" i="3"/>
  <c r="Q325" i="3" s="1"/>
  <c r="R325" i="3" s="1"/>
  <c r="S325" i="3" s="1"/>
  <c r="AC325" i="3"/>
  <c r="Z325" i="3"/>
  <c r="AA325" i="3"/>
  <c r="T325" i="3" l="1"/>
  <c r="L324" i="3"/>
  <c r="AG325" i="3" l="1"/>
  <c r="U324" i="3"/>
  <c r="D325" i="3" s="1"/>
  <c r="AH325" i="3"/>
  <c r="Y323" i="3"/>
  <c r="E325" i="3" l="1"/>
  <c r="H325" i="3" s="1"/>
  <c r="K325" i="3" s="1"/>
  <c r="AE325" i="3" s="1"/>
  <c r="G325" i="3"/>
  <c r="F325" i="3" l="1"/>
  <c r="V325" i="3"/>
  <c r="A326" i="3"/>
  <c r="B326" i="3" s="1"/>
  <c r="I325" i="3"/>
  <c r="J325" i="3"/>
  <c r="AD325" i="3" s="1"/>
  <c r="M325" i="3"/>
  <c r="N325" i="3" s="1"/>
  <c r="L325" i="3" l="1"/>
  <c r="W325" i="3"/>
  <c r="P326" i="3"/>
  <c r="Q326" i="3" s="1"/>
  <c r="R326" i="3" s="1"/>
  <c r="S326" i="3" s="1"/>
  <c r="AA326" i="3"/>
  <c r="AC326" i="3"/>
  <c r="Z326" i="3"/>
  <c r="U325" i="3" l="1"/>
  <c r="Y324" i="3"/>
  <c r="T326" i="3"/>
  <c r="AH326" i="3" s="1"/>
  <c r="E326" i="3" l="1"/>
  <c r="H326" i="3" s="1"/>
  <c r="K326" i="3" s="1"/>
  <c r="AE326" i="3" s="1"/>
  <c r="AG326" i="3"/>
  <c r="D326" i="3"/>
  <c r="G326" i="3" s="1"/>
  <c r="F326" i="3" l="1"/>
  <c r="I326" i="3"/>
  <c r="J326" i="3"/>
  <c r="AD326" i="3" s="1"/>
  <c r="M326" i="3"/>
  <c r="N326" i="3" s="1"/>
  <c r="V326" i="3"/>
  <c r="A327" i="3"/>
  <c r="B327" i="3" s="1"/>
  <c r="W326" i="3" l="1"/>
  <c r="L326" i="3"/>
  <c r="Z327" i="3"/>
  <c r="AA327" i="3"/>
  <c r="P327" i="3"/>
  <c r="Q327" i="3" s="1"/>
  <c r="R327" i="3" s="1"/>
  <c r="S327" i="3" s="1"/>
  <c r="AC327" i="3"/>
  <c r="U326" i="3" l="1"/>
  <c r="Y325" i="3"/>
  <c r="T327" i="3"/>
  <c r="AH327" i="3" s="1"/>
  <c r="E327" i="3" l="1"/>
  <c r="H327" i="3" s="1"/>
  <c r="K327" i="3" s="1"/>
  <c r="AE327" i="3" s="1"/>
  <c r="D327" i="3"/>
  <c r="AG327" i="3"/>
  <c r="F327" i="3" l="1"/>
  <c r="G327" i="3"/>
  <c r="M327" i="3" s="1"/>
  <c r="N327" i="3" s="1"/>
  <c r="V327" i="3"/>
  <c r="A328" i="3"/>
  <c r="B328" i="3" s="1"/>
  <c r="I327" i="3" l="1"/>
  <c r="W327" i="3" s="1"/>
  <c r="J327" i="3"/>
  <c r="Z328" i="3"/>
  <c r="P328" i="3"/>
  <c r="Q328" i="3" s="1"/>
  <c r="R328" i="3" s="1"/>
  <c r="S328" i="3" s="1"/>
  <c r="AA328" i="3"/>
  <c r="AC328" i="3"/>
  <c r="L327" i="3" l="1"/>
  <c r="U327" i="3" s="1"/>
  <c r="AD327" i="3"/>
  <c r="T328" i="3"/>
  <c r="AG328" i="3" l="1"/>
  <c r="Y326" i="3"/>
  <c r="AH328" i="3"/>
  <c r="E328" i="3"/>
  <c r="H328" i="3" s="1"/>
  <c r="K328" i="3" s="1"/>
  <c r="AE328" i="3" s="1"/>
  <c r="D328" i="3"/>
  <c r="V328" i="3" l="1"/>
  <c r="A329" i="3"/>
  <c r="B329" i="3" s="1"/>
  <c r="F328" i="3"/>
  <c r="G328" i="3"/>
  <c r="I328" i="3" l="1"/>
  <c r="W328" i="3" s="1"/>
  <c r="J328" i="3"/>
  <c r="AD328" i="3" s="1"/>
  <c r="M328" i="3"/>
  <c r="N328" i="3" s="1"/>
  <c r="P329" i="3"/>
  <c r="Q329" i="3" s="1"/>
  <c r="R329" i="3" s="1"/>
  <c r="S329" i="3" s="1"/>
  <c r="Z329" i="3"/>
  <c r="AC329" i="3"/>
  <c r="AA329" i="3"/>
  <c r="T329" i="3" l="1"/>
  <c r="L328" i="3"/>
  <c r="AH329" i="3" l="1"/>
  <c r="U328" i="3"/>
  <c r="D329" i="3" s="1"/>
  <c r="AG329" i="3"/>
  <c r="Y327" i="3"/>
  <c r="E329" i="3" l="1"/>
  <c r="H329" i="3" s="1"/>
  <c r="K329" i="3" s="1"/>
  <c r="AE329" i="3" s="1"/>
  <c r="G329" i="3"/>
  <c r="F329" i="3" l="1"/>
  <c r="I329" i="3"/>
  <c r="J329" i="3"/>
  <c r="AD329" i="3" s="1"/>
  <c r="M329" i="3"/>
  <c r="N329" i="3" s="1"/>
  <c r="V329" i="3"/>
  <c r="A330" i="3"/>
  <c r="B330" i="3" s="1"/>
  <c r="W329" i="3" l="1"/>
  <c r="L329" i="3"/>
  <c r="AA330" i="3"/>
  <c r="AC330" i="3"/>
  <c r="P330" i="3"/>
  <c r="Q330" i="3" s="1"/>
  <c r="R330" i="3" s="1"/>
  <c r="S330" i="3" s="1"/>
  <c r="Z330" i="3"/>
  <c r="U329" i="3" l="1"/>
  <c r="Y328" i="3"/>
  <c r="T330" i="3"/>
  <c r="AH330" i="3" s="1"/>
  <c r="AG330" i="3" l="1"/>
  <c r="E330" i="3"/>
  <c r="H330" i="3" s="1"/>
  <c r="D330" i="3"/>
  <c r="K330" i="3" l="1"/>
  <c r="AE330" i="3" s="1"/>
  <c r="F330" i="3"/>
  <c r="G330" i="3"/>
  <c r="I330" i="3" l="1"/>
  <c r="J330" i="3"/>
  <c r="AD330" i="3" s="1"/>
  <c r="M330" i="3"/>
  <c r="N330" i="3" s="1"/>
  <c r="V330" i="3"/>
  <c r="A331" i="3"/>
  <c r="B331" i="3" s="1"/>
  <c r="W330" i="3" l="1"/>
  <c r="L330" i="3"/>
  <c r="P331" i="3"/>
  <c r="Q331" i="3" s="1"/>
  <c r="R331" i="3" s="1"/>
  <c r="S331" i="3" s="1"/>
  <c r="AA331" i="3"/>
  <c r="AC331" i="3"/>
  <c r="Z331" i="3"/>
  <c r="U330" i="3" l="1"/>
  <c r="Y329" i="3"/>
  <c r="T331" i="3"/>
  <c r="D331" i="3" l="1"/>
  <c r="G331" i="3" s="1"/>
  <c r="AH331" i="3"/>
  <c r="AG331" i="3"/>
  <c r="E331" i="3"/>
  <c r="H331" i="3" s="1"/>
  <c r="F331" i="3" l="1"/>
  <c r="I331" i="3"/>
  <c r="J331" i="3"/>
  <c r="AD331" i="3" s="1"/>
  <c r="M331" i="3"/>
  <c r="N331" i="3" s="1"/>
  <c r="K331" i="3"/>
  <c r="AE331" i="3" s="1"/>
  <c r="V331" i="3" l="1"/>
  <c r="W331" i="3" s="1"/>
  <c r="A332" i="3"/>
  <c r="B332" i="3" s="1"/>
  <c r="L331" i="3"/>
  <c r="U331" i="3" l="1"/>
  <c r="Y330" i="3"/>
  <c r="AA332" i="3"/>
  <c r="Z332" i="3"/>
  <c r="AC332" i="3"/>
  <c r="P332" i="3"/>
  <c r="Q332" i="3" s="1"/>
  <c r="R332" i="3" s="1"/>
  <c r="S332" i="3" s="1"/>
  <c r="T332" i="3" l="1"/>
  <c r="AG332" i="3" s="1"/>
  <c r="E332" i="3" l="1"/>
  <c r="H332" i="3" s="1"/>
  <c r="K332" i="3" s="1"/>
  <c r="AE332" i="3" s="1"/>
  <c r="D332" i="3"/>
  <c r="AH332" i="3"/>
  <c r="V332" i="3" l="1"/>
  <c r="A333" i="3"/>
  <c r="B333" i="3" s="1"/>
  <c r="F332" i="3"/>
  <c r="G332" i="3"/>
  <c r="I332" i="3" l="1"/>
  <c r="W332" i="3" s="1"/>
  <c r="J332" i="3"/>
  <c r="AD332" i="3" s="1"/>
  <c r="M332" i="3"/>
  <c r="N332" i="3" s="1"/>
  <c r="AA333" i="3"/>
  <c r="P333" i="3"/>
  <c r="Q333" i="3" s="1"/>
  <c r="R333" i="3" s="1"/>
  <c r="S333" i="3" s="1"/>
  <c r="Z333" i="3"/>
  <c r="AC333" i="3"/>
  <c r="T333" i="3" l="1"/>
  <c r="L332" i="3"/>
  <c r="AH333" i="3" l="1"/>
  <c r="AG333" i="3"/>
  <c r="U332" i="3"/>
  <c r="D333" i="3" s="1"/>
  <c r="Y331" i="3"/>
  <c r="E333" i="3" l="1"/>
  <c r="H333" i="3" s="1"/>
  <c r="K333" i="3" s="1"/>
  <c r="AE333" i="3" s="1"/>
  <c r="G333" i="3"/>
  <c r="F333" i="3" l="1"/>
  <c r="I333" i="3"/>
  <c r="J333" i="3"/>
  <c r="AD333" i="3" s="1"/>
  <c r="M333" i="3"/>
  <c r="N333" i="3" s="1"/>
  <c r="V333" i="3"/>
  <c r="A334" i="3"/>
  <c r="B334" i="3" s="1"/>
  <c r="W333" i="3" l="1"/>
  <c r="L333" i="3"/>
  <c r="AA334" i="3"/>
  <c r="P334" i="3"/>
  <c r="Q334" i="3" s="1"/>
  <c r="R334" i="3" s="1"/>
  <c r="S334" i="3" s="1"/>
  <c r="Z334" i="3"/>
  <c r="AC334" i="3"/>
  <c r="T334" i="3" l="1"/>
  <c r="AH334" i="3" s="1"/>
  <c r="U333" i="3"/>
  <c r="Y332" i="3"/>
  <c r="D334" i="3" l="1"/>
  <c r="G334" i="3" s="1"/>
  <c r="E334" i="3"/>
  <c r="H334" i="3" s="1"/>
  <c r="AG334" i="3"/>
  <c r="F334" i="3" l="1"/>
  <c r="I334" i="3"/>
  <c r="J334" i="3"/>
  <c r="AD334" i="3" s="1"/>
  <c r="M334" i="3"/>
  <c r="N334" i="3" s="1"/>
  <c r="K334" i="3"/>
  <c r="AE334" i="3" s="1"/>
  <c r="L334" i="3" l="1"/>
  <c r="V334" i="3"/>
  <c r="W334" i="3" s="1"/>
  <c r="A335" i="3"/>
  <c r="B335" i="3" s="1"/>
  <c r="U334" i="3" l="1"/>
  <c r="Y333" i="3"/>
  <c r="AC335" i="3"/>
  <c r="P335" i="3"/>
  <c r="Q335" i="3" s="1"/>
  <c r="R335" i="3" s="1"/>
  <c r="S335" i="3" s="1"/>
  <c r="AA335" i="3"/>
  <c r="Z335" i="3"/>
  <c r="T335" i="3" l="1"/>
  <c r="AG335" i="3" s="1"/>
  <c r="AH335" i="3" l="1"/>
  <c r="D335" i="3"/>
  <c r="E335" i="3"/>
  <c r="H335" i="3" s="1"/>
  <c r="F335" i="3" l="1"/>
  <c r="G335" i="3"/>
  <c r="K335" i="3"/>
  <c r="AE335" i="3" s="1"/>
  <c r="I335" i="3" l="1"/>
  <c r="J335" i="3"/>
  <c r="AD335" i="3" s="1"/>
  <c r="M335" i="3"/>
  <c r="N335" i="3" s="1"/>
  <c r="V335" i="3"/>
  <c r="A336" i="3"/>
  <c r="B336" i="3" s="1"/>
  <c r="W335" i="3" l="1"/>
  <c r="L335" i="3"/>
  <c r="AA336" i="3"/>
  <c r="P336" i="3"/>
  <c r="Q336" i="3" s="1"/>
  <c r="R336" i="3" s="1"/>
  <c r="S336" i="3" s="1"/>
  <c r="AC336" i="3"/>
  <c r="Z336" i="3"/>
  <c r="T336" i="3" l="1"/>
  <c r="AG336" i="3" s="1"/>
  <c r="U335" i="3"/>
  <c r="Y334" i="3"/>
  <c r="E336" i="3" l="1"/>
  <c r="H336" i="3" s="1"/>
  <c r="D336" i="3"/>
  <c r="AH336" i="3"/>
  <c r="K336" i="3" l="1"/>
  <c r="AE336" i="3" s="1"/>
  <c r="F336" i="3"/>
  <c r="G336" i="3"/>
  <c r="I336" i="3" l="1"/>
  <c r="J336" i="3"/>
  <c r="AD336" i="3" s="1"/>
  <c r="M336" i="3"/>
  <c r="N336" i="3" s="1"/>
  <c r="V336" i="3"/>
  <c r="A337" i="3"/>
  <c r="B337" i="3" s="1"/>
  <c r="W336" i="3" l="1"/>
  <c r="P337" i="3"/>
  <c r="Q337" i="3" s="1"/>
  <c r="R337" i="3" s="1"/>
  <c r="S337" i="3" s="1"/>
  <c r="AC337" i="3"/>
  <c r="AA337" i="3"/>
  <c r="Z337" i="3"/>
  <c r="L336" i="3"/>
  <c r="T337" i="3" l="1"/>
  <c r="U336" i="3"/>
  <c r="Y335" i="3"/>
  <c r="E337" i="3" l="1"/>
  <c r="H337" i="3" s="1"/>
  <c r="K337" i="3" s="1"/>
  <c r="AE337" i="3" s="1"/>
  <c r="AH337" i="3"/>
  <c r="AG337" i="3"/>
  <c r="D337" i="3"/>
  <c r="V337" i="3" l="1"/>
  <c r="A338" i="3"/>
  <c r="B338" i="3" s="1"/>
  <c r="F337" i="3"/>
  <c r="G337" i="3"/>
  <c r="I337" i="3" l="1"/>
  <c r="W337" i="3" s="1"/>
  <c r="J337" i="3"/>
  <c r="AD337" i="3" s="1"/>
  <c r="M337" i="3"/>
  <c r="N337" i="3" s="1"/>
  <c r="P338" i="3"/>
  <c r="Q338" i="3" s="1"/>
  <c r="R338" i="3" s="1"/>
  <c r="S338" i="3" s="1"/>
  <c r="Z338" i="3"/>
  <c r="AC338" i="3"/>
  <c r="AA338" i="3"/>
  <c r="T338" i="3" l="1"/>
  <c r="L337" i="3"/>
  <c r="AH338" i="3" l="1"/>
  <c r="U337" i="3"/>
  <c r="E338" i="3" s="1"/>
  <c r="H338" i="3" s="1"/>
  <c r="AG338" i="3"/>
  <c r="Y336" i="3"/>
  <c r="D338" i="3" l="1"/>
  <c r="F338" i="3" s="1"/>
  <c r="K338" i="3"/>
  <c r="AE338" i="3" s="1"/>
  <c r="G338" i="3" l="1"/>
  <c r="M338" i="3" s="1"/>
  <c r="N338" i="3" s="1"/>
  <c r="V338" i="3"/>
  <c r="A339" i="3"/>
  <c r="B339" i="3" s="1"/>
  <c r="I338" i="3" l="1"/>
  <c r="W338" i="3" s="1"/>
  <c r="J338" i="3"/>
  <c r="Z339" i="3"/>
  <c r="P339" i="3"/>
  <c r="Q339" i="3" s="1"/>
  <c r="R339" i="3" s="1"/>
  <c r="S339" i="3" s="1"/>
  <c r="AA339" i="3"/>
  <c r="AC339" i="3"/>
  <c r="L338" i="3" l="1"/>
  <c r="U338" i="3" s="1"/>
  <c r="AD338" i="3"/>
  <c r="T339" i="3"/>
  <c r="Y337" i="3" l="1"/>
  <c r="AG339" i="3"/>
  <c r="AH339" i="3"/>
  <c r="E339" i="3"/>
  <c r="H339" i="3" s="1"/>
  <c r="D339" i="3"/>
  <c r="K339" i="3" l="1"/>
  <c r="AE339" i="3" s="1"/>
  <c r="F339" i="3"/>
  <c r="G339" i="3"/>
  <c r="V339" i="3" l="1"/>
  <c r="A340" i="3"/>
  <c r="B340" i="3" s="1"/>
  <c r="I339" i="3"/>
  <c r="J339" i="3"/>
  <c r="AD339" i="3" s="1"/>
  <c r="M339" i="3"/>
  <c r="N339" i="3" s="1"/>
  <c r="W339" i="3" l="1"/>
  <c r="L339" i="3"/>
  <c r="Z340" i="3"/>
  <c r="P340" i="3"/>
  <c r="Q340" i="3" s="1"/>
  <c r="R340" i="3" s="1"/>
  <c r="S340" i="3" s="1"/>
  <c r="AC340" i="3"/>
  <c r="AA340" i="3"/>
  <c r="T340" i="3" l="1"/>
  <c r="U339" i="3"/>
  <c r="Y338" i="3"/>
  <c r="D340" i="3" l="1"/>
  <c r="G340" i="3" s="1"/>
  <c r="E340" i="3"/>
  <c r="H340" i="3" s="1"/>
  <c r="K340" i="3" s="1"/>
  <c r="AE340" i="3" s="1"/>
  <c r="AH340" i="3"/>
  <c r="AG340" i="3"/>
  <c r="F340" i="3" l="1"/>
  <c r="V340" i="3"/>
  <c r="A341" i="3"/>
  <c r="B341" i="3" s="1"/>
  <c r="I340" i="3"/>
  <c r="J340" i="3"/>
  <c r="AD340" i="3" s="1"/>
  <c r="M340" i="3"/>
  <c r="N340" i="3" s="1"/>
  <c r="W340" i="3" l="1"/>
  <c r="L340" i="3"/>
  <c r="Z341" i="3"/>
  <c r="P341" i="3"/>
  <c r="Q341" i="3" s="1"/>
  <c r="R341" i="3" s="1"/>
  <c r="S341" i="3" s="1"/>
  <c r="AA341" i="3"/>
  <c r="AC341" i="3"/>
  <c r="U340" i="3" l="1"/>
  <c r="Y339" i="3"/>
  <c r="T341" i="3"/>
  <c r="AG341" i="3" s="1"/>
  <c r="D341" i="3" l="1"/>
  <c r="AH341" i="3"/>
  <c r="E341" i="3"/>
  <c r="H341" i="3" s="1"/>
  <c r="F341" i="3" l="1"/>
  <c r="G341" i="3"/>
  <c r="K341" i="3"/>
  <c r="AE341" i="3" s="1"/>
  <c r="I341" i="3" l="1"/>
  <c r="J341" i="3"/>
  <c r="AD341" i="3" s="1"/>
  <c r="M341" i="3"/>
  <c r="N341" i="3" s="1"/>
  <c r="V341" i="3"/>
  <c r="A342" i="3"/>
  <c r="B342" i="3" s="1"/>
  <c r="L341" i="3" l="1"/>
  <c r="W341" i="3"/>
  <c r="Z342" i="3"/>
  <c r="P342" i="3"/>
  <c r="Q342" i="3" s="1"/>
  <c r="R342" i="3" s="1"/>
  <c r="S342" i="3" s="1"/>
  <c r="AA342" i="3"/>
  <c r="AC342" i="3"/>
  <c r="U341" i="3" l="1"/>
  <c r="Y340" i="3"/>
  <c r="T342" i="3"/>
  <c r="D342" i="3" l="1"/>
  <c r="G342" i="3" s="1"/>
  <c r="AH342" i="3"/>
  <c r="E342" i="3"/>
  <c r="H342" i="3" s="1"/>
  <c r="AG342" i="3"/>
  <c r="F342" i="3" l="1"/>
  <c r="I342" i="3"/>
  <c r="J342" i="3"/>
  <c r="AD342" i="3" s="1"/>
  <c r="M342" i="3"/>
  <c r="N342" i="3" s="1"/>
  <c r="K342" i="3"/>
  <c r="AE342" i="3" s="1"/>
  <c r="V342" i="3" l="1"/>
  <c r="W342" i="3" s="1"/>
  <c r="A343" i="3"/>
  <c r="B343" i="3" s="1"/>
  <c r="L342" i="3"/>
  <c r="U342" i="3" l="1"/>
  <c r="Y341" i="3"/>
  <c r="P343" i="3"/>
  <c r="Q343" i="3" s="1"/>
  <c r="R343" i="3" s="1"/>
  <c r="S343" i="3" s="1"/>
  <c r="AA343" i="3"/>
  <c r="Z343" i="3"/>
  <c r="AC343" i="3"/>
  <c r="T343" i="3" l="1"/>
  <c r="D343" i="3" s="1"/>
  <c r="E343" i="3" l="1"/>
  <c r="H343" i="3" s="1"/>
  <c r="K343" i="3" s="1"/>
  <c r="AE343" i="3" s="1"/>
  <c r="G343" i="3"/>
  <c r="AG343" i="3"/>
  <c r="AH343" i="3"/>
  <c r="F343" i="3" l="1"/>
  <c r="I343" i="3"/>
  <c r="J343" i="3"/>
  <c r="AD343" i="3" s="1"/>
  <c r="M343" i="3"/>
  <c r="N343" i="3" s="1"/>
  <c r="V343" i="3"/>
  <c r="A344" i="3"/>
  <c r="B344" i="3" s="1"/>
  <c r="W343" i="3" l="1"/>
  <c r="L343" i="3"/>
  <c r="AA344" i="3"/>
  <c r="Z344" i="3"/>
  <c r="P344" i="3"/>
  <c r="Q344" i="3" s="1"/>
  <c r="R344" i="3" s="1"/>
  <c r="S344" i="3" s="1"/>
  <c r="AC344" i="3"/>
  <c r="U343" i="3" l="1"/>
  <c r="Y342" i="3"/>
  <c r="T344" i="3"/>
  <c r="AH344" i="3" s="1"/>
  <c r="AG344" i="3" l="1"/>
  <c r="E344" i="3"/>
  <c r="H344" i="3" s="1"/>
  <c r="D344" i="3"/>
  <c r="F344" i="3" l="1"/>
  <c r="G344" i="3"/>
  <c r="K344" i="3"/>
  <c r="AE344" i="3" s="1"/>
  <c r="I344" i="3" l="1"/>
  <c r="J344" i="3"/>
  <c r="AD344" i="3" s="1"/>
  <c r="M344" i="3"/>
  <c r="N344" i="3" s="1"/>
  <c r="V344" i="3"/>
  <c r="A345" i="3"/>
  <c r="B345" i="3" s="1"/>
  <c r="W344" i="3" l="1"/>
  <c r="P345" i="3"/>
  <c r="Q345" i="3" s="1"/>
  <c r="R345" i="3" s="1"/>
  <c r="S345" i="3" s="1"/>
  <c r="Z345" i="3"/>
  <c r="AC345" i="3"/>
  <c r="AA345" i="3"/>
  <c r="L344" i="3"/>
  <c r="T345" i="3" l="1"/>
  <c r="U344" i="3"/>
  <c r="Y343" i="3"/>
  <c r="E345" i="3" l="1"/>
  <c r="H345" i="3" s="1"/>
  <c r="K345" i="3" s="1"/>
  <c r="AE345" i="3" s="1"/>
  <c r="AH345" i="3"/>
  <c r="D345" i="3"/>
  <c r="AG345" i="3"/>
  <c r="F345" i="3" l="1"/>
  <c r="G345" i="3"/>
  <c r="V345" i="3"/>
  <c r="A346" i="3"/>
  <c r="B346" i="3" s="1"/>
  <c r="AC346" i="3" l="1"/>
  <c r="P346" i="3"/>
  <c r="Q346" i="3" s="1"/>
  <c r="R346" i="3" s="1"/>
  <c r="S346" i="3" s="1"/>
  <c r="AA346" i="3"/>
  <c r="Z346" i="3"/>
  <c r="I345" i="3"/>
  <c r="W345" i="3" s="1"/>
  <c r="J345" i="3"/>
  <c r="AD345" i="3" s="1"/>
  <c r="M345" i="3"/>
  <c r="N345" i="3" s="1"/>
  <c r="L345" i="3" l="1"/>
  <c r="T346" i="3"/>
  <c r="AH346" i="3" l="1"/>
  <c r="AG346" i="3"/>
  <c r="U345" i="3"/>
  <c r="D346" i="3" s="1"/>
  <c r="Y344" i="3"/>
  <c r="G346" i="3" l="1"/>
  <c r="E346" i="3"/>
  <c r="H346" i="3" s="1"/>
  <c r="F346" i="3" l="1"/>
  <c r="I346" i="3"/>
  <c r="J346" i="3"/>
  <c r="AD346" i="3" s="1"/>
  <c r="M346" i="3"/>
  <c r="N346" i="3" s="1"/>
  <c r="K346" i="3"/>
  <c r="AE346" i="3" s="1"/>
  <c r="V346" i="3" l="1"/>
  <c r="W346" i="3" s="1"/>
  <c r="A347" i="3"/>
  <c r="B347" i="3" s="1"/>
  <c r="L346" i="3"/>
  <c r="U346" i="3" l="1"/>
  <c r="Y345" i="3"/>
  <c r="AC347" i="3"/>
  <c r="Z347" i="3"/>
  <c r="AA347" i="3"/>
  <c r="P347" i="3"/>
  <c r="Q347" i="3" s="1"/>
  <c r="R347" i="3" s="1"/>
  <c r="S347" i="3" s="1"/>
  <c r="T347" i="3" l="1"/>
  <c r="E347" i="3" s="1"/>
  <c r="H347" i="3" s="1"/>
  <c r="K347" i="3" l="1"/>
  <c r="AE347" i="3" s="1"/>
  <c r="AH347" i="3"/>
  <c r="AG347" i="3"/>
  <c r="D347" i="3"/>
  <c r="F347" i="3" l="1"/>
  <c r="G347" i="3"/>
  <c r="V347" i="3"/>
  <c r="A348" i="3"/>
  <c r="B348" i="3" s="1"/>
  <c r="I347" i="3" l="1"/>
  <c r="W347" i="3" s="1"/>
  <c r="J347" i="3"/>
  <c r="AD347" i="3" s="1"/>
  <c r="M347" i="3"/>
  <c r="N347" i="3" s="1"/>
  <c r="AC348" i="3"/>
  <c r="AA348" i="3"/>
  <c r="P348" i="3"/>
  <c r="Q348" i="3" s="1"/>
  <c r="R348" i="3" s="1"/>
  <c r="S348" i="3" s="1"/>
  <c r="Z348" i="3"/>
  <c r="L347" i="3" l="1"/>
  <c r="T348" i="3"/>
  <c r="U347" i="3" l="1"/>
  <c r="D348" i="3" s="1"/>
  <c r="AH348" i="3"/>
  <c r="AG348" i="3"/>
  <c r="Y346" i="3"/>
  <c r="E348" i="3" l="1"/>
  <c r="H348" i="3" s="1"/>
  <c r="K348" i="3" s="1"/>
  <c r="AE348" i="3" s="1"/>
  <c r="G348" i="3"/>
  <c r="F348" i="3" l="1"/>
  <c r="I348" i="3"/>
  <c r="J348" i="3"/>
  <c r="AD348" i="3" s="1"/>
  <c r="M348" i="3"/>
  <c r="N348" i="3" s="1"/>
  <c r="V348" i="3"/>
  <c r="A349" i="3"/>
  <c r="B349" i="3" s="1"/>
  <c r="W348" i="3" l="1"/>
  <c r="L348" i="3"/>
  <c r="AC349" i="3"/>
  <c r="P349" i="3"/>
  <c r="Q349" i="3" s="1"/>
  <c r="R349" i="3" s="1"/>
  <c r="S349" i="3" s="1"/>
  <c r="AA349" i="3"/>
  <c r="Z349" i="3"/>
  <c r="U348" i="3" l="1"/>
  <c r="Y347" i="3"/>
  <c r="T349" i="3"/>
  <c r="AG349" i="3" s="1"/>
  <c r="E349" i="3" l="1"/>
  <c r="H349" i="3" s="1"/>
  <c r="K349" i="3" s="1"/>
  <c r="AE349" i="3" s="1"/>
  <c r="D349" i="3"/>
  <c r="AH349" i="3"/>
  <c r="V349" i="3" l="1"/>
  <c r="A350" i="3"/>
  <c r="B350" i="3" s="1"/>
  <c r="F349" i="3"/>
  <c r="G349" i="3"/>
  <c r="I349" i="3" l="1"/>
  <c r="W349" i="3" s="1"/>
  <c r="J349" i="3"/>
  <c r="AD349" i="3" s="1"/>
  <c r="M349" i="3"/>
  <c r="N349" i="3" s="1"/>
  <c r="P350" i="3"/>
  <c r="Q350" i="3" s="1"/>
  <c r="R350" i="3" s="1"/>
  <c r="S350" i="3" s="1"/>
  <c r="Z350" i="3"/>
  <c r="AC350" i="3"/>
  <c r="AA350" i="3"/>
  <c r="T350" i="3" l="1"/>
  <c r="L349" i="3"/>
  <c r="U349" i="3" l="1"/>
  <c r="D350" i="3" s="1"/>
  <c r="AG350" i="3"/>
  <c r="AH350" i="3"/>
  <c r="Y348" i="3"/>
  <c r="E350" i="3" l="1"/>
  <c r="H350" i="3" s="1"/>
  <c r="K350" i="3" s="1"/>
  <c r="AE350" i="3" s="1"/>
  <c r="G350" i="3"/>
  <c r="F350" i="3" l="1"/>
  <c r="V350" i="3"/>
  <c r="A351" i="3"/>
  <c r="B351" i="3" s="1"/>
  <c r="I350" i="3"/>
  <c r="J350" i="3"/>
  <c r="AD350" i="3" s="1"/>
  <c r="M350" i="3"/>
  <c r="N350" i="3" s="1"/>
  <c r="W350" i="3" l="1"/>
  <c r="L350" i="3"/>
  <c r="AA351" i="3"/>
  <c r="P351" i="3"/>
  <c r="Q351" i="3" s="1"/>
  <c r="R351" i="3" s="1"/>
  <c r="S351" i="3" s="1"/>
  <c r="Z351" i="3"/>
  <c r="AC351" i="3"/>
  <c r="U350" i="3" l="1"/>
  <c r="Y349" i="3"/>
  <c r="T351" i="3"/>
  <c r="D351" i="3" l="1"/>
  <c r="G351" i="3" s="1"/>
  <c r="AH351" i="3"/>
  <c r="E351" i="3"/>
  <c r="H351" i="3" s="1"/>
  <c r="K351" i="3" s="1"/>
  <c r="AE351" i="3" s="1"/>
  <c r="AG351" i="3"/>
  <c r="F351" i="3" l="1"/>
  <c r="V351" i="3"/>
  <c r="A352" i="3"/>
  <c r="B352" i="3" s="1"/>
  <c r="I351" i="3"/>
  <c r="J351" i="3"/>
  <c r="AD351" i="3" s="1"/>
  <c r="M351" i="3"/>
  <c r="N351" i="3" s="1"/>
  <c r="L351" i="3" l="1"/>
  <c r="W351" i="3"/>
  <c r="AC352" i="3"/>
  <c r="P352" i="3"/>
  <c r="Q352" i="3" s="1"/>
  <c r="R352" i="3" s="1"/>
  <c r="S352" i="3" s="1"/>
  <c r="AA352" i="3"/>
  <c r="Z352" i="3"/>
  <c r="U351" i="3" l="1"/>
  <c r="Y350" i="3"/>
  <c r="T352" i="3"/>
  <c r="E352" i="3" l="1"/>
  <c r="H352" i="3" s="1"/>
  <c r="K352" i="3" s="1"/>
  <c r="AE352" i="3" s="1"/>
  <c r="AH352" i="3"/>
  <c r="D352" i="3"/>
  <c r="AG352" i="3"/>
  <c r="F352" i="3" l="1"/>
  <c r="G352" i="3"/>
  <c r="V352" i="3"/>
  <c r="A353" i="3"/>
  <c r="B353" i="3" s="1"/>
  <c r="AC353" i="3" l="1"/>
  <c r="AA353" i="3"/>
  <c r="P353" i="3"/>
  <c r="Q353" i="3" s="1"/>
  <c r="R353" i="3" s="1"/>
  <c r="S353" i="3" s="1"/>
  <c r="Z353" i="3"/>
  <c r="I352" i="3"/>
  <c r="W352" i="3" s="1"/>
  <c r="J352" i="3"/>
  <c r="AD352" i="3" s="1"/>
  <c r="M352" i="3"/>
  <c r="N352" i="3" s="1"/>
  <c r="T353" i="3" l="1"/>
  <c r="L352" i="3"/>
  <c r="U352" i="3" l="1"/>
  <c r="D353" i="3" s="1"/>
  <c r="AH353" i="3"/>
  <c r="AG353" i="3"/>
  <c r="Y351" i="3"/>
  <c r="E353" i="3" l="1"/>
  <c r="H353" i="3" s="1"/>
  <c r="K353" i="3" s="1"/>
  <c r="AE353" i="3" s="1"/>
  <c r="G353" i="3"/>
  <c r="F353" i="3" l="1"/>
  <c r="I353" i="3"/>
  <c r="J353" i="3"/>
  <c r="AD353" i="3" s="1"/>
  <c r="M353" i="3"/>
  <c r="N353" i="3" s="1"/>
  <c r="V353" i="3"/>
  <c r="A354" i="3"/>
  <c r="B354" i="3" s="1"/>
  <c r="W353" i="3" l="1"/>
  <c r="L353" i="3"/>
  <c r="P354" i="3"/>
  <c r="Q354" i="3" s="1"/>
  <c r="R354" i="3" s="1"/>
  <c r="S354" i="3" s="1"/>
  <c r="AC354" i="3"/>
  <c r="Z354" i="3"/>
  <c r="AA354" i="3"/>
  <c r="U353" i="3" l="1"/>
  <c r="Y352" i="3"/>
  <c r="T354" i="3"/>
  <c r="AG354" i="3" s="1"/>
  <c r="D354" i="3" l="1"/>
  <c r="AH354" i="3"/>
  <c r="E354" i="3"/>
  <c r="H354" i="3" s="1"/>
  <c r="F354" i="3" l="1"/>
  <c r="G354" i="3"/>
  <c r="K354" i="3"/>
  <c r="AE354" i="3" s="1"/>
  <c r="V354" i="3" l="1"/>
  <c r="A355" i="3"/>
  <c r="B355" i="3" s="1"/>
  <c r="I354" i="3"/>
  <c r="J354" i="3"/>
  <c r="AD354" i="3" s="1"/>
  <c r="M354" i="3"/>
  <c r="N354" i="3" s="1"/>
  <c r="W354" i="3" l="1"/>
  <c r="L354" i="3"/>
  <c r="AA355" i="3"/>
  <c r="AC355" i="3"/>
  <c r="Z355" i="3"/>
  <c r="P355" i="3"/>
  <c r="Q355" i="3" s="1"/>
  <c r="R355" i="3" s="1"/>
  <c r="S355" i="3" s="1"/>
  <c r="T355" i="3" l="1"/>
  <c r="U354" i="3"/>
  <c r="Y353" i="3"/>
  <c r="D355" i="3" l="1"/>
  <c r="G355" i="3" s="1"/>
  <c r="AG355" i="3"/>
  <c r="E355" i="3"/>
  <c r="H355" i="3" s="1"/>
  <c r="K355" i="3" s="1"/>
  <c r="AE355" i="3" s="1"/>
  <c r="AH355" i="3"/>
  <c r="F355" i="3" l="1"/>
  <c r="V355" i="3"/>
  <c r="A356" i="3"/>
  <c r="B356" i="3" s="1"/>
  <c r="I355" i="3"/>
  <c r="J355" i="3"/>
  <c r="AD355" i="3" s="1"/>
  <c r="M355" i="3"/>
  <c r="N355" i="3" s="1"/>
  <c r="W355" i="3" l="1"/>
  <c r="L355" i="3"/>
  <c r="P356" i="3"/>
  <c r="Q356" i="3" s="1"/>
  <c r="R356" i="3" s="1"/>
  <c r="S356" i="3" s="1"/>
  <c r="AA356" i="3"/>
  <c r="Z356" i="3"/>
  <c r="AC356" i="3"/>
  <c r="U355" i="3" l="1"/>
  <c r="Y354" i="3"/>
  <c r="T356" i="3"/>
  <c r="AG356" i="3" s="1"/>
  <c r="AH356" i="3" l="1"/>
  <c r="D356" i="3"/>
  <c r="E356" i="3"/>
  <c r="H356" i="3" s="1"/>
  <c r="K356" i="3" s="1"/>
  <c r="AE356" i="3" s="1"/>
  <c r="F356" i="3" l="1"/>
  <c r="G356" i="3"/>
  <c r="M356" i="3" s="1"/>
  <c r="N356" i="3" s="1"/>
  <c r="V356" i="3"/>
  <c r="A357" i="3"/>
  <c r="B357" i="3" s="1"/>
  <c r="I356" i="3" l="1"/>
  <c r="W356" i="3" s="1"/>
  <c r="J356" i="3"/>
  <c r="Z357" i="3"/>
  <c r="P357" i="3"/>
  <c r="Q357" i="3" s="1"/>
  <c r="R357" i="3" s="1"/>
  <c r="S357" i="3" s="1"/>
  <c r="AC357" i="3"/>
  <c r="AA357" i="3"/>
  <c r="L356" i="3" l="1"/>
  <c r="U356" i="3" s="1"/>
  <c r="AD356" i="3"/>
  <c r="T357" i="3"/>
  <c r="Y355" i="3" l="1"/>
  <c r="AG357" i="3"/>
  <c r="AH357" i="3"/>
  <c r="E357" i="3"/>
  <c r="H357" i="3" s="1"/>
  <c r="D357" i="3"/>
  <c r="F357" i="3" l="1"/>
  <c r="G357" i="3"/>
  <c r="K357" i="3"/>
  <c r="AE357" i="3" s="1"/>
  <c r="V357" i="3" l="1"/>
  <c r="A358" i="3"/>
  <c r="B358" i="3" s="1"/>
  <c r="I357" i="3"/>
  <c r="J357" i="3"/>
  <c r="AD357" i="3" s="1"/>
  <c r="M357" i="3"/>
  <c r="N357" i="3" s="1"/>
  <c r="W357" i="3" l="1"/>
  <c r="L357" i="3"/>
  <c r="P358" i="3"/>
  <c r="Q358" i="3" s="1"/>
  <c r="R358" i="3" s="1"/>
  <c r="S358" i="3" s="1"/>
  <c r="Z358" i="3"/>
  <c r="AA358" i="3"/>
  <c r="AC358" i="3"/>
  <c r="T358" i="3" l="1"/>
  <c r="AH358" i="3" s="1"/>
  <c r="U357" i="3"/>
  <c r="Y356" i="3"/>
  <c r="D358" i="3" l="1"/>
  <c r="G358" i="3" s="1"/>
  <c r="E358" i="3"/>
  <c r="H358" i="3" s="1"/>
  <c r="AG358" i="3"/>
  <c r="I358" i="3" l="1"/>
  <c r="J358" i="3"/>
  <c r="AD358" i="3" s="1"/>
  <c r="M358" i="3"/>
  <c r="N358" i="3" s="1"/>
  <c r="F358" i="3"/>
  <c r="K358" i="3"/>
  <c r="AE358" i="3" s="1"/>
  <c r="V358" i="3" l="1"/>
  <c r="W358" i="3" s="1"/>
  <c r="A359" i="3"/>
  <c r="B359" i="3" s="1"/>
  <c r="L358" i="3"/>
  <c r="U358" i="3" l="1"/>
  <c r="Y357" i="3"/>
  <c r="P359" i="3"/>
  <c r="Q359" i="3" s="1"/>
  <c r="R359" i="3" s="1"/>
  <c r="S359" i="3" s="1"/>
  <c r="AC359" i="3"/>
  <c r="AA359" i="3"/>
  <c r="Z359" i="3"/>
  <c r="T359" i="3" l="1"/>
  <c r="AG359" i="3" s="1"/>
  <c r="AH359" i="3" l="1"/>
  <c r="E359" i="3"/>
  <c r="H359" i="3" s="1"/>
  <c r="D359" i="3"/>
  <c r="K359" i="3" l="1"/>
  <c r="AE359" i="3" s="1"/>
  <c r="F359" i="3"/>
  <c r="G359" i="3"/>
  <c r="I359" i="3" l="1"/>
  <c r="J359" i="3"/>
  <c r="AD359" i="3" s="1"/>
  <c r="M359" i="3"/>
  <c r="N359" i="3" s="1"/>
  <c r="V359" i="3"/>
  <c r="A360" i="3"/>
  <c r="B360" i="3" s="1"/>
  <c r="W359" i="3" l="1"/>
  <c r="L359" i="3"/>
  <c r="AC360" i="3"/>
  <c r="AA360" i="3"/>
  <c r="P360" i="3"/>
  <c r="Q360" i="3" s="1"/>
  <c r="R360" i="3" s="1"/>
  <c r="S360" i="3" s="1"/>
  <c r="Z360" i="3"/>
  <c r="T360" i="3" l="1"/>
  <c r="AH360" i="3" s="1"/>
  <c r="U359" i="3"/>
  <c r="Y358" i="3"/>
  <c r="E360" i="3" l="1"/>
  <c r="H360" i="3" s="1"/>
  <c r="K360" i="3" s="1"/>
  <c r="AE360" i="3" s="1"/>
  <c r="AG360" i="3"/>
  <c r="D360" i="3"/>
  <c r="F360" i="3" l="1"/>
  <c r="G360" i="3"/>
  <c r="V360" i="3"/>
  <c r="A361" i="3"/>
  <c r="B361" i="3" s="1"/>
  <c r="Z361" i="3" l="1"/>
  <c r="P361" i="3"/>
  <c r="Q361" i="3" s="1"/>
  <c r="R361" i="3" s="1"/>
  <c r="S361" i="3" s="1"/>
  <c r="AC361" i="3"/>
  <c r="AA361" i="3"/>
  <c r="I360" i="3"/>
  <c r="W360" i="3" s="1"/>
  <c r="J360" i="3"/>
  <c r="AD360" i="3" s="1"/>
  <c r="M360" i="3"/>
  <c r="N360" i="3" s="1"/>
  <c r="T361" i="3" l="1"/>
  <c r="L360" i="3"/>
  <c r="AG361" i="3" l="1"/>
  <c r="AH361" i="3"/>
  <c r="U360" i="3"/>
  <c r="E361" i="3" s="1"/>
  <c r="H361" i="3" s="1"/>
  <c r="Y359" i="3"/>
  <c r="D361" i="3" l="1"/>
  <c r="G361" i="3" s="1"/>
  <c r="K361" i="3"/>
  <c r="AE361" i="3" s="1"/>
  <c r="F361" i="3" l="1"/>
  <c r="I361" i="3"/>
  <c r="J361" i="3"/>
  <c r="AD361" i="3" s="1"/>
  <c r="M361" i="3"/>
  <c r="N361" i="3" s="1"/>
  <c r="V361" i="3"/>
  <c r="A362" i="3"/>
  <c r="B362" i="3" s="1"/>
  <c r="W361" i="3" l="1"/>
  <c r="L361" i="3"/>
  <c r="AC362" i="3"/>
  <c r="Z362" i="3"/>
  <c r="P362" i="3"/>
  <c r="Q362" i="3" s="1"/>
  <c r="R362" i="3" s="1"/>
  <c r="S362" i="3" s="1"/>
  <c r="AA362" i="3"/>
  <c r="U361" i="3" l="1"/>
  <c r="Y360" i="3"/>
  <c r="T362" i="3"/>
  <c r="AH362" i="3" s="1"/>
  <c r="D362" i="3" l="1"/>
  <c r="G362" i="3" s="1"/>
  <c r="E362" i="3"/>
  <c r="H362" i="3" s="1"/>
  <c r="K362" i="3" s="1"/>
  <c r="AE362" i="3" s="1"/>
  <c r="AG362" i="3"/>
  <c r="F362" i="3" l="1"/>
  <c r="I362" i="3"/>
  <c r="J362" i="3"/>
  <c r="AD362" i="3" s="1"/>
  <c r="M362" i="3"/>
  <c r="N362" i="3" s="1"/>
  <c r="V362" i="3"/>
  <c r="A363" i="3"/>
  <c r="B363" i="3" s="1"/>
  <c r="W362" i="3" l="1"/>
  <c r="L362" i="3"/>
  <c r="P363" i="3"/>
  <c r="Q363" i="3" s="1"/>
  <c r="R363" i="3" s="1"/>
  <c r="S363" i="3" s="1"/>
  <c r="AA363" i="3"/>
  <c r="Z363" i="3"/>
  <c r="AC363" i="3"/>
  <c r="T363" i="3" l="1"/>
  <c r="U362" i="3"/>
  <c r="Y361" i="3"/>
  <c r="E363" i="3" l="1"/>
  <c r="H363" i="3" s="1"/>
  <c r="K363" i="3" s="1"/>
  <c r="AE363" i="3" s="1"/>
  <c r="AH363" i="3"/>
  <c r="D363" i="3"/>
  <c r="AG363" i="3"/>
  <c r="F363" i="3" l="1"/>
  <c r="G363" i="3"/>
  <c r="M363" i="3" s="1"/>
  <c r="N363" i="3" s="1"/>
  <c r="V363" i="3"/>
  <c r="A364" i="3"/>
  <c r="B364" i="3" s="1"/>
  <c r="I363" i="3" l="1"/>
  <c r="W363" i="3" s="1"/>
  <c r="J363" i="3"/>
  <c r="P364" i="3"/>
  <c r="Q364" i="3" s="1"/>
  <c r="R364" i="3" s="1"/>
  <c r="S364" i="3" s="1"/>
  <c r="Z364" i="3"/>
  <c r="AC364" i="3"/>
  <c r="AA364" i="3"/>
  <c r="L363" i="3" l="1"/>
  <c r="U363" i="3" s="1"/>
  <c r="AD363" i="3"/>
  <c r="T364" i="3"/>
  <c r="Y362" i="3" l="1"/>
  <c r="D364" i="3"/>
  <c r="G364" i="3" s="1"/>
  <c r="E364" i="3"/>
  <c r="H364" i="3" s="1"/>
  <c r="K364" i="3" s="1"/>
  <c r="AE364" i="3" s="1"/>
  <c r="AG364" i="3"/>
  <c r="AH364" i="3"/>
  <c r="F364" i="3" l="1"/>
  <c r="V364" i="3"/>
  <c r="A365" i="3"/>
  <c r="B365" i="3" s="1"/>
  <c r="I364" i="3"/>
  <c r="J364" i="3"/>
  <c r="AD364" i="3" s="1"/>
  <c r="M364" i="3"/>
  <c r="N364" i="3" s="1"/>
  <c r="W364" i="3" l="1"/>
  <c r="L364" i="3"/>
  <c r="AC365" i="3"/>
  <c r="P365" i="3"/>
  <c r="Q365" i="3" s="1"/>
  <c r="R365" i="3" s="1"/>
  <c r="S365" i="3" s="1"/>
  <c r="AA365" i="3"/>
  <c r="AD365" i="3"/>
  <c r="Z365" i="3"/>
  <c r="U364" i="3" l="1"/>
  <c r="Y363" i="3"/>
  <c r="T365" i="3"/>
  <c r="AH365" i="3" s="1"/>
  <c r="D365" i="3" l="1"/>
  <c r="G365" i="3" s="1"/>
  <c r="AG365" i="3"/>
  <c r="E365" i="3"/>
  <c r="H365" i="3" s="1"/>
  <c r="K365" i="3" s="1"/>
  <c r="AE365" i="3" s="1"/>
  <c r="F365" i="3" l="1"/>
  <c r="I365" i="3"/>
  <c r="J365" i="3"/>
  <c r="M365" i="3"/>
  <c r="N365" i="3" s="1"/>
  <c r="V365" i="3"/>
  <c r="A366" i="3"/>
  <c r="B366" i="3" s="1"/>
  <c r="W365" i="3" l="1"/>
  <c r="L365" i="3"/>
  <c r="AC366" i="3"/>
  <c r="AD366" i="3"/>
  <c r="P366" i="3"/>
  <c r="Q366" i="3" s="1"/>
  <c r="R366" i="3" s="1"/>
  <c r="S366" i="3" s="1"/>
  <c r="AA366" i="3"/>
  <c r="Z366" i="3"/>
  <c r="U365" i="3" l="1"/>
  <c r="Y364" i="3"/>
  <c r="T366" i="3"/>
  <c r="E366" i="3" l="1"/>
  <c r="H366" i="3" s="1"/>
  <c r="K366" i="3" s="1"/>
  <c r="AE366" i="3" s="1"/>
  <c r="AH366" i="3"/>
  <c r="D366" i="3"/>
  <c r="G366" i="3" s="1"/>
  <c r="AG366" i="3"/>
  <c r="F366" i="3" l="1"/>
  <c r="V366" i="3"/>
  <c r="A367" i="3"/>
  <c r="B367" i="3" s="1"/>
  <c r="I366" i="3"/>
  <c r="J366" i="3"/>
  <c r="M366" i="3"/>
  <c r="N366" i="3" s="1"/>
  <c r="W366" i="3" l="1"/>
  <c r="L366" i="3"/>
  <c r="Z367" i="3"/>
  <c r="P367" i="3"/>
  <c r="Q367" i="3" s="1"/>
  <c r="R367" i="3" s="1"/>
  <c r="S367" i="3" s="1"/>
  <c r="AC367" i="3"/>
  <c r="AA367" i="3"/>
  <c r="T367" i="3" l="1"/>
  <c r="AG367" i="3" s="1"/>
  <c r="U366" i="3"/>
  <c r="Y365" i="3"/>
  <c r="D367" i="3" l="1"/>
  <c r="AH367" i="3"/>
  <c r="E367" i="3"/>
  <c r="H367" i="3" s="1"/>
  <c r="F367" i="3" l="1"/>
  <c r="G367" i="3"/>
  <c r="K367" i="3"/>
  <c r="AE367" i="3" s="1"/>
  <c r="I367" i="3" l="1"/>
  <c r="J367" i="3"/>
  <c r="AD367" i="3" s="1"/>
  <c r="M367" i="3"/>
  <c r="N367" i="3" s="1"/>
  <c r="V367" i="3"/>
  <c r="A368" i="3"/>
  <c r="B368" i="3" s="1"/>
  <c r="L367" i="3" l="1"/>
  <c r="W367" i="3"/>
  <c r="Z368" i="3"/>
  <c r="P368" i="3"/>
  <c r="Q368" i="3" s="1"/>
  <c r="R368" i="3" s="1"/>
  <c r="S368" i="3" s="1"/>
  <c r="AC368" i="3"/>
  <c r="AA368" i="3"/>
  <c r="T368" i="3" l="1"/>
  <c r="AH368" i="3" s="1"/>
  <c r="U367" i="3"/>
  <c r="Y366" i="3"/>
  <c r="E368" i="3" l="1"/>
  <c r="H368" i="3" s="1"/>
  <c r="K368" i="3" s="1"/>
  <c r="AE368" i="3" s="1"/>
  <c r="D368" i="3"/>
  <c r="AG368" i="3"/>
  <c r="V368" i="3" l="1"/>
  <c r="A369" i="3"/>
  <c r="B369" i="3" s="1"/>
  <c r="F368" i="3"/>
  <c r="G368" i="3"/>
  <c r="I368" i="3" l="1"/>
  <c r="W368" i="3" s="1"/>
  <c r="J368" i="3"/>
  <c r="AD368" i="3" s="1"/>
  <c r="M368" i="3"/>
  <c r="N368" i="3" s="1"/>
  <c r="AD369" i="3"/>
  <c r="Z369" i="3"/>
  <c r="AC369" i="3"/>
  <c r="P369" i="3"/>
  <c r="Q369" i="3" s="1"/>
  <c r="R369" i="3" s="1"/>
  <c r="S369" i="3" s="1"/>
  <c r="AA369" i="3"/>
  <c r="T369" i="3" l="1"/>
  <c r="L368" i="3"/>
  <c r="AH369" i="3" l="1"/>
  <c r="AG369" i="3"/>
  <c r="U368" i="3"/>
  <c r="E369" i="3" s="1"/>
  <c r="H369" i="3" s="1"/>
  <c r="Y367" i="3"/>
  <c r="D369" i="3" l="1"/>
  <c r="F369" i="3" s="1"/>
  <c r="K369" i="3"/>
  <c r="AE369" i="3" s="1"/>
  <c r="G369" i="3" l="1"/>
  <c r="M369" i="3" s="1"/>
  <c r="N369" i="3" s="1"/>
  <c r="V369" i="3"/>
  <c r="A370" i="3"/>
  <c r="B370" i="3" s="1"/>
  <c r="J369" i="3" l="1"/>
  <c r="L369" i="3" s="1"/>
  <c r="I369" i="3"/>
  <c r="W369" i="3" s="1"/>
  <c r="AD370" i="3"/>
  <c r="AA370" i="3"/>
  <c r="P370" i="3"/>
  <c r="Q370" i="3" s="1"/>
  <c r="R370" i="3" s="1"/>
  <c r="S370" i="3" s="1"/>
  <c r="AC370" i="3"/>
  <c r="Z370" i="3"/>
  <c r="U369" i="3" l="1"/>
  <c r="Y368" i="3"/>
  <c r="T370" i="3"/>
  <c r="AG370" i="3" s="1"/>
  <c r="E370" i="3" l="1"/>
  <c r="H370" i="3" s="1"/>
  <c r="K370" i="3" s="1"/>
  <c r="AE370" i="3" s="1"/>
  <c r="AH370" i="3"/>
  <c r="D370" i="3"/>
  <c r="F370" i="3" l="1"/>
  <c r="G370" i="3"/>
  <c r="M370" i="3" s="1"/>
  <c r="N370" i="3" s="1"/>
  <c r="V370" i="3"/>
  <c r="A371" i="3"/>
  <c r="B371" i="3" s="1"/>
  <c r="I370" i="3" l="1"/>
  <c r="W370" i="3" s="1"/>
  <c r="J370" i="3"/>
  <c r="L370" i="3" s="1"/>
  <c r="AD371" i="3"/>
  <c r="AC371" i="3"/>
  <c r="P371" i="3"/>
  <c r="Q371" i="3" s="1"/>
  <c r="R371" i="3" s="1"/>
  <c r="S371" i="3" s="1"/>
  <c r="AA371" i="3"/>
  <c r="Z371" i="3"/>
  <c r="T371" i="3" l="1"/>
  <c r="AG371" i="3" s="1"/>
  <c r="U370" i="3"/>
  <c r="Y369" i="3"/>
  <c r="E371" i="3" l="1"/>
  <c r="H371" i="3" s="1"/>
  <c r="K371" i="3" s="1"/>
  <c r="AE371" i="3" s="1"/>
  <c r="D371" i="3"/>
  <c r="AH371" i="3"/>
  <c r="V371" i="3" l="1"/>
  <c r="A372" i="3"/>
  <c r="B372" i="3" s="1"/>
  <c r="F371" i="3"/>
  <c r="G371" i="3"/>
  <c r="I371" i="3" l="1"/>
  <c r="W371" i="3" s="1"/>
  <c r="J371" i="3"/>
  <c r="M371" i="3"/>
  <c r="N371" i="3" s="1"/>
  <c r="P372" i="3"/>
  <c r="Q372" i="3" s="1"/>
  <c r="R372" i="3" s="1"/>
  <c r="S372" i="3" s="1"/>
  <c r="AA372" i="3"/>
  <c r="AC372" i="3"/>
  <c r="Z372" i="3"/>
  <c r="AD372" i="3"/>
  <c r="L371" i="3" l="1"/>
  <c r="T372" i="3"/>
  <c r="U371" i="3" l="1"/>
  <c r="E372" i="3" s="1"/>
  <c r="H372" i="3" s="1"/>
  <c r="AG372" i="3"/>
  <c r="AH372" i="3"/>
  <c r="Y370" i="3"/>
  <c r="D372" i="3" l="1"/>
  <c r="F372" i="3" s="1"/>
  <c r="K372" i="3"/>
  <c r="AE372" i="3" s="1"/>
  <c r="G372" i="3" l="1"/>
  <c r="M372" i="3" s="1"/>
  <c r="N372" i="3" s="1"/>
  <c r="V372" i="3"/>
  <c r="A373" i="3"/>
  <c r="B373" i="3" s="1"/>
  <c r="J372" i="3" l="1"/>
  <c r="L372" i="3" s="1"/>
  <c r="I372" i="3"/>
  <c r="W372" i="3" s="1"/>
  <c r="AD373" i="3"/>
  <c r="Z373" i="3"/>
  <c r="AC373" i="3"/>
  <c r="P373" i="3"/>
  <c r="Q373" i="3" s="1"/>
  <c r="R373" i="3" s="1"/>
  <c r="S373" i="3" s="1"/>
  <c r="AA373" i="3"/>
  <c r="U372" i="3" l="1"/>
  <c r="Y371" i="3"/>
  <c r="T373" i="3"/>
  <c r="AH373" i="3" s="1"/>
  <c r="D373" i="3" l="1"/>
  <c r="G373" i="3" s="1"/>
  <c r="E373" i="3"/>
  <c r="H373" i="3" s="1"/>
  <c r="AG373" i="3"/>
  <c r="F373" i="3" l="1"/>
  <c r="I373" i="3"/>
  <c r="J373" i="3"/>
  <c r="M373" i="3"/>
  <c r="N373" i="3" s="1"/>
  <c r="K373" i="3"/>
  <c r="AE373" i="3" s="1"/>
  <c r="V373" i="3" l="1"/>
  <c r="W373" i="3" s="1"/>
  <c r="A374" i="3"/>
  <c r="B374" i="3" s="1"/>
  <c r="L373" i="3"/>
  <c r="U373" i="3" l="1"/>
  <c r="Y372" i="3"/>
  <c r="AA374" i="3"/>
  <c r="AC374" i="3"/>
  <c r="Z374" i="3"/>
  <c r="P374" i="3"/>
  <c r="Q374" i="3" s="1"/>
  <c r="R374" i="3" s="1"/>
  <c r="S374" i="3" s="1"/>
  <c r="T374" i="3" l="1"/>
  <c r="AH374" i="3" s="1"/>
  <c r="AG374" i="3" l="1"/>
  <c r="E374" i="3"/>
  <c r="H374" i="3" s="1"/>
  <c r="K374" i="3" s="1"/>
  <c r="AE374" i="3" s="1"/>
  <c r="D374" i="3"/>
  <c r="F374" i="3" l="1"/>
  <c r="G374" i="3"/>
  <c r="I374" i="3" s="1"/>
  <c r="V374" i="3"/>
  <c r="A375" i="3"/>
  <c r="B375" i="3" s="1"/>
  <c r="J374" i="3" l="1"/>
  <c r="M374" i="3"/>
  <c r="N374" i="3" s="1"/>
  <c r="W374" i="3"/>
  <c r="P375" i="3"/>
  <c r="Q375" i="3" s="1"/>
  <c r="R375" i="3" s="1"/>
  <c r="S375" i="3" s="1"/>
  <c r="Z375" i="3"/>
  <c r="AC375" i="3"/>
  <c r="AA375" i="3"/>
  <c r="AD375" i="3"/>
  <c r="L374" i="3" l="1"/>
  <c r="Y373" i="3" s="1"/>
  <c r="AD374" i="3"/>
  <c r="T375" i="3"/>
  <c r="U374" i="3" l="1"/>
  <c r="E375" i="3" s="1"/>
  <c r="H375" i="3" s="1"/>
  <c r="K375" i="3" s="1"/>
  <c r="AE375" i="3" s="1"/>
  <c r="AG375" i="3"/>
  <c r="AH375" i="3"/>
  <c r="D375" i="3" l="1"/>
  <c r="G375" i="3" s="1"/>
  <c r="I375" i="3" s="1"/>
  <c r="V375" i="3"/>
  <c r="A376" i="3"/>
  <c r="B376" i="3" s="1"/>
  <c r="M375" i="3" l="1"/>
  <c r="N375" i="3" s="1"/>
  <c r="F375" i="3"/>
  <c r="J375" i="3"/>
  <c r="L375" i="3" s="1"/>
  <c r="W375" i="3"/>
  <c r="AA376" i="3"/>
  <c r="P376" i="3"/>
  <c r="Q376" i="3" s="1"/>
  <c r="R376" i="3" s="1"/>
  <c r="S376" i="3" s="1"/>
  <c r="AC376" i="3"/>
  <c r="Z376" i="3"/>
  <c r="AD376" i="3"/>
  <c r="T376" i="3" l="1"/>
  <c r="U375" i="3"/>
  <c r="Y374" i="3"/>
  <c r="D376" i="3" l="1"/>
  <c r="G376" i="3" s="1"/>
  <c r="AG376" i="3"/>
  <c r="AH376" i="3"/>
  <c r="E376" i="3"/>
  <c r="H376" i="3" s="1"/>
  <c r="F376" i="3" l="1"/>
  <c r="I376" i="3"/>
  <c r="J376" i="3"/>
  <c r="M376" i="3"/>
  <c r="N376" i="3" s="1"/>
  <c r="K376" i="3"/>
  <c r="AE376" i="3" s="1"/>
  <c r="V376" i="3" l="1"/>
  <c r="W376" i="3" s="1"/>
  <c r="A377" i="3"/>
  <c r="B377" i="3" s="1"/>
  <c r="L376" i="3"/>
  <c r="AC377" i="3" l="1"/>
  <c r="AA377" i="3"/>
  <c r="P377" i="3"/>
  <c r="Q377" i="3" s="1"/>
  <c r="R377" i="3" s="1"/>
  <c r="S377" i="3" s="1"/>
  <c r="Z377" i="3"/>
  <c r="U376" i="3"/>
  <c r="Y375" i="3"/>
  <c r="T377" i="3" l="1"/>
  <c r="AH377" i="3" s="1"/>
  <c r="E377" i="3" l="1"/>
  <c r="H377" i="3" s="1"/>
  <c r="K377" i="3" s="1"/>
  <c r="AE377" i="3" s="1"/>
  <c r="D377" i="3"/>
  <c r="AG377" i="3"/>
  <c r="F377" i="3" l="1"/>
  <c r="G377" i="3"/>
  <c r="M377" i="3" s="1"/>
  <c r="N377" i="3" s="1"/>
  <c r="V377" i="3"/>
  <c r="A378" i="3"/>
  <c r="B378" i="3" s="1"/>
  <c r="I377" i="3" l="1"/>
  <c r="W377" i="3" s="1"/>
  <c r="J377" i="3"/>
  <c r="Z378" i="3"/>
  <c r="AC378" i="3"/>
  <c r="P378" i="3"/>
  <c r="Q378" i="3" s="1"/>
  <c r="R378" i="3" s="1"/>
  <c r="S378" i="3" s="1"/>
  <c r="AA378" i="3"/>
  <c r="L377" i="3" l="1"/>
  <c r="U377" i="3" s="1"/>
  <c r="AD377" i="3"/>
  <c r="T378" i="3"/>
  <c r="Y376" i="3" l="1"/>
  <c r="D378" i="3"/>
  <c r="G378" i="3" s="1"/>
  <c r="AG378" i="3"/>
  <c r="E378" i="3"/>
  <c r="H378" i="3" s="1"/>
  <c r="K378" i="3" s="1"/>
  <c r="AE378" i="3" s="1"/>
  <c r="AH378" i="3"/>
  <c r="F378" i="3" l="1"/>
  <c r="V378" i="3"/>
  <c r="A379" i="3"/>
  <c r="B379" i="3" s="1"/>
  <c r="I378" i="3"/>
  <c r="J378" i="3"/>
  <c r="AD378" i="3" s="1"/>
  <c r="M378" i="3"/>
  <c r="N378" i="3" s="1"/>
  <c r="W378" i="3" l="1"/>
  <c r="L378" i="3"/>
  <c r="Z379" i="3"/>
  <c r="AA379" i="3"/>
  <c r="AD379" i="3"/>
  <c r="P379" i="3"/>
  <c r="Q379" i="3" s="1"/>
  <c r="R379" i="3" s="1"/>
  <c r="S379" i="3" s="1"/>
  <c r="AC379" i="3"/>
  <c r="U378" i="3" l="1"/>
  <c r="Y377" i="3"/>
  <c r="T379" i="3"/>
  <c r="AH379" i="3" s="1"/>
  <c r="E379" i="3" l="1"/>
  <c r="H379" i="3" s="1"/>
  <c r="K379" i="3" s="1"/>
  <c r="AE379" i="3" s="1"/>
  <c r="D379" i="3"/>
  <c r="G379" i="3" s="1"/>
  <c r="AG379" i="3"/>
  <c r="F379" i="3" l="1"/>
  <c r="I379" i="3"/>
  <c r="J379" i="3"/>
  <c r="M379" i="3"/>
  <c r="N379" i="3" s="1"/>
  <c r="V379" i="3"/>
  <c r="A380" i="3"/>
  <c r="B380" i="3" s="1"/>
  <c r="W379" i="3" l="1"/>
  <c r="L379" i="3"/>
  <c r="Z380" i="3"/>
  <c r="P380" i="3"/>
  <c r="Q380" i="3" s="1"/>
  <c r="R380" i="3" s="1"/>
  <c r="S380" i="3" s="1"/>
  <c r="AD380" i="3"/>
  <c r="AC380" i="3"/>
  <c r="AA380" i="3"/>
  <c r="T380" i="3" l="1"/>
  <c r="AH380" i="3" s="1"/>
  <c r="U379" i="3"/>
  <c r="Y378" i="3"/>
  <c r="AG380" i="3" l="1"/>
  <c r="E380" i="3"/>
  <c r="H380" i="3" s="1"/>
  <c r="K380" i="3" s="1"/>
  <c r="AE380" i="3" s="1"/>
  <c r="D380" i="3"/>
  <c r="V380" i="3" l="1"/>
  <c r="A381" i="3"/>
  <c r="B381" i="3" s="1"/>
  <c r="F380" i="3"/>
  <c r="G380" i="3"/>
  <c r="I380" i="3" l="1"/>
  <c r="W380" i="3" s="1"/>
  <c r="J380" i="3"/>
  <c r="M380" i="3"/>
  <c r="N380" i="3" s="1"/>
  <c r="Z381" i="3"/>
  <c r="AA381" i="3"/>
  <c r="AC381" i="3"/>
  <c r="P381" i="3"/>
  <c r="Q381" i="3" s="1"/>
  <c r="R381" i="3" s="1"/>
  <c r="S381" i="3" s="1"/>
  <c r="AD381" i="3"/>
  <c r="T381" i="3" l="1"/>
  <c r="L380" i="3"/>
  <c r="U380" i="3" l="1"/>
  <c r="E381" i="3" s="1"/>
  <c r="H381" i="3" s="1"/>
  <c r="AH381" i="3"/>
  <c r="AG381" i="3"/>
  <c r="Y379" i="3"/>
  <c r="K381" i="3" l="1"/>
  <c r="AE381" i="3" s="1"/>
  <c r="D381" i="3"/>
  <c r="V381" i="3" l="1"/>
  <c r="A382" i="3"/>
  <c r="B382" i="3" s="1"/>
  <c r="F381" i="3"/>
  <c r="G381" i="3"/>
  <c r="I381" i="3" l="1"/>
  <c r="W381" i="3" s="1"/>
  <c r="J381" i="3"/>
  <c r="M381" i="3"/>
  <c r="N381" i="3" s="1"/>
  <c r="AD382" i="3"/>
  <c r="AA382" i="3"/>
  <c r="Z382" i="3"/>
  <c r="P382" i="3"/>
  <c r="Q382" i="3" s="1"/>
  <c r="R382" i="3" s="1"/>
  <c r="S382" i="3" s="1"/>
  <c r="AC382" i="3"/>
  <c r="L381" i="3" l="1"/>
  <c r="T382" i="3"/>
  <c r="U381" i="3" l="1"/>
  <c r="E382" i="3" s="1"/>
  <c r="H382" i="3" s="1"/>
  <c r="AH382" i="3"/>
  <c r="AG382" i="3"/>
  <c r="Y380" i="3"/>
  <c r="D382" i="3" l="1"/>
  <c r="G382" i="3" s="1"/>
  <c r="K382" i="3"/>
  <c r="AE382" i="3" s="1"/>
  <c r="F382" i="3" l="1"/>
  <c r="I382" i="3"/>
  <c r="J382" i="3"/>
  <c r="M382" i="3"/>
  <c r="N382" i="3" s="1"/>
  <c r="V382" i="3"/>
  <c r="A383" i="3"/>
  <c r="B383" i="3" s="1"/>
  <c r="W382" i="3" l="1"/>
  <c r="L382" i="3"/>
  <c r="AD383" i="3"/>
  <c r="AA383" i="3"/>
  <c r="P383" i="3"/>
  <c r="Q383" i="3" s="1"/>
  <c r="R383" i="3" s="1"/>
  <c r="S383" i="3" s="1"/>
  <c r="Z383" i="3"/>
  <c r="AC383" i="3"/>
  <c r="U382" i="3" l="1"/>
  <c r="Y381" i="3"/>
  <c r="T383" i="3"/>
  <c r="E383" i="3" l="1"/>
  <c r="H383" i="3" s="1"/>
  <c r="K383" i="3" s="1"/>
  <c r="AE383" i="3" s="1"/>
  <c r="D383" i="3"/>
  <c r="AH383" i="3"/>
  <c r="AG383" i="3"/>
  <c r="V383" i="3" l="1"/>
  <c r="A384" i="3"/>
  <c r="B384" i="3" s="1"/>
  <c r="F383" i="3"/>
  <c r="G383" i="3"/>
  <c r="I383" i="3" l="1"/>
  <c r="W383" i="3" s="1"/>
  <c r="J383" i="3"/>
  <c r="M383" i="3"/>
  <c r="N383" i="3" s="1"/>
  <c r="P384" i="3"/>
  <c r="Q384" i="3" s="1"/>
  <c r="R384" i="3" s="1"/>
  <c r="S384" i="3" s="1"/>
  <c r="Z384" i="3"/>
  <c r="AC384" i="3"/>
  <c r="AA384" i="3"/>
  <c r="T384" i="3" l="1"/>
  <c r="L383" i="3"/>
  <c r="AG384" i="3" l="1"/>
  <c r="AH384" i="3"/>
  <c r="U383" i="3"/>
  <c r="D384" i="3" s="1"/>
  <c r="Y382" i="3"/>
  <c r="E384" i="3" l="1"/>
  <c r="H384" i="3" s="1"/>
  <c r="K384" i="3" s="1"/>
  <c r="AE384" i="3" s="1"/>
  <c r="G384" i="3"/>
  <c r="F384" i="3" l="1"/>
  <c r="I384" i="3"/>
  <c r="J384" i="3"/>
  <c r="AD384" i="3" s="1"/>
  <c r="M384" i="3"/>
  <c r="N384" i="3" s="1"/>
  <c r="V384" i="3"/>
  <c r="A385" i="3"/>
  <c r="B385" i="3" s="1"/>
  <c r="W384" i="3" l="1"/>
  <c r="L384" i="3"/>
  <c r="P385" i="3"/>
  <c r="Q385" i="3" s="1"/>
  <c r="R385" i="3" s="1"/>
  <c r="S385" i="3" s="1"/>
  <c r="AD385" i="3"/>
  <c r="Z385" i="3"/>
  <c r="AC385" i="3"/>
  <c r="AA385" i="3"/>
  <c r="U384" i="3" l="1"/>
  <c r="Y383" i="3"/>
  <c r="T385" i="3"/>
  <c r="AG385" i="3" s="1"/>
  <c r="D385" i="3" l="1"/>
  <c r="G385" i="3" s="1"/>
  <c r="E385" i="3"/>
  <c r="H385" i="3" s="1"/>
  <c r="K385" i="3" s="1"/>
  <c r="AE385" i="3" s="1"/>
  <c r="AH385" i="3"/>
  <c r="F385" i="3" l="1"/>
  <c r="V385" i="3"/>
  <c r="A386" i="3"/>
  <c r="B386" i="3" s="1"/>
  <c r="I385" i="3"/>
  <c r="J385" i="3"/>
  <c r="M385" i="3"/>
  <c r="N385" i="3" s="1"/>
  <c r="L385" i="3" l="1"/>
  <c r="W385" i="3"/>
  <c r="AC386" i="3"/>
  <c r="P386" i="3"/>
  <c r="Q386" i="3" s="1"/>
  <c r="R386" i="3" s="1"/>
  <c r="S386" i="3" s="1"/>
  <c r="AA386" i="3"/>
  <c r="AD386" i="3"/>
  <c r="Z386" i="3"/>
  <c r="T386" i="3" l="1"/>
  <c r="AH386" i="3" s="1"/>
  <c r="U385" i="3"/>
  <c r="Y384" i="3"/>
  <c r="D386" i="3" l="1"/>
  <c r="E386" i="3"/>
  <c r="H386" i="3" s="1"/>
  <c r="AG386" i="3"/>
  <c r="F386" i="3" l="1"/>
  <c r="G386" i="3"/>
  <c r="K386" i="3"/>
  <c r="AE386" i="3" s="1"/>
  <c r="I386" i="3" l="1"/>
  <c r="J386" i="3"/>
  <c r="M386" i="3"/>
  <c r="N386" i="3" s="1"/>
  <c r="V386" i="3"/>
  <c r="A387" i="3"/>
  <c r="B387" i="3" s="1"/>
  <c r="W386" i="3" l="1"/>
  <c r="L386" i="3"/>
  <c r="AA387" i="3"/>
  <c r="P387" i="3"/>
  <c r="Q387" i="3" s="1"/>
  <c r="R387" i="3" s="1"/>
  <c r="S387" i="3" s="1"/>
  <c r="AC387" i="3"/>
  <c r="Z387" i="3"/>
  <c r="U386" i="3" l="1"/>
  <c r="Y385" i="3"/>
  <c r="T387" i="3"/>
  <c r="AG387" i="3" s="1"/>
  <c r="AH387" i="3" l="1"/>
  <c r="D387" i="3"/>
  <c r="G387" i="3" s="1"/>
  <c r="E387" i="3"/>
  <c r="H387" i="3" s="1"/>
  <c r="F387" i="3" l="1"/>
  <c r="I387" i="3"/>
  <c r="J387" i="3"/>
  <c r="AD387" i="3" s="1"/>
  <c r="M387" i="3"/>
  <c r="N387" i="3" s="1"/>
  <c r="K387" i="3"/>
  <c r="AE387" i="3" s="1"/>
  <c r="V387" i="3" l="1"/>
  <c r="W387" i="3" s="1"/>
  <c r="A388" i="3"/>
  <c r="B388" i="3" s="1"/>
  <c r="L387" i="3"/>
  <c r="U387" i="3" l="1"/>
  <c r="Y386" i="3"/>
  <c r="AA388" i="3"/>
  <c r="Z388" i="3"/>
  <c r="P388" i="3"/>
  <c r="Q388" i="3" s="1"/>
  <c r="R388" i="3" s="1"/>
  <c r="S388" i="3" s="1"/>
  <c r="AC388" i="3"/>
  <c r="T388" i="3" l="1"/>
  <c r="E388" i="3" s="1"/>
  <c r="H388" i="3" s="1"/>
  <c r="K388" i="3" l="1"/>
  <c r="AE388" i="3" s="1"/>
  <c r="D388" i="3"/>
  <c r="AG388" i="3"/>
  <c r="AH388" i="3"/>
  <c r="V388" i="3" l="1"/>
  <c r="A389" i="3"/>
  <c r="B389" i="3" s="1"/>
  <c r="F388" i="3"/>
  <c r="G388" i="3"/>
  <c r="I388" i="3" l="1"/>
  <c r="W388" i="3" s="1"/>
  <c r="J388" i="3"/>
  <c r="AD388" i="3" s="1"/>
  <c r="M388" i="3"/>
  <c r="N388" i="3" s="1"/>
  <c r="P389" i="3"/>
  <c r="Q389" i="3" s="1"/>
  <c r="R389" i="3" s="1"/>
  <c r="S389" i="3" s="1"/>
  <c r="AA389" i="3"/>
  <c r="AD389" i="3"/>
  <c r="AC389" i="3"/>
  <c r="Z389" i="3"/>
  <c r="T389" i="3" l="1"/>
  <c r="L388" i="3"/>
  <c r="U388" i="3" l="1"/>
  <c r="E389" i="3" s="1"/>
  <c r="H389" i="3" s="1"/>
  <c r="AH389" i="3"/>
  <c r="AG389" i="3"/>
  <c r="Y387" i="3"/>
  <c r="D389" i="3" l="1"/>
  <c r="G389" i="3" s="1"/>
  <c r="K389" i="3"/>
  <c r="AE389" i="3" s="1"/>
  <c r="F389" i="3" l="1"/>
  <c r="V389" i="3"/>
  <c r="A390" i="3"/>
  <c r="B390" i="3" s="1"/>
  <c r="I389" i="3"/>
  <c r="J389" i="3"/>
  <c r="M389" i="3"/>
  <c r="N389" i="3" s="1"/>
  <c r="W389" i="3" l="1"/>
  <c r="L389" i="3"/>
  <c r="P390" i="3"/>
  <c r="Q390" i="3" s="1"/>
  <c r="R390" i="3" s="1"/>
  <c r="S390" i="3" s="1"/>
  <c r="AC390" i="3"/>
  <c r="AA390" i="3"/>
  <c r="Z390" i="3"/>
  <c r="AD390" i="3"/>
  <c r="U389" i="3" l="1"/>
  <c r="Y388" i="3"/>
  <c r="T390" i="3"/>
  <c r="AG390" i="3" s="1"/>
  <c r="D390" i="3" l="1"/>
  <c r="AH390" i="3"/>
  <c r="E390" i="3"/>
  <c r="H390" i="3" s="1"/>
  <c r="F390" i="3" l="1"/>
  <c r="G390" i="3"/>
  <c r="K390" i="3"/>
  <c r="AE390" i="3" s="1"/>
  <c r="I390" i="3" l="1"/>
  <c r="J390" i="3"/>
  <c r="M390" i="3"/>
  <c r="N390" i="3" s="1"/>
  <c r="V390" i="3"/>
  <c r="A391" i="3"/>
  <c r="B391" i="3" s="1"/>
  <c r="W390" i="3" l="1"/>
  <c r="L390" i="3"/>
  <c r="AC391" i="3"/>
  <c r="AA391" i="3"/>
  <c r="AD391" i="3"/>
  <c r="Z391" i="3"/>
  <c r="P391" i="3"/>
  <c r="Q391" i="3" s="1"/>
  <c r="R391" i="3" s="1"/>
  <c r="S391" i="3" s="1"/>
  <c r="U390" i="3" l="1"/>
  <c r="Y389" i="3"/>
  <c r="T391" i="3"/>
  <c r="E391" i="3" l="1"/>
  <c r="H391" i="3" s="1"/>
  <c r="K391" i="3" s="1"/>
  <c r="AE391" i="3" s="1"/>
  <c r="AG391" i="3"/>
  <c r="AH391" i="3"/>
  <c r="D391" i="3"/>
  <c r="V391" i="3" l="1"/>
  <c r="A392" i="3"/>
  <c r="B392" i="3" s="1"/>
  <c r="F391" i="3"/>
  <c r="G391" i="3"/>
  <c r="I391" i="3" l="1"/>
  <c r="W391" i="3" s="1"/>
  <c r="J391" i="3"/>
  <c r="M391" i="3"/>
  <c r="N391" i="3" s="1"/>
  <c r="AD392" i="3"/>
  <c r="Z392" i="3"/>
  <c r="P392" i="3"/>
  <c r="Q392" i="3" s="1"/>
  <c r="R392" i="3" s="1"/>
  <c r="S392" i="3" s="1"/>
  <c r="AA392" i="3"/>
  <c r="AC392" i="3"/>
  <c r="T392" i="3" l="1"/>
  <c r="L391" i="3"/>
  <c r="U391" i="3" l="1"/>
  <c r="D392" i="3" s="1"/>
  <c r="AH392" i="3"/>
  <c r="AG392" i="3"/>
  <c r="Y390" i="3"/>
  <c r="G392" i="3" l="1"/>
  <c r="E392" i="3"/>
  <c r="H392" i="3" s="1"/>
  <c r="F392" i="3" l="1"/>
  <c r="I392" i="3"/>
  <c r="J392" i="3"/>
  <c r="M392" i="3"/>
  <c r="N392" i="3" s="1"/>
  <c r="K392" i="3"/>
  <c r="AE392" i="3" s="1"/>
  <c r="V392" i="3" l="1"/>
  <c r="W392" i="3" s="1"/>
  <c r="A393" i="3"/>
  <c r="B393" i="3" s="1"/>
  <c r="L392" i="3"/>
  <c r="U392" i="3" l="1"/>
  <c r="Y391" i="3"/>
  <c r="AD393" i="3"/>
  <c r="Z393" i="3"/>
  <c r="AA393" i="3"/>
  <c r="P393" i="3"/>
  <c r="Q393" i="3" s="1"/>
  <c r="R393" i="3" s="1"/>
  <c r="S393" i="3" s="1"/>
  <c r="AC393" i="3"/>
  <c r="T393" i="3" l="1"/>
  <c r="AG393" i="3" s="1"/>
  <c r="E393" i="3" l="1"/>
  <c r="H393" i="3" s="1"/>
  <c r="K393" i="3" s="1"/>
  <c r="AE393" i="3" s="1"/>
  <c r="D393" i="3"/>
  <c r="AH393" i="3"/>
  <c r="V393" i="3" l="1"/>
  <c r="A394" i="3"/>
  <c r="B394" i="3" s="1"/>
  <c r="F393" i="3"/>
  <c r="G393" i="3"/>
  <c r="I393" i="3" l="1"/>
  <c r="W393" i="3" s="1"/>
  <c r="J393" i="3"/>
  <c r="M393" i="3"/>
  <c r="N393" i="3" s="1"/>
  <c r="P394" i="3"/>
  <c r="Q394" i="3" s="1"/>
  <c r="R394" i="3" s="1"/>
  <c r="S394" i="3" s="1"/>
  <c r="AC394" i="3"/>
  <c r="Z394" i="3"/>
  <c r="AA394" i="3"/>
  <c r="T394" i="3" l="1"/>
  <c r="L393" i="3"/>
  <c r="AH394" i="3" l="1"/>
  <c r="AG394" i="3"/>
  <c r="U393" i="3"/>
  <c r="D394" i="3" s="1"/>
  <c r="Y392" i="3"/>
  <c r="G394" i="3" l="1"/>
  <c r="E394" i="3"/>
  <c r="H394" i="3" s="1"/>
  <c r="F394" i="3" l="1"/>
  <c r="I394" i="3"/>
  <c r="J394" i="3"/>
  <c r="AD394" i="3" s="1"/>
  <c r="M394" i="3"/>
  <c r="N394" i="3" s="1"/>
  <c r="K394" i="3"/>
  <c r="AE394" i="3" s="1"/>
  <c r="L394" i="3" l="1"/>
  <c r="V394" i="3"/>
  <c r="W394" i="3" s="1"/>
  <c r="A395" i="3"/>
  <c r="B395" i="3" s="1"/>
  <c r="U394" i="3" l="1"/>
  <c r="Y393" i="3"/>
  <c r="AD395" i="3"/>
  <c r="AA395" i="3"/>
  <c r="P395" i="3"/>
  <c r="Q395" i="3" s="1"/>
  <c r="R395" i="3" s="1"/>
  <c r="S395" i="3" s="1"/>
  <c r="Z395" i="3"/>
  <c r="AC395" i="3"/>
  <c r="T395" i="3" l="1"/>
  <c r="AG395" i="3" s="1"/>
  <c r="AH395" i="3" l="1"/>
  <c r="E395" i="3"/>
  <c r="H395" i="3" s="1"/>
  <c r="K395" i="3" s="1"/>
  <c r="AE395" i="3" s="1"/>
  <c r="D395" i="3"/>
  <c r="G395" i="3" s="1"/>
  <c r="F395" i="3" l="1"/>
  <c r="V395" i="3"/>
  <c r="A396" i="3"/>
  <c r="B396" i="3" s="1"/>
  <c r="I395" i="3"/>
  <c r="J395" i="3"/>
  <c r="M395" i="3"/>
  <c r="N395" i="3" s="1"/>
  <c r="W395" i="3" l="1"/>
  <c r="L395" i="3"/>
  <c r="AA396" i="3"/>
  <c r="Z396" i="3"/>
  <c r="P396" i="3"/>
  <c r="Q396" i="3" s="1"/>
  <c r="R396" i="3" s="1"/>
  <c r="S396" i="3" s="1"/>
  <c r="AD396" i="3"/>
  <c r="AC396" i="3"/>
  <c r="U395" i="3" l="1"/>
  <c r="Y394" i="3"/>
  <c r="T396" i="3"/>
  <c r="E396" i="3" l="1"/>
  <c r="H396" i="3" s="1"/>
  <c r="K396" i="3" s="1"/>
  <c r="AE396" i="3" s="1"/>
  <c r="AG396" i="3"/>
  <c r="AH396" i="3"/>
  <c r="D396" i="3"/>
  <c r="F396" i="3" l="1"/>
  <c r="G396" i="3"/>
  <c r="V396" i="3"/>
  <c r="A397" i="3"/>
  <c r="B397" i="3" s="1"/>
  <c r="P397" i="3" l="1"/>
  <c r="Q397" i="3" s="1"/>
  <c r="R397" i="3" s="1"/>
  <c r="S397" i="3" s="1"/>
  <c r="AC397" i="3"/>
  <c r="AA397" i="3"/>
  <c r="Z397" i="3"/>
  <c r="I396" i="3"/>
  <c r="W396" i="3" s="1"/>
  <c r="J396" i="3"/>
  <c r="M396" i="3"/>
  <c r="N396" i="3" s="1"/>
  <c r="T397" i="3" l="1"/>
  <c r="L396" i="3"/>
  <c r="U396" i="3" l="1"/>
  <c r="E397" i="3" s="1"/>
  <c r="H397" i="3" s="1"/>
  <c r="AG397" i="3"/>
  <c r="AH397" i="3"/>
  <c r="Y395" i="3"/>
  <c r="D397" i="3" l="1"/>
  <c r="F397" i="3" s="1"/>
  <c r="K397" i="3"/>
  <c r="AE397" i="3" s="1"/>
  <c r="G397" i="3" l="1"/>
  <c r="M397" i="3" s="1"/>
  <c r="N397" i="3" s="1"/>
  <c r="V397" i="3"/>
  <c r="A398" i="3"/>
  <c r="B398" i="3" s="1"/>
  <c r="I397" i="3" l="1"/>
  <c r="W397" i="3" s="1"/>
  <c r="J397" i="3"/>
  <c r="AC398" i="3"/>
  <c r="AA398" i="3"/>
  <c r="P398" i="3"/>
  <c r="Q398" i="3" s="1"/>
  <c r="R398" i="3" s="1"/>
  <c r="S398" i="3" s="1"/>
  <c r="Z398" i="3"/>
  <c r="L397" i="3" l="1"/>
  <c r="U397" i="3" s="1"/>
  <c r="AD397" i="3"/>
  <c r="T398" i="3"/>
  <c r="Y396" i="3" l="1"/>
  <c r="E398" i="3"/>
  <c r="H398" i="3" s="1"/>
  <c r="K398" i="3" s="1"/>
  <c r="AE398" i="3" s="1"/>
  <c r="D398" i="3"/>
  <c r="G398" i="3" s="1"/>
  <c r="AH398" i="3"/>
  <c r="AG398" i="3"/>
  <c r="F398" i="3" l="1"/>
  <c r="V398" i="3"/>
  <c r="A399" i="3"/>
  <c r="B399" i="3" s="1"/>
  <c r="I398" i="3"/>
  <c r="J398" i="3"/>
  <c r="AD398" i="3" s="1"/>
  <c r="M398" i="3"/>
  <c r="N398" i="3" s="1"/>
  <c r="L398" i="3" l="1"/>
  <c r="W398" i="3"/>
  <c r="Z399" i="3"/>
  <c r="P399" i="3"/>
  <c r="Q399" i="3" s="1"/>
  <c r="R399" i="3" s="1"/>
  <c r="S399" i="3" s="1"/>
  <c r="AD399" i="3"/>
  <c r="AA399" i="3"/>
  <c r="AC399" i="3"/>
  <c r="U398" i="3" l="1"/>
  <c r="Y397" i="3"/>
  <c r="T399" i="3"/>
  <c r="AH399" i="3" s="1"/>
  <c r="D399" i="3" l="1"/>
  <c r="G399" i="3" s="1"/>
  <c r="AG399" i="3"/>
  <c r="E399" i="3"/>
  <c r="H399" i="3" s="1"/>
  <c r="F399" i="3" l="1"/>
  <c r="I399" i="3"/>
  <c r="J399" i="3"/>
  <c r="M399" i="3"/>
  <c r="N399" i="3" s="1"/>
  <c r="K399" i="3"/>
  <c r="AE399" i="3" s="1"/>
  <c r="V399" i="3" l="1"/>
  <c r="W399" i="3" s="1"/>
  <c r="A400" i="3"/>
  <c r="B400" i="3" s="1"/>
  <c r="L399" i="3"/>
  <c r="U399" i="3" l="1"/>
  <c r="Y398" i="3"/>
  <c r="AD400" i="3"/>
  <c r="AC400" i="3"/>
  <c r="Z400" i="3"/>
  <c r="P400" i="3"/>
  <c r="Q400" i="3" s="1"/>
  <c r="R400" i="3" s="1"/>
  <c r="S400" i="3" s="1"/>
  <c r="AA400" i="3"/>
  <c r="T400" i="3" l="1"/>
  <c r="AH400" i="3" s="1"/>
  <c r="AG400" i="3" l="1"/>
  <c r="D400" i="3"/>
  <c r="G400" i="3" s="1"/>
  <c r="E400" i="3"/>
  <c r="H400" i="3" s="1"/>
  <c r="K400" i="3" s="1"/>
  <c r="AE400" i="3" s="1"/>
  <c r="F400" i="3" l="1"/>
  <c r="V400" i="3"/>
  <c r="A401" i="3"/>
  <c r="B401" i="3" s="1"/>
  <c r="I400" i="3"/>
  <c r="J400" i="3"/>
  <c r="M400" i="3"/>
  <c r="N400" i="3" s="1"/>
  <c r="W400" i="3" l="1"/>
  <c r="L400" i="3"/>
  <c r="AA401" i="3"/>
  <c r="Z401" i="3"/>
  <c r="AC401" i="3"/>
  <c r="AD401" i="3"/>
  <c r="P401" i="3"/>
  <c r="Q401" i="3" s="1"/>
  <c r="R401" i="3" s="1"/>
  <c r="S401" i="3" s="1"/>
  <c r="U400" i="3" l="1"/>
  <c r="Y399" i="3"/>
  <c r="T401" i="3"/>
  <c r="AG401" i="3" s="1"/>
  <c r="D401" i="3" l="1"/>
  <c r="E401" i="3"/>
  <c r="H401" i="3" s="1"/>
  <c r="K401" i="3" s="1"/>
  <c r="AE401" i="3" s="1"/>
  <c r="AH401" i="3"/>
  <c r="F401" i="3" l="1"/>
  <c r="G401" i="3"/>
  <c r="J401" i="3" s="1"/>
  <c r="V401" i="3"/>
  <c r="A402" i="3"/>
  <c r="B402" i="3" s="1"/>
  <c r="M401" i="3" l="1"/>
  <c r="N401" i="3" s="1"/>
  <c r="I401" i="3"/>
  <c r="W401" i="3" s="1"/>
  <c r="L401" i="3"/>
  <c r="AA402" i="3"/>
  <c r="AC402" i="3"/>
  <c r="Z402" i="3"/>
  <c r="AD402" i="3"/>
  <c r="P402" i="3"/>
  <c r="Q402" i="3" s="1"/>
  <c r="R402" i="3" s="1"/>
  <c r="S402" i="3" s="1"/>
  <c r="U401" i="3" l="1"/>
  <c r="Y400" i="3"/>
  <c r="T402" i="3"/>
  <c r="AG402" i="3" s="1"/>
  <c r="AH402" i="3" l="1"/>
  <c r="E402" i="3"/>
  <c r="H402" i="3" s="1"/>
  <c r="K402" i="3" s="1"/>
  <c r="AE402" i="3" s="1"/>
  <c r="D402" i="3"/>
  <c r="G402" i="3" s="1"/>
  <c r="F402" i="3" l="1"/>
  <c r="I402" i="3"/>
  <c r="J402" i="3"/>
  <c r="M402" i="3"/>
  <c r="N402" i="3" s="1"/>
  <c r="V402" i="3"/>
  <c r="A403" i="3"/>
  <c r="B403" i="3" s="1"/>
  <c r="W402" i="3" l="1"/>
  <c r="L402" i="3"/>
  <c r="AC403" i="3"/>
  <c r="AA403" i="3"/>
  <c r="P403" i="3"/>
  <c r="Q403" i="3" s="1"/>
  <c r="R403" i="3" s="1"/>
  <c r="S403" i="3" s="1"/>
  <c r="Z403" i="3"/>
  <c r="AD403" i="3"/>
  <c r="T403" i="3" l="1"/>
  <c r="AH403" i="3" s="1"/>
  <c r="U402" i="3"/>
  <c r="Y401" i="3"/>
  <c r="AG403" i="3" l="1"/>
  <c r="D403" i="3"/>
  <c r="E403" i="3"/>
  <c r="H403" i="3" s="1"/>
  <c r="F403" i="3" l="1"/>
  <c r="G403" i="3"/>
  <c r="K403" i="3"/>
  <c r="AE403" i="3" s="1"/>
  <c r="V403" i="3" l="1"/>
  <c r="A404" i="3"/>
  <c r="B404" i="3" s="1"/>
  <c r="I403" i="3"/>
  <c r="J403" i="3"/>
  <c r="M403" i="3"/>
  <c r="N403" i="3" s="1"/>
  <c r="W403" i="3" l="1"/>
  <c r="L403" i="3"/>
  <c r="P404" i="3"/>
  <c r="Q404" i="3" s="1"/>
  <c r="R404" i="3" s="1"/>
  <c r="S404" i="3" s="1"/>
  <c r="AA404" i="3"/>
  <c r="Z404" i="3"/>
  <c r="AC404" i="3"/>
  <c r="U403" i="3" l="1"/>
  <c r="Y402" i="3"/>
  <c r="T404" i="3"/>
  <c r="AG404" i="3" s="1"/>
  <c r="E404" i="3" l="1"/>
  <c r="H404" i="3" s="1"/>
  <c r="K404" i="3" s="1"/>
  <c r="AE404" i="3" s="1"/>
  <c r="AH404" i="3"/>
  <c r="D404" i="3"/>
  <c r="G404" i="3" s="1"/>
  <c r="F404" i="3" l="1"/>
  <c r="I404" i="3"/>
  <c r="J404" i="3"/>
  <c r="AD404" i="3" s="1"/>
  <c r="M404" i="3"/>
  <c r="N404" i="3" s="1"/>
  <c r="V404" i="3"/>
  <c r="A405" i="3"/>
  <c r="B405" i="3" s="1"/>
  <c r="W404" i="3" l="1"/>
  <c r="L404" i="3"/>
  <c r="P405" i="3"/>
  <c r="Q405" i="3" s="1"/>
  <c r="R405" i="3" s="1"/>
  <c r="S405" i="3" s="1"/>
  <c r="AC405" i="3"/>
  <c r="Z405" i="3"/>
  <c r="AD405" i="3"/>
  <c r="AA405" i="3"/>
  <c r="U404" i="3" l="1"/>
  <c r="Y403" i="3"/>
  <c r="T405" i="3"/>
  <c r="E405" i="3" l="1"/>
  <c r="H405" i="3" s="1"/>
  <c r="K405" i="3" s="1"/>
  <c r="AE405" i="3" s="1"/>
  <c r="AH405" i="3"/>
  <c r="D405" i="3"/>
  <c r="AG405" i="3"/>
  <c r="F405" i="3" l="1"/>
  <c r="G405" i="3"/>
  <c r="V405" i="3"/>
  <c r="A406" i="3"/>
  <c r="B406" i="3" s="1"/>
  <c r="AD406" i="3" l="1"/>
  <c r="AA406" i="3"/>
  <c r="AC406" i="3"/>
  <c r="Z406" i="3"/>
  <c r="P406" i="3"/>
  <c r="Q406" i="3" s="1"/>
  <c r="R406" i="3" s="1"/>
  <c r="S406" i="3" s="1"/>
  <c r="I405" i="3"/>
  <c r="W405" i="3" s="1"/>
  <c r="J405" i="3"/>
  <c r="M405" i="3"/>
  <c r="N405" i="3" s="1"/>
  <c r="T406" i="3" l="1"/>
  <c r="L405" i="3"/>
  <c r="U405" i="3" l="1"/>
  <c r="E406" i="3" s="1"/>
  <c r="H406" i="3" s="1"/>
  <c r="AH406" i="3"/>
  <c r="AG406" i="3"/>
  <c r="Y404" i="3"/>
  <c r="K406" i="3" l="1"/>
  <c r="AE406" i="3" s="1"/>
  <c r="D406" i="3"/>
  <c r="V406" i="3" l="1"/>
  <c r="A407" i="3"/>
  <c r="B407" i="3" s="1"/>
  <c r="F406" i="3"/>
  <c r="G406" i="3"/>
  <c r="I406" i="3" l="1"/>
  <c r="W406" i="3" s="1"/>
  <c r="J406" i="3"/>
  <c r="M406" i="3"/>
  <c r="N406" i="3" s="1"/>
  <c r="AC407" i="3"/>
  <c r="Z407" i="3"/>
  <c r="P407" i="3"/>
  <c r="Q407" i="3" s="1"/>
  <c r="R407" i="3" s="1"/>
  <c r="S407" i="3" s="1"/>
  <c r="AA407" i="3"/>
  <c r="L406" i="3" l="1"/>
  <c r="T407" i="3"/>
  <c r="U406" i="3" l="1"/>
  <c r="D407" i="3" s="1"/>
  <c r="AG407" i="3"/>
  <c r="AH407" i="3"/>
  <c r="Y405" i="3"/>
  <c r="G407" i="3" l="1"/>
  <c r="E407" i="3"/>
  <c r="H407" i="3" s="1"/>
  <c r="F407" i="3" l="1"/>
  <c r="I407" i="3"/>
  <c r="J407" i="3"/>
  <c r="AD407" i="3" s="1"/>
  <c r="M407" i="3"/>
  <c r="N407" i="3" s="1"/>
  <c r="K407" i="3"/>
  <c r="AE407" i="3" s="1"/>
  <c r="V407" i="3" l="1"/>
  <c r="W407" i="3" s="1"/>
  <c r="A408" i="3"/>
  <c r="B408" i="3" s="1"/>
  <c r="L407" i="3"/>
  <c r="U407" i="3" l="1"/>
  <c r="Y406" i="3"/>
  <c r="Z408" i="3"/>
  <c r="AC408" i="3"/>
  <c r="P408" i="3"/>
  <c r="Q408" i="3" s="1"/>
  <c r="R408" i="3" s="1"/>
  <c r="S408" i="3" s="1"/>
  <c r="AA408" i="3"/>
  <c r="T408" i="3" l="1"/>
  <c r="AH408" i="3" s="1"/>
  <c r="E408" i="3" l="1"/>
  <c r="H408" i="3" s="1"/>
  <c r="K408" i="3" s="1"/>
  <c r="AE408" i="3" s="1"/>
  <c r="D408" i="3"/>
  <c r="G408" i="3" s="1"/>
  <c r="AG408" i="3"/>
  <c r="F408" i="3" l="1"/>
  <c r="I408" i="3"/>
  <c r="J408" i="3"/>
  <c r="AD408" i="3" s="1"/>
  <c r="M408" i="3"/>
  <c r="N408" i="3" s="1"/>
  <c r="V408" i="3"/>
  <c r="A409" i="3"/>
  <c r="B409" i="3" s="1"/>
  <c r="W408" i="3" l="1"/>
  <c r="L408" i="3"/>
  <c r="AA409" i="3"/>
  <c r="AC409" i="3"/>
  <c r="P409" i="3"/>
  <c r="Q409" i="3" s="1"/>
  <c r="R409" i="3" s="1"/>
  <c r="S409" i="3" s="1"/>
  <c r="AD409" i="3"/>
  <c r="Z409" i="3"/>
  <c r="U408" i="3" l="1"/>
  <c r="Y407" i="3"/>
  <c r="T409" i="3"/>
  <c r="E409" i="3" l="1"/>
  <c r="H409" i="3" s="1"/>
  <c r="K409" i="3" s="1"/>
  <c r="AE409" i="3" s="1"/>
  <c r="AH409" i="3"/>
  <c r="D409" i="3"/>
  <c r="AG409" i="3"/>
  <c r="F409" i="3" l="1"/>
  <c r="G409" i="3"/>
  <c r="V409" i="3"/>
  <c r="A410" i="3"/>
  <c r="B410" i="3" s="1"/>
  <c r="P410" i="3" l="1"/>
  <c r="Q410" i="3" s="1"/>
  <c r="R410" i="3" s="1"/>
  <c r="S410" i="3" s="1"/>
  <c r="AA410" i="3"/>
  <c r="AC410" i="3"/>
  <c r="AD410" i="3"/>
  <c r="Z410" i="3"/>
  <c r="I409" i="3"/>
  <c r="W409" i="3" s="1"/>
  <c r="J409" i="3"/>
  <c r="M409" i="3"/>
  <c r="N409" i="3" s="1"/>
  <c r="T410" i="3" l="1"/>
  <c r="L409" i="3"/>
  <c r="AG410" i="3" l="1"/>
  <c r="U409" i="3"/>
  <c r="D410" i="3" s="1"/>
  <c r="AH410" i="3"/>
  <c r="Y408" i="3"/>
  <c r="E410" i="3" l="1"/>
  <c r="H410" i="3" s="1"/>
  <c r="K410" i="3" s="1"/>
  <c r="AE410" i="3" s="1"/>
  <c r="G410" i="3"/>
  <c r="F410" i="3" l="1"/>
  <c r="I410" i="3"/>
  <c r="J410" i="3"/>
  <c r="M410" i="3"/>
  <c r="N410" i="3" s="1"/>
  <c r="V410" i="3"/>
  <c r="A411" i="3"/>
  <c r="B411" i="3" s="1"/>
  <c r="W410" i="3" l="1"/>
  <c r="L410" i="3"/>
  <c r="AC411" i="3"/>
  <c r="P411" i="3"/>
  <c r="Q411" i="3" s="1"/>
  <c r="R411" i="3" s="1"/>
  <c r="S411" i="3" s="1"/>
  <c r="AA411" i="3"/>
  <c r="Z411" i="3"/>
  <c r="AD411" i="3"/>
  <c r="U410" i="3" l="1"/>
  <c r="Y409" i="3"/>
  <c r="T411" i="3"/>
  <c r="AG411" i="3" s="1"/>
  <c r="E411" i="3" l="1"/>
  <c r="H411" i="3" s="1"/>
  <c r="K411" i="3" s="1"/>
  <c r="AE411" i="3" s="1"/>
  <c r="AH411" i="3"/>
  <c r="D411" i="3"/>
  <c r="F411" i="3" l="1"/>
  <c r="G411" i="3"/>
  <c r="V411" i="3"/>
  <c r="A412" i="3"/>
  <c r="B412" i="3" s="1"/>
  <c r="AA412" i="3" l="1"/>
  <c r="AC412" i="3"/>
  <c r="P412" i="3"/>
  <c r="Q412" i="3" s="1"/>
  <c r="R412" i="3" s="1"/>
  <c r="S412" i="3" s="1"/>
  <c r="Z412" i="3"/>
  <c r="AD412" i="3"/>
  <c r="I411" i="3"/>
  <c r="W411" i="3" s="1"/>
  <c r="J411" i="3"/>
  <c r="M411" i="3"/>
  <c r="N411" i="3" s="1"/>
  <c r="T412" i="3" l="1"/>
  <c r="L411" i="3"/>
  <c r="U411" i="3" l="1"/>
  <c r="D412" i="3" s="1"/>
  <c r="AG412" i="3"/>
  <c r="AH412" i="3"/>
  <c r="Y410" i="3"/>
  <c r="G412" i="3" l="1"/>
  <c r="E412" i="3"/>
  <c r="H412" i="3" s="1"/>
  <c r="F412" i="3" l="1"/>
  <c r="I412" i="3"/>
  <c r="J412" i="3"/>
  <c r="M412" i="3"/>
  <c r="N412" i="3" s="1"/>
  <c r="K412" i="3"/>
  <c r="AE412" i="3" s="1"/>
  <c r="V412" i="3" l="1"/>
  <c r="W412" i="3" s="1"/>
  <c r="A413" i="3"/>
  <c r="B413" i="3" s="1"/>
  <c r="L412" i="3"/>
  <c r="U412" i="3" l="1"/>
  <c r="Y411" i="3"/>
  <c r="Z413" i="3"/>
  <c r="P413" i="3"/>
  <c r="Q413" i="3" s="1"/>
  <c r="R413" i="3" s="1"/>
  <c r="S413" i="3" s="1"/>
  <c r="AA413" i="3"/>
  <c r="AC413" i="3"/>
  <c r="AD413" i="3"/>
  <c r="T413" i="3" l="1"/>
  <c r="D413" i="3" s="1"/>
  <c r="E413" i="3" l="1"/>
  <c r="H413" i="3" s="1"/>
  <c r="K413" i="3" s="1"/>
  <c r="AE413" i="3" s="1"/>
  <c r="AH413" i="3"/>
  <c r="G413" i="3"/>
  <c r="AG413" i="3"/>
  <c r="F413" i="3" l="1"/>
  <c r="I413" i="3"/>
  <c r="J413" i="3"/>
  <c r="M413" i="3"/>
  <c r="N413" i="3" s="1"/>
  <c r="V413" i="3"/>
  <c r="A414" i="3"/>
  <c r="B414" i="3" s="1"/>
  <c r="L413" i="3" l="1"/>
  <c r="P414" i="3"/>
  <c r="Q414" i="3" s="1"/>
  <c r="R414" i="3" s="1"/>
  <c r="S414" i="3" s="1"/>
  <c r="Z414" i="3"/>
  <c r="AA414" i="3"/>
  <c r="AC414" i="3"/>
  <c r="W413" i="3"/>
  <c r="U413" i="3" l="1"/>
  <c r="Y412" i="3"/>
  <c r="T414" i="3"/>
  <c r="D414" i="3" l="1"/>
  <c r="G414" i="3" s="1"/>
  <c r="E414" i="3"/>
  <c r="H414" i="3" s="1"/>
  <c r="K414" i="3" s="1"/>
  <c r="AE414" i="3" s="1"/>
  <c r="AG414" i="3"/>
  <c r="AH414" i="3"/>
  <c r="F414" i="3" l="1"/>
  <c r="I414" i="3"/>
  <c r="J414" i="3"/>
  <c r="AD414" i="3" s="1"/>
  <c r="M414" i="3"/>
  <c r="N414" i="3" s="1"/>
  <c r="V414" i="3"/>
  <c r="A415" i="3"/>
  <c r="B415" i="3" s="1"/>
  <c r="W414" i="3" l="1"/>
  <c r="L414" i="3"/>
  <c r="P415" i="3"/>
  <c r="Q415" i="3" s="1"/>
  <c r="R415" i="3" s="1"/>
  <c r="S415" i="3" s="1"/>
  <c r="AA415" i="3"/>
  <c r="Z415" i="3"/>
  <c r="AC415" i="3"/>
  <c r="U414" i="3" l="1"/>
  <c r="Y413" i="3"/>
  <c r="T415" i="3"/>
  <c r="D415" i="3" l="1"/>
  <c r="G415" i="3" s="1"/>
  <c r="AG415" i="3"/>
  <c r="AH415" i="3"/>
  <c r="E415" i="3"/>
  <c r="H415" i="3" s="1"/>
  <c r="F415" i="3" l="1"/>
  <c r="K415" i="3"/>
  <c r="AE415" i="3" s="1"/>
  <c r="I415" i="3"/>
  <c r="J415" i="3"/>
  <c r="AD415" i="3" s="1"/>
  <c r="M415" i="3"/>
  <c r="N415" i="3" s="1"/>
  <c r="L415" i="3" l="1"/>
  <c r="V415" i="3"/>
  <c r="W415" i="3" s="1"/>
  <c r="A416" i="3"/>
  <c r="B416" i="3" s="1"/>
  <c r="Z416" i="3" l="1"/>
  <c r="AA416" i="3"/>
  <c r="P416" i="3"/>
  <c r="Q416" i="3" s="1"/>
  <c r="R416" i="3" s="1"/>
  <c r="S416" i="3" s="1"/>
  <c r="AC416" i="3"/>
  <c r="U415" i="3"/>
  <c r="Y414" i="3"/>
  <c r="T416" i="3" l="1"/>
  <c r="AG416" i="3" s="1"/>
  <c r="D416" i="3" l="1"/>
  <c r="G416" i="3" s="1"/>
  <c r="E416" i="3"/>
  <c r="H416" i="3" s="1"/>
  <c r="K416" i="3" s="1"/>
  <c r="AE416" i="3" s="1"/>
  <c r="AH416" i="3"/>
  <c r="F416" i="3" l="1"/>
  <c r="V416" i="3"/>
  <c r="A417" i="3"/>
  <c r="B417" i="3" s="1"/>
  <c r="I416" i="3"/>
  <c r="J416" i="3"/>
  <c r="AD416" i="3" s="1"/>
  <c r="M416" i="3"/>
  <c r="N416" i="3" s="1"/>
  <c r="W416" i="3" l="1"/>
  <c r="L416" i="3"/>
  <c r="Z417" i="3"/>
  <c r="AC417" i="3"/>
  <c r="AA417" i="3"/>
  <c r="P417" i="3"/>
  <c r="Q417" i="3" s="1"/>
  <c r="R417" i="3" s="1"/>
  <c r="S417" i="3" s="1"/>
  <c r="U416" i="3" l="1"/>
  <c r="Y415" i="3"/>
  <c r="T417" i="3"/>
  <c r="D417" i="3" l="1"/>
  <c r="G417" i="3" s="1"/>
  <c r="AH417" i="3"/>
  <c r="E417" i="3"/>
  <c r="H417" i="3" s="1"/>
  <c r="K417" i="3" s="1"/>
  <c r="AE417" i="3" s="1"/>
  <c r="AG417" i="3"/>
  <c r="F417" i="3" l="1"/>
  <c r="V417" i="3"/>
  <c r="A418" i="3"/>
  <c r="B418" i="3" s="1"/>
  <c r="I417" i="3"/>
  <c r="J417" i="3"/>
  <c r="AD417" i="3" s="1"/>
  <c r="M417" i="3"/>
  <c r="N417" i="3" s="1"/>
  <c r="W417" i="3" l="1"/>
  <c r="L417" i="3"/>
  <c r="Z418" i="3"/>
  <c r="AA418" i="3"/>
  <c r="AC418" i="3"/>
  <c r="P418" i="3"/>
  <c r="Q418" i="3" s="1"/>
  <c r="R418" i="3" s="1"/>
  <c r="S418" i="3" s="1"/>
  <c r="T418" i="3" l="1"/>
  <c r="U417" i="3"/>
  <c r="Y416" i="3"/>
  <c r="D418" i="3" l="1"/>
  <c r="G418" i="3" s="1"/>
  <c r="E418" i="3"/>
  <c r="H418" i="3" s="1"/>
  <c r="AG418" i="3"/>
  <c r="AH418" i="3"/>
  <c r="F418" i="3" l="1"/>
  <c r="I418" i="3"/>
  <c r="J418" i="3"/>
  <c r="AD418" i="3" s="1"/>
  <c r="M418" i="3"/>
  <c r="N418" i="3" s="1"/>
  <c r="K418" i="3"/>
  <c r="AE418" i="3" s="1"/>
  <c r="V418" i="3" l="1"/>
  <c r="W418" i="3" s="1"/>
  <c r="A419" i="3"/>
  <c r="B419" i="3" s="1"/>
  <c r="L418" i="3"/>
  <c r="U418" i="3" l="1"/>
  <c r="Y417" i="3"/>
  <c r="AA419" i="3"/>
  <c r="P419" i="3"/>
  <c r="Q419" i="3" s="1"/>
  <c r="R419" i="3" s="1"/>
  <c r="S419" i="3" s="1"/>
  <c r="Z419" i="3"/>
  <c r="AC419" i="3"/>
  <c r="T419" i="3" l="1"/>
  <c r="AG419" i="3" s="1"/>
  <c r="AH419" i="3" l="1"/>
  <c r="E419" i="3"/>
  <c r="H419" i="3" s="1"/>
  <c r="K419" i="3" s="1"/>
  <c r="AE419" i="3" s="1"/>
  <c r="D419" i="3"/>
  <c r="F419" i="3" l="1"/>
  <c r="G419" i="3"/>
  <c r="J419" i="3" s="1"/>
  <c r="AD419" i="3" s="1"/>
  <c r="V419" i="3"/>
  <c r="A420" i="3"/>
  <c r="B420" i="3" s="1"/>
  <c r="I419" i="3" l="1"/>
  <c r="W419" i="3" s="1"/>
  <c r="M419" i="3"/>
  <c r="N419" i="3" s="1"/>
  <c r="L419" i="3"/>
  <c r="AC420" i="3"/>
  <c r="AA420" i="3"/>
  <c r="Z420" i="3"/>
  <c r="P420" i="3"/>
  <c r="Q420" i="3" s="1"/>
  <c r="R420" i="3" s="1"/>
  <c r="S420" i="3" s="1"/>
  <c r="T420" i="3" l="1"/>
  <c r="AH420" i="3" s="1"/>
  <c r="U419" i="3"/>
  <c r="Y418" i="3"/>
  <c r="E420" i="3" l="1"/>
  <c r="H420" i="3" s="1"/>
  <c r="K420" i="3" s="1"/>
  <c r="AE420" i="3" s="1"/>
  <c r="D420" i="3"/>
  <c r="AG420" i="3"/>
  <c r="V420" i="3" l="1"/>
  <c r="A421" i="3"/>
  <c r="B421" i="3" s="1"/>
  <c r="F420" i="3"/>
  <c r="G420" i="3"/>
  <c r="I420" i="3" l="1"/>
  <c r="W420" i="3" s="1"/>
  <c r="J420" i="3"/>
  <c r="AD420" i="3" s="1"/>
  <c r="M420" i="3"/>
  <c r="N420" i="3" s="1"/>
  <c r="Z421" i="3"/>
  <c r="P421" i="3"/>
  <c r="Q421" i="3" s="1"/>
  <c r="R421" i="3" s="1"/>
  <c r="S421" i="3" s="1"/>
  <c r="AC421" i="3"/>
  <c r="AA421" i="3"/>
  <c r="T421" i="3" l="1"/>
  <c r="L420" i="3"/>
  <c r="U420" i="3" l="1"/>
  <c r="D421" i="3" s="1"/>
  <c r="AH421" i="3"/>
  <c r="AG421" i="3"/>
  <c r="Y419" i="3"/>
  <c r="E421" i="3" l="1"/>
  <c r="H421" i="3" s="1"/>
  <c r="K421" i="3" s="1"/>
  <c r="AE421" i="3" s="1"/>
  <c r="G421" i="3"/>
  <c r="F421" i="3" l="1"/>
  <c r="V421" i="3"/>
  <c r="A422" i="3"/>
  <c r="B422" i="3" s="1"/>
  <c r="I421" i="3"/>
  <c r="J421" i="3"/>
  <c r="AD421" i="3" s="1"/>
  <c r="M421" i="3"/>
  <c r="N421" i="3" s="1"/>
  <c r="W421" i="3" l="1"/>
  <c r="L421" i="3"/>
  <c r="Z422" i="3"/>
  <c r="P422" i="3"/>
  <c r="Q422" i="3" s="1"/>
  <c r="R422" i="3" s="1"/>
  <c r="S422" i="3" s="1"/>
  <c r="AC422" i="3"/>
  <c r="AA422" i="3"/>
  <c r="U421" i="3" l="1"/>
  <c r="Y420" i="3"/>
  <c r="T422" i="3"/>
  <c r="D422" i="3" l="1"/>
  <c r="G422" i="3" s="1"/>
  <c r="AG422" i="3"/>
  <c r="E422" i="3"/>
  <c r="H422" i="3" s="1"/>
  <c r="K422" i="3" s="1"/>
  <c r="AE422" i="3" s="1"/>
  <c r="AH422" i="3"/>
  <c r="F422" i="3" l="1"/>
  <c r="V422" i="3"/>
  <c r="A423" i="3"/>
  <c r="B423" i="3" s="1"/>
  <c r="I422" i="3"/>
  <c r="J422" i="3"/>
  <c r="AD422" i="3" s="1"/>
  <c r="M422" i="3"/>
  <c r="N422" i="3" s="1"/>
  <c r="L422" i="3" l="1"/>
  <c r="W422" i="3"/>
  <c r="P423" i="3"/>
  <c r="Q423" i="3" s="1"/>
  <c r="R423" i="3" s="1"/>
  <c r="S423" i="3" s="1"/>
  <c r="Z423" i="3"/>
  <c r="AC423" i="3"/>
  <c r="AA423" i="3"/>
  <c r="U422" i="3" l="1"/>
  <c r="Y421" i="3"/>
  <c r="T423" i="3"/>
  <c r="D423" i="3" l="1"/>
  <c r="G423" i="3" s="1"/>
  <c r="AH423" i="3"/>
  <c r="E423" i="3"/>
  <c r="H423" i="3" s="1"/>
  <c r="K423" i="3" s="1"/>
  <c r="AE423" i="3" s="1"/>
  <c r="AG423" i="3"/>
  <c r="F423" i="3" l="1"/>
  <c r="V423" i="3"/>
  <c r="A424" i="3"/>
  <c r="B424" i="3" s="1"/>
  <c r="I423" i="3"/>
  <c r="J423" i="3"/>
  <c r="AD423" i="3" s="1"/>
  <c r="M423" i="3"/>
  <c r="N423" i="3" s="1"/>
  <c r="W423" i="3" l="1"/>
  <c r="L423" i="3"/>
  <c r="AA424" i="3"/>
  <c r="P424" i="3"/>
  <c r="Q424" i="3" s="1"/>
  <c r="R424" i="3" s="1"/>
  <c r="S424" i="3" s="1"/>
  <c r="Z424" i="3"/>
  <c r="AC424" i="3"/>
  <c r="T424" i="3" l="1"/>
  <c r="U423" i="3"/>
  <c r="Y422" i="3"/>
  <c r="D424" i="3" l="1"/>
  <c r="G424" i="3" s="1"/>
  <c r="E424" i="3"/>
  <c r="H424" i="3" s="1"/>
  <c r="K424" i="3" s="1"/>
  <c r="AE424" i="3" s="1"/>
  <c r="AG424" i="3"/>
  <c r="AH424" i="3"/>
  <c r="F424" i="3" l="1"/>
  <c r="V424" i="3"/>
  <c r="A425" i="3"/>
  <c r="B425" i="3" s="1"/>
  <c r="I424" i="3"/>
  <c r="J424" i="3"/>
  <c r="AD424" i="3" s="1"/>
  <c r="M424" i="3"/>
  <c r="N424" i="3" s="1"/>
  <c r="W424" i="3" l="1"/>
  <c r="L424" i="3"/>
  <c r="Z425" i="3"/>
  <c r="AA425" i="3"/>
  <c r="P425" i="3"/>
  <c r="Q425" i="3" s="1"/>
  <c r="R425" i="3" s="1"/>
  <c r="S425" i="3" s="1"/>
  <c r="AC425" i="3"/>
  <c r="U424" i="3" l="1"/>
  <c r="Y423" i="3"/>
  <c r="T425" i="3"/>
  <c r="E425" i="3" l="1"/>
  <c r="H425" i="3" s="1"/>
  <c r="K425" i="3" s="1"/>
  <c r="AE425" i="3" s="1"/>
  <c r="D425" i="3"/>
  <c r="G425" i="3" s="1"/>
  <c r="AH425" i="3"/>
  <c r="AG425" i="3"/>
  <c r="F425" i="3" l="1"/>
  <c r="I425" i="3"/>
  <c r="J425" i="3"/>
  <c r="AD425" i="3" s="1"/>
  <c r="M425" i="3"/>
  <c r="N425" i="3" s="1"/>
  <c r="V425" i="3"/>
  <c r="A426" i="3"/>
  <c r="B426" i="3" s="1"/>
  <c r="L425" i="3" l="1"/>
  <c r="W425" i="3"/>
  <c r="P426" i="3"/>
  <c r="Q426" i="3" s="1"/>
  <c r="R426" i="3" s="1"/>
  <c r="S426" i="3" s="1"/>
  <c r="AA426" i="3"/>
  <c r="Z426" i="3"/>
  <c r="AC426" i="3"/>
  <c r="U425" i="3" l="1"/>
  <c r="Y424" i="3"/>
  <c r="T426" i="3"/>
  <c r="AH426" i="3" s="1"/>
  <c r="E426" i="3" l="1"/>
  <c r="H426" i="3" s="1"/>
  <c r="D426" i="3"/>
  <c r="AG426" i="3"/>
  <c r="K426" i="3" l="1"/>
  <c r="AE426" i="3" s="1"/>
  <c r="F426" i="3"/>
  <c r="G426" i="3"/>
  <c r="V426" i="3" l="1"/>
  <c r="A427" i="3"/>
  <c r="B427" i="3" s="1"/>
  <c r="I426" i="3"/>
  <c r="J426" i="3"/>
  <c r="AD426" i="3" s="1"/>
  <c r="M426" i="3"/>
  <c r="N426" i="3" s="1"/>
  <c r="W426" i="3" l="1"/>
  <c r="L426" i="3"/>
  <c r="P427" i="3"/>
  <c r="Q427" i="3" s="1"/>
  <c r="R427" i="3" s="1"/>
  <c r="S427" i="3" s="1"/>
  <c r="AC427" i="3"/>
  <c r="Z427" i="3"/>
  <c r="AA427" i="3"/>
  <c r="U426" i="3" l="1"/>
  <c r="Y425" i="3"/>
  <c r="T427" i="3"/>
  <c r="AG427" i="3" s="1"/>
  <c r="D427" i="3" l="1"/>
  <c r="G427" i="3" s="1"/>
  <c r="E427" i="3"/>
  <c r="H427" i="3" s="1"/>
  <c r="K427" i="3" s="1"/>
  <c r="AE427" i="3" s="1"/>
  <c r="AH427" i="3"/>
  <c r="F427" i="3" l="1"/>
  <c r="I427" i="3"/>
  <c r="J427" i="3"/>
  <c r="AD427" i="3" s="1"/>
  <c r="M427" i="3"/>
  <c r="N427" i="3" s="1"/>
  <c r="V427" i="3"/>
  <c r="A428" i="3"/>
  <c r="B428" i="3" s="1"/>
  <c r="W427" i="3" l="1"/>
  <c r="L427" i="3"/>
  <c r="P428" i="3"/>
  <c r="Q428" i="3" s="1"/>
  <c r="R428" i="3" s="1"/>
  <c r="S428" i="3" s="1"/>
  <c r="AC428" i="3"/>
  <c r="Z428" i="3"/>
  <c r="AA428" i="3"/>
  <c r="U427" i="3" l="1"/>
  <c r="Y426" i="3"/>
  <c r="T428" i="3"/>
  <c r="AG428" i="3" s="1"/>
  <c r="E428" i="3" l="1"/>
  <c r="H428" i="3" s="1"/>
  <c r="AH428" i="3"/>
  <c r="D428" i="3"/>
  <c r="K428" i="3" l="1"/>
  <c r="AE428" i="3" s="1"/>
  <c r="F428" i="3"/>
  <c r="G428" i="3"/>
  <c r="I428" i="3" l="1"/>
  <c r="J428" i="3"/>
  <c r="AD428" i="3" s="1"/>
  <c r="M428" i="3"/>
  <c r="N428" i="3" s="1"/>
  <c r="V428" i="3"/>
  <c r="A429" i="3"/>
  <c r="B429" i="3" s="1"/>
  <c r="W428" i="3" l="1"/>
  <c r="Z429" i="3"/>
  <c r="AC429" i="3"/>
  <c r="P429" i="3"/>
  <c r="Q429" i="3" s="1"/>
  <c r="R429" i="3" s="1"/>
  <c r="S429" i="3" s="1"/>
  <c r="AA429" i="3"/>
  <c r="L428" i="3"/>
  <c r="U428" i="3" l="1"/>
  <c r="Y427" i="3"/>
  <c r="T429" i="3"/>
  <c r="D429" i="3" l="1"/>
  <c r="G429" i="3" s="1"/>
  <c r="E429" i="3"/>
  <c r="H429" i="3" s="1"/>
  <c r="K429" i="3" s="1"/>
  <c r="AE429" i="3" s="1"/>
  <c r="AG429" i="3"/>
  <c r="AH429" i="3"/>
  <c r="F429" i="3" l="1"/>
  <c r="I429" i="3"/>
  <c r="J429" i="3"/>
  <c r="AD429" i="3" s="1"/>
  <c r="M429" i="3"/>
  <c r="N429" i="3" s="1"/>
  <c r="V429" i="3"/>
  <c r="A430" i="3"/>
  <c r="B430" i="3" s="1"/>
  <c r="L429" i="3" l="1"/>
  <c r="W429" i="3"/>
  <c r="AA430" i="3"/>
  <c r="Z430" i="3"/>
  <c r="P430" i="3"/>
  <c r="Q430" i="3" s="1"/>
  <c r="R430" i="3" s="1"/>
  <c r="S430" i="3" s="1"/>
  <c r="AC430" i="3"/>
  <c r="U429" i="3" l="1"/>
  <c r="Y428" i="3"/>
  <c r="T430" i="3"/>
  <c r="D430" i="3" l="1"/>
  <c r="G430" i="3" s="1"/>
  <c r="AH430" i="3"/>
  <c r="E430" i="3"/>
  <c r="H430" i="3" s="1"/>
  <c r="AG430" i="3"/>
  <c r="F430" i="3" l="1"/>
  <c r="I430" i="3"/>
  <c r="J430" i="3"/>
  <c r="AD430" i="3" s="1"/>
  <c r="M430" i="3"/>
  <c r="N430" i="3" s="1"/>
  <c r="K430" i="3"/>
  <c r="AE430" i="3" s="1"/>
  <c r="V430" i="3" l="1"/>
  <c r="W430" i="3" s="1"/>
  <c r="A431" i="3"/>
  <c r="B431" i="3" s="1"/>
  <c r="L430" i="3"/>
  <c r="U430" i="3" l="1"/>
  <c r="Y429" i="3"/>
  <c r="AC431" i="3"/>
  <c r="Z431" i="3"/>
  <c r="P431" i="3"/>
  <c r="Q431" i="3" s="1"/>
  <c r="R431" i="3" s="1"/>
  <c r="S431" i="3" s="1"/>
  <c r="AA431" i="3"/>
  <c r="T431" i="3" l="1"/>
  <c r="AH431" i="3" s="1"/>
  <c r="E431" i="3" l="1"/>
  <c r="H431" i="3" s="1"/>
  <c r="AG431" i="3"/>
  <c r="D431" i="3"/>
  <c r="K431" i="3" l="1"/>
  <c r="AE431" i="3" s="1"/>
  <c r="F431" i="3"/>
  <c r="G431" i="3"/>
  <c r="V431" i="3" l="1"/>
  <c r="A432" i="3"/>
  <c r="B432" i="3" s="1"/>
  <c r="I431" i="3"/>
  <c r="J431" i="3"/>
  <c r="AD431" i="3" s="1"/>
  <c r="M431" i="3"/>
  <c r="N431" i="3" s="1"/>
  <c r="W431" i="3" l="1"/>
  <c r="L431" i="3"/>
  <c r="AA432" i="3"/>
  <c r="P432" i="3"/>
  <c r="Q432" i="3" s="1"/>
  <c r="R432" i="3" s="1"/>
  <c r="S432" i="3" s="1"/>
  <c r="AC432" i="3"/>
  <c r="Z432" i="3"/>
  <c r="T432" i="3" l="1"/>
  <c r="AH432" i="3" s="1"/>
  <c r="U431" i="3"/>
  <c r="Y430" i="3"/>
  <c r="AG432" i="3" l="1"/>
  <c r="E432" i="3"/>
  <c r="H432" i="3" s="1"/>
  <c r="D432" i="3"/>
  <c r="K432" i="3" l="1"/>
  <c r="AE432" i="3" s="1"/>
  <c r="F432" i="3"/>
  <c r="G432" i="3"/>
  <c r="I432" i="3" l="1"/>
  <c r="J432" i="3"/>
  <c r="AD432" i="3" s="1"/>
  <c r="M432" i="3"/>
  <c r="N432" i="3" s="1"/>
  <c r="V432" i="3"/>
  <c r="A433" i="3"/>
  <c r="B433" i="3" s="1"/>
  <c r="W432" i="3" l="1"/>
  <c r="L432" i="3"/>
  <c r="P433" i="3"/>
  <c r="Q433" i="3" s="1"/>
  <c r="R433" i="3" s="1"/>
  <c r="S433" i="3" s="1"/>
  <c r="AC433" i="3"/>
  <c r="Z433" i="3"/>
  <c r="AA433" i="3"/>
  <c r="U432" i="3" l="1"/>
  <c r="Y431" i="3"/>
  <c r="T433" i="3"/>
  <c r="E433" i="3" l="1"/>
  <c r="H433" i="3" s="1"/>
  <c r="K433" i="3" s="1"/>
  <c r="AE433" i="3" s="1"/>
  <c r="D433" i="3"/>
  <c r="AG433" i="3"/>
  <c r="AH433" i="3"/>
  <c r="F433" i="3" l="1"/>
  <c r="G433" i="3"/>
  <c r="M433" i="3" s="1"/>
  <c r="N433" i="3" s="1"/>
  <c r="V433" i="3"/>
  <c r="A434" i="3"/>
  <c r="B434" i="3" s="1"/>
  <c r="I433" i="3" l="1"/>
  <c r="W433" i="3" s="1"/>
  <c r="J433" i="3"/>
  <c r="P434" i="3"/>
  <c r="Q434" i="3" s="1"/>
  <c r="R434" i="3" s="1"/>
  <c r="S434" i="3" s="1"/>
  <c r="Z434" i="3"/>
  <c r="AA434" i="3"/>
  <c r="AC434" i="3"/>
  <c r="L433" i="3" l="1"/>
  <c r="AD433" i="3"/>
  <c r="U433" i="3"/>
  <c r="Y432" i="3"/>
  <c r="T434" i="3"/>
  <c r="AH434" i="3" s="1"/>
  <c r="E434" i="3" l="1"/>
  <c r="H434" i="3" s="1"/>
  <c r="K434" i="3" s="1"/>
  <c r="AE434" i="3" s="1"/>
  <c r="AG434" i="3"/>
  <c r="D434" i="3"/>
  <c r="F434" i="3" l="1"/>
  <c r="G434" i="3"/>
  <c r="M434" i="3" s="1"/>
  <c r="N434" i="3" s="1"/>
  <c r="V434" i="3"/>
  <c r="A435" i="3"/>
  <c r="B435" i="3" s="1"/>
  <c r="I434" i="3" l="1"/>
  <c r="W434" i="3" s="1"/>
  <c r="J434" i="3"/>
  <c r="P435" i="3"/>
  <c r="Q435" i="3" s="1"/>
  <c r="R435" i="3" s="1"/>
  <c r="S435" i="3" s="1"/>
  <c r="AA435" i="3"/>
  <c r="AD435" i="3"/>
  <c r="AC435" i="3"/>
  <c r="Z435" i="3"/>
  <c r="L434" i="3" l="1"/>
  <c r="Y433" i="3" s="1"/>
  <c r="AD434" i="3"/>
  <c r="T435" i="3"/>
  <c r="U434" i="3" l="1"/>
  <c r="E435" i="3" s="1"/>
  <c r="H435" i="3" s="1"/>
  <c r="AG435" i="3"/>
  <c r="AH435" i="3"/>
  <c r="D435" i="3" l="1"/>
  <c r="G435" i="3" s="1"/>
  <c r="I435" i="3" s="1"/>
  <c r="K435" i="3"/>
  <c r="AE435" i="3" s="1"/>
  <c r="J435" i="3" l="1"/>
  <c r="L435" i="3" s="1"/>
  <c r="M435" i="3"/>
  <c r="N435" i="3" s="1"/>
  <c r="F435" i="3"/>
  <c r="V435" i="3"/>
  <c r="W435" i="3" s="1"/>
  <c r="A436" i="3"/>
  <c r="B436" i="3" s="1"/>
  <c r="AC436" i="3" l="1"/>
  <c r="Z436" i="3"/>
  <c r="P436" i="3"/>
  <c r="Q436" i="3" s="1"/>
  <c r="R436" i="3" s="1"/>
  <c r="S436" i="3" s="1"/>
  <c r="AA436" i="3"/>
  <c r="AD436" i="3"/>
  <c r="U435" i="3"/>
  <c r="Y434" i="3"/>
  <c r="T436" i="3" l="1"/>
  <c r="E436" i="3" l="1"/>
  <c r="H436" i="3" s="1"/>
  <c r="D436" i="3"/>
  <c r="AH436" i="3"/>
  <c r="AG436" i="3"/>
  <c r="F436" i="3" l="1"/>
  <c r="G436" i="3"/>
  <c r="K436" i="3"/>
  <c r="AE436" i="3" s="1"/>
  <c r="I436" i="3" l="1"/>
  <c r="J436" i="3"/>
  <c r="M436" i="3"/>
  <c r="N436" i="3" s="1"/>
  <c r="V436" i="3"/>
  <c r="A437" i="3"/>
  <c r="B437" i="3" s="1"/>
  <c r="W436" i="3" l="1"/>
  <c r="L436" i="3"/>
  <c r="AC437" i="3"/>
  <c r="AA437" i="3"/>
  <c r="P437" i="3"/>
  <c r="Q437" i="3" s="1"/>
  <c r="R437" i="3" s="1"/>
  <c r="S437" i="3" s="1"/>
  <c r="Z437" i="3"/>
  <c r="U436" i="3" l="1"/>
  <c r="Y435" i="3"/>
  <c r="T437" i="3"/>
  <c r="AH437" i="3" s="1"/>
  <c r="D437" i="3" l="1"/>
  <c r="G437" i="3" s="1"/>
  <c r="E437" i="3"/>
  <c r="H437" i="3" s="1"/>
  <c r="K437" i="3" s="1"/>
  <c r="AE437" i="3" s="1"/>
  <c r="AG437" i="3"/>
  <c r="F437" i="3" l="1"/>
  <c r="I437" i="3"/>
  <c r="J437" i="3"/>
  <c r="AD437" i="3" s="1"/>
  <c r="M437" i="3"/>
  <c r="N437" i="3" s="1"/>
  <c r="V437" i="3"/>
  <c r="A438" i="3"/>
  <c r="B438" i="3" s="1"/>
  <c r="W437" i="3" l="1"/>
  <c r="L437" i="3"/>
  <c r="Z438" i="3"/>
  <c r="P438" i="3"/>
  <c r="Q438" i="3" s="1"/>
  <c r="R438" i="3" s="1"/>
  <c r="S438" i="3" s="1"/>
  <c r="AC438" i="3"/>
  <c r="AA438" i="3"/>
  <c r="U437" i="3" l="1"/>
  <c r="Y436" i="3"/>
  <c r="T438" i="3"/>
  <c r="E438" i="3" l="1"/>
  <c r="H438" i="3" s="1"/>
  <c r="K438" i="3" s="1"/>
  <c r="AE438" i="3" s="1"/>
  <c r="D438" i="3"/>
  <c r="AH438" i="3"/>
  <c r="AG438" i="3"/>
  <c r="V438" i="3" l="1"/>
  <c r="A439" i="3"/>
  <c r="B439" i="3" s="1"/>
  <c r="F438" i="3"/>
  <c r="G438" i="3"/>
  <c r="I438" i="3" l="1"/>
  <c r="W438" i="3" s="1"/>
  <c r="J438" i="3"/>
  <c r="AD438" i="3" s="1"/>
  <c r="M438" i="3"/>
  <c r="N438" i="3" s="1"/>
  <c r="Z439" i="3"/>
  <c r="P439" i="3"/>
  <c r="Q439" i="3" s="1"/>
  <c r="R439" i="3" s="1"/>
  <c r="S439" i="3" s="1"/>
  <c r="AD439" i="3"/>
  <c r="AC439" i="3"/>
  <c r="AA439" i="3"/>
  <c r="T439" i="3" l="1"/>
  <c r="L438" i="3"/>
  <c r="AG439" i="3" l="1"/>
  <c r="AH439" i="3"/>
  <c r="U438" i="3"/>
  <c r="E439" i="3" s="1"/>
  <c r="H439" i="3" s="1"/>
  <c r="Y437" i="3"/>
  <c r="D439" i="3" l="1"/>
  <c r="G439" i="3" s="1"/>
  <c r="K439" i="3"/>
  <c r="AE439" i="3" s="1"/>
  <c r="F439" i="3" l="1"/>
  <c r="V439" i="3"/>
  <c r="A440" i="3"/>
  <c r="B440" i="3" s="1"/>
  <c r="I439" i="3"/>
  <c r="J439" i="3"/>
  <c r="M439" i="3"/>
  <c r="N439" i="3" s="1"/>
  <c r="W439" i="3" l="1"/>
  <c r="L439" i="3"/>
  <c r="Z440" i="3"/>
  <c r="AC440" i="3"/>
  <c r="P440" i="3"/>
  <c r="Q440" i="3" s="1"/>
  <c r="R440" i="3" s="1"/>
  <c r="S440" i="3" s="1"/>
  <c r="AA440" i="3"/>
  <c r="AD440" i="3"/>
  <c r="T440" i="3" l="1"/>
  <c r="AH440" i="3" s="1"/>
  <c r="U439" i="3"/>
  <c r="Y438" i="3"/>
  <c r="AG440" i="3" l="1"/>
  <c r="D440" i="3"/>
  <c r="E440" i="3"/>
  <c r="H440" i="3" s="1"/>
  <c r="K440" i="3" l="1"/>
  <c r="AE440" i="3" s="1"/>
  <c r="F440" i="3"/>
  <c r="G440" i="3"/>
  <c r="I440" i="3" l="1"/>
  <c r="J440" i="3"/>
  <c r="M440" i="3"/>
  <c r="N440" i="3" s="1"/>
  <c r="V440" i="3"/>
  <c r="A441" i="3"/>
  <c r="B441" i="3" s="1"/>
  <c r="W440" i="3" l="1"/>
  <c r="L440" i="3"/>
  <c r="P441" i="3"/>
  <c r="Q441" i="3" s="1"/>
  <c r="R441" i="3" s="1"/>
  <c r="S441" i="3" s="1"/>
  <c r="AD441" i="3"/>
  <c r="AC441" i="3"/>
  <c r="Z441" i="3"/>
  <c r="AA441" i="3"/>
  <c r="T441" i="3" l="1"/>
  <c r="AH441" i="3" s="1"/>
  <c r="U440" i="3"/>
  <c r="Y439" i="3"/>
  <c r="E441" i="3" l="1"/>
  <c r="H441" i="3" s="1"/>
  <c r="K441" i="3" s="1"/>
  <c r="AE441" i="3" s="1"/>
  <c r="AG441" i="3"/>
  <c r="D441" i="3"/>
  <c r="V441" i="3" l="1"/>
  <c r="A442" i="3"/>
  <c r="B442" i="3" s="1"/>
  <c r="F441" i="3"/>
  <c r="G441" i="3"/>
  <c r="I441" i="3" l="1"/>
  <c r="W441" i="3" s="1"/>
  <c r="J441" i="3"/>
  <c r="M441" i="3"/>
  <c r="N441" i="3" s="1"/>
  <c r="AC442" i="3"/>
  <c r="AD442" i="3"/>
  <c r="AA442" i="3"/>
  <c r="P442" i="3"/>
  <c r="Q442" i="3" s="1"/>
  <c r="R442" i="3" s="1"/>
  <c r="S442" i="3" s="1"/>
  <c r="Z442" i="3"/>
  <c r="T442" i="3" l="1"/>
  <c r="L441" i="3"/>
  <c r="U441" i="3" l="1"/>
  <c r="D442" i="3" s="1"/>
  <c r="AH442" i="3"/>
  <c r="AG442" i="3"/>
  <c r="Y440" i="3"/>
  <c r="G442" i="3" l="1"/>
  <c r="E442" i="3"/>
  <c r="H442" i="3" s="1"/>
  <c r="I442" i="3" l="1"/>
  <c r="J442" i="3"/>
  <c r="M442" i="3"/>
  <c r="N442" i="3" s="1"/>
  <c r="F442" i="3"/>
  <c r="K442" i="3"/>
  <c r="AE442" i="3" s="1"/>
  <c r="V442" i="3" l="1"/>
  <c r="W442" i="3" s="1"/>
  <c r="A443" i="3"/>
  <c r="B443" i="3" s="1"/>
  <c r="L442" i="3"/>
  <c r="U442" i="3" l="1"/>
  <c r="Y441" i="3"/>
  <c r="Z443" i="3"/>
  <c r="P443" i="3"/>
  <c r="Q443" i="3" s="1"/>
  <c r="R443" i="3" s="1"/>
  <c r="S443" i="3" s="1"/>
  <c r="AD443" i="3"/>
  <c r="AC443" i="3"/>
  <c r="AA443" i="3"/>
  <c r="T443" i="3" l="1"/>
  <c r="D443" i="3" s="1"/>
  <c r="E443" i="3" l="1"/>
  <c r="H443" i="3" s="1"/>
  <c r="K443" i="3" s="1"/>
  <c r="AE443" i="3" s="1"/>
  <c r="G443" i="3"/>
  <c r="AG443" i="3"/>
  <c r="AH443" i="3"/>
  <c r="F443" i="3" l="1"/>
  <c r="V443" i="3"/>
  <c r="A444" i="3"/>
  <c r="B444" i="3" s="1"/>
  <c r="I443" i="3"/>
  <c r="J443" i="3"/>
  <c r="M443" i="3"/>
  <c r="N443" i="3" s="1"/>
  <c r="W443" i="3" l="1"/>
  <c r="L443" i="3"/>
  <c r="Z444" i="3"/>
  <c r="P444" i="3"/>
  <c r="Q444" i="3" s="1"/>
  <c r="R444" i="3" s="1"/>
  <c r="S444" i="3" s="1"/>
  <c r="AA444" i="3"/>
  <c r="AC444" i="3"/>
  <c r="U443" i="3" l="1"/>
  <c r="Y442" i="3"/>
  <c r="T444" i="3"/>
  <c r="AG444" i="3" s="1"/>
  <c r="AH444" i="3" l="1"/>
  <c r="D444" i="3"/>
  <c r="E444" i="3"/>
  <c r="H444" i="3" s="1"/>
  <c r="F444" i="3" l="1"/>
  <c r="G444" i="3"/>
  <c r="K444" i="3"/>
  <c r="AE444" i="3" s="1"/>
  <c r="I444" i="3" l="1"/>
  <c r="J444" i="3"/>
  <c r="AD444" i="3" s="1"/>
  <c r="M444" i="3"/>
  <c r="N444" i="3" s="1"/>
  <c r="V444" i="3"/>
  <c r="A445" i="3"/>
  <c r="B445" i="3" s="1"/>
  <c r="W444" i="3" l="1"/>
  <c r="L444" i="3"/>
  <c r="AA445" i="3"/>
  <c r="P445" i="3"/>
  <c r="Q445" i="3" s="1"/>
  <c r="R445" i="3" s="1"/>
  <c r="S445" i="3" s="1"/>
  <c r="Z445" i="3"/>
  <c r="AD445" i="3"/>
  <c r="AC445" i="3"/>
  <c r="T445" i="3" l="1"/>
  <c r="U444" i="3"/>
  <c r="Y443" i="3"/>
  <c r="D445" i="3" l="1"/>
  <c r="G445" i="3" s="1"/>
  <c r="AG445" i="3"/>
  <c r="E445" i="3"/>
  <c r="H445" i="3" s="1"/>
  <c r="AH445" i="3"/>
  <c r="K445" i="3" l="1"/>
  <c r="AE445" i="3" s="1"/>
  <c r="I445" i="3"/>
  <c r="J445" i="3"/>
  <c r="M445" i="3"/>
  <c r="N445" i="3" s="1"/>
  <c r="F445" i="3"/>
  <c r="L445" i="3" l="1"/>
  <c r="V445" i="3"/>
  <c r="W445" i="3" s="1"/>
  <c r="A446" i="3"/>
  <c r="B446" i="3" s="1"/>
  <c r="AD446" i="3" l="1"/>
  <c r="AC446" i="3"/>
  <c r="P446" i="3"/>
  <c r="Q446" i="3" s="1"/>
  <c r="R446" i="3" s="1"/>
  <c r="S446" i="3" s="1"/>
  <c r="Z446" i="3"/>
  <c r="AA446" i="3"/>
  <c r="U445" i="3"/>
  <c r="Y444" i="3"/>
  <c r="T446" i="3" l="1"/>
  <c r="D446" i="3" s="1"/>
  <c r="AG446" i="3" l="1"/>
  <c r="G446" i="3"/>
  <c r="E446" i="3"/>
  <c r="H446" i="3" s="1"/>
  <c r="AH446" i="3"/>
  <c r="K446" i="3" l="1"/>
  <c r="AE446" i="3" s="1"/>
  <c r="F446" i="3"/>
  <c r="I446" i="3"/>
  <c r="J446" i="3"/>
  <c r="M446" i="3"/>
  <c r="N446" i="3" s="1"/>
  <c r="L446" i="3" l="1"/>
  <c r="V446" i="3"/>
  <c r="W446" i="3" s="1"/>
  <c r="A447" i="3"/>
  <c r="B447" i="3" s="1"/>
  <c r="Z447" i="3" l="1"/>
  <c r="P447" i="3"/>
  <c r="Q447" i="3" s="1"/>
  <c r="R447" i="3" s="1"/>
  <c r="S447" i="3" s="1"/>
  <c r="AC447" i="3"/>
  <c r="AA447" i="3"/>
  <c r="U446" i="3"/>
  <c r="Y445" i="3"/>
  <c r="T447" i="3" l="1"/>
  <c r="AG447" i="3" s="1"/>
  <c r="D447" i="3" l="1"/>
  <c r="G447" i="3" s="1"/>
  <c r="AH447" i="3"/>
  <c r="E447" i="3"/>
  <c r="H447" i="3" s="1"/>
  <c r="K447" i="3" s="1"/>
  <c r="AE447" i="3" s="1"/>
  <c r="F447" i="3" l="1"/>
  <c r="I447" i="3"/>
  <c r="J447" i="3"/>
  <c r="AD447" i="3" s="1"/>
  <c r="M447" i="3"/>
  <c r="N447" i="3" s="1"/>
  <c r="V447" i="3"/>
  <c r="A448" i="3"/>
  <c r="B448" i="3" s="1"/>
  <c r="W447" i="3" l="1"/>
  <c r="L447" i="3"/>
  <c r="Z448" i="3"/>
  <c r="AA448" i="3"/>
  <c r="P448" i="3"/>
  <c r="Q448" i="3" s="1"/>
  <c r="R448" i="3" s="1"/>
  <c r="S448" i="3" s="1"/>
  <c r="AC448" i="3"/>
  <c r="T448" i="3" l="1"/>
  <c r="AG448" i="3" s="1"/>
  <c r="U447" i="3"/>
  <c r="Y446" i="3"/>
  <c r="D448" i="3" l="1"/>
  <c r="G448" i="3" s="1"/>
  <c r="E448" i="3"/>
  <c r="H448" i="3" s="1"/>
  <c r="AH448" i="3"/>
  <c r="F448" i="3" l="1"/>
  <c r="I448" i="3"/>
  <c r="J448" i="3"/>
  <c r="AD448" i="3" s="1"/>
  <c r="M448" i="3"/>
  <c r="N448" i="3" s="1"/>
  <c r="K448" i="3"/>
  <c r="AE448" i="3" s="1"/>
  <c r="V448" i="3" l="1"/>
  <c r="W448" i="3" s="1"/>
  <c r="A449" i="3"/>
  <c r="B449" i="3" s="1"/>
  <c r="L448" i="3"/>
  <c r="U448" i="3" l="1"/>
  <c r="Y447" i="3"/>
  <c r="P449" i="3"/>
  <c r="Q449" i="3" s="1"/>
  <c r="R449" i="3" s="1"/>
  <c r="S449" i="3" s="1"/>
  <c r="AD449" i="3"/>
  <c r="AA449" i="3"/>
  <c r="Z449" i="3"/>
  <c r="AC449" i="3"/>
  <c r="T449" i="3" l="1"/>
  <c r="D449" i="3" s="1"/>
  <c r="G449" i="3" l="1"/>
  <c r="AG449" i="3"/>
  <c r="AH449" i="3"/>
  <c r="E449" i="3"/>
  <c r="H449" i="3" s="1"/>
  <c r="K449" i="3" l="1"/>
  <c r="AE449" i="3" s="1"/>
  <c r="F449" i="3"/>
  <c r="I449" i="3"/>
  <c r="J449" i="3"/>
  <c r="M449" i="3"/>
  <c r="N449" i="3" s="1"/>
  <c r="L449" i="3" l="1"/>
  <c r="V449" i="3"/>
  <c r="W449" i="3" s="1"/>
  <c r="A450" i="3"/>
  <c r="B450" i="3" s="1"/>
  <c r="P450" i="3" l="1"/>
  <c r="Q450" i="3" s="1"/>
  <c r="R450" i="3" s="1"/>
  <c r="S450" i="3" s="1"/>
  <c r="AD450" i="3"/>
  <c r="Z450" i="3"/>
  <c r="AC450" i="3"/>
  <c r="AA450" i="3"/>
  <c r="U449" i="3"/>
  <c r="Y448" i="3"/>
  <c r="T450" i="3" l="1"/>
  <c r="D450" i="3" s="1"/>
  <c r="AH450" i="3" l="1"/>
  <c r="G450" i="3"/>
  <c r="E450" i="3"/>
  <c r="H450" i="3" s="1"/>
  <c r="AG450" i="3"/>
  <c r="F450" i="3" l="1"/>
  <c r="I450" i="3"/>
  <c r="J450" i="3"/>
  <c r="M450" i="3"/>
  <c r="N450" i="3" s="1"/>
  <c r="K450" i="3"/>
  <c r="AE450" i="3" s="1"/>
  <c r="V450" i="3" l="1"/>
  <c r="W450" i="3" s="1"/>
  <c r="A451" i="3"/>
  <c r="B451" i="3" s="1"/>
  <c r="L450" i="3"/>
  <c r="U450" i="3" l="1"/>
  <c r="Y449" i="3"/>
  <c r="P451" i="3"/>
  <c r="Q451" i="3" s="1"/>
  <c r="R451" i="3" s="1"/>
  <c r="S451" i="3" s="1"/>
  <c r="Z451" i="3"/>
  <c r="AD451" i="3"/>
  <c r="AA451" i="3"/>
  <c r="AC451" i="3"/>
  <c r="T451" i="3" l="1"/>
  <c r="AG451" i="3" s="1"/>
  <c r="E451" i="3" l="1"/>
  <c r="H451" i="3" s="1"/>
  <c r="K451" i="3" s="1"/>
  <c r="AE451" i="3" s="1"/>
  <c r="AH451" i="3"/>
  <c r="D451" i="3"/>
  <c r="V451" i="3" l="1"/>
  <c r="A452" i="3"/>
  <c r="B452" i="3" s="1"/>
  <c r="F451" i="3"/>
  <c r="G451" i="3"/>
  <c r="I451" i="3" l="1"/>
  <c r="W451" i="3" s="1"/>
  <c r="J451" i="3"/>
  <c r="M451" i="3"/>
  <c r="N451" i="3" s="1"/>
  <c r="AA452" i="3"/>
  <c r="P452" i="3"/>
  <c r="Q452" i="3" s="1"/>
  <c r="R452" i="3" s="1"/>
  <c r="S452" i="3" s="1"/>
  <c r="AC452" i="3"/>
  <c r="Z452" i="3"/>
  <c r="AD452" i="3"/>
  <c r="T452" i="3" l="1"/>
  <c r="L451" i="3"/>
  <c r="U451" i="3" l="1"/>
  <c r="D452" i="3" s="1"/>
  <c r="AH452" i="3"/>
  <c r="AG452" i="3"/>
  <c r="Y450" i="3"/>
  <c r="E452" i="3" l="1"/>
  <c r="H452" i="3" s="1"/>
  <c r="K452" i="3" s="1"/>
  <c r="AE452" i="3" s="1"/>
  <c r="G452" i="3"/>
  <c r="F452" i="3" l="1"/>
  <c r="I452" i="3"/>
  <c r="J452" i="3"/>
  <c r="M452" i="3"/>
  <c r="N452" i="3" s="1"/>
  <c r="V452" i="3"/>
  <c r="A453" i="3"/>
  <c r="B453" i="3" s="1"/>
  <c r="W452" i="3" l="1"/>
  <c r="L452" i="3"/>
  <c r="AA453" i="3"/>
  <c r="P453" i="3"/>
  <c r="Q453" i="3" s="1"/>
  <c r="R453" i="3" s="1"/>
  <c r="S453" i="3" s="1"/>
  <c r="AC453" i="3"/>
  <c r="AD453" i="3"/>
  <c r="Z453" i="3"/>
  <c r="U452" i="3" l="1"/>
  <c r="Y451" i="3"/>
  <c r="T453" i="3"/>
  <c r="AH453" i="3" s="1"/>
  <c r="AG453" i="3" l="1"/>
  <c r="E453" i="3"/>
  <c r="H453" i="3" s="1"/>
  <c r="D453" i="3"/>
  <c r="K453" i="3" l="1"/>
  <c r="AE453" i="3" s="1"/>
  <c r="F453" i="3"/>
  <c r="G453" i="3"/>
  <c r="I453" i="3" l="1"/>
  <c r="J453" i="3"/>
  <c r="M453" i="3"/>
  <c r="N453" i="3" s="1"/>
  <c r="V453" i="3"/>
  <c r="A454" i="3"/>
  <c r="B454" i="3" s="1"/>
  <c r="W453" i="3" l="1"/>
  <c r="AA454" i="3"/>
  <c r="AC454" i="3"/>
  <c r="Z454" i="3"/>
  <c r="P454" i="3"/>
  <c r="Q454" i="3" s="1"/>
  <c r="R454" i="3" s="1"/>
  <c r="S454" i="3" s="1"/>
  <c r="L453" i="3"/>
  <c r="U453" i="3" l="1"/>
  <c r="Y452" i="3"/>
  <c r="T454" i="3"/>
  <c r="E454" i="3" l="1"/>
  <c r="H454" i="3" s="1"/>
  <c r="K454" i="3" s="1"/>
  <c r="AE454" i="3" s="1"/>
  <c r="AH454" i="3"/>
  <c r="AG454" i="3"/>
  <c r="D454" i="3"/>
  <c r="F454" i="3" l="1"/>
  <c r="G454" i="3"/>
  <c r="V454" i="3"/>
  <c r="A455" i="3"/>
  <c r="B455" i="3" s="1"/>
  <c r="AC455" i="3" l="1"/>
  <c r="AD455" i="3"/>
  <c r="AA455" i="3"/>
  <c r="Z455" i="3"/>
  <c r="P455" i="3"/>
  <c r="Q455" i="3" s="1"/>
  <c r="R455" i="3" s="1"/>
  <c r="S455" i="3" s="1"/>
  <c r="I454" i="3"/>
  <c r="W454" i="3" s="1"/>
  <c r="J454" i="3"/>
  <c r="AD454" i="3" s="1"/>
  <c r="M454" i="3"/>
  <c r="N454" i="3" s="1"/>
  <c r="L454" i="3" l="1"/>
  <c r="T455" i="3"/>
  <c r="AH455" i="3" l="1"/>
  <c r="U454" i="3"/>
  <c r="D455" i="3" s="1"/>
  <c r="AG455" i="3"/>
  <c r="Y453" i="3"/>
  <c r="E455" i="3" l="1"/>
  <c r="H455" i="3" s="1"/>
  <c r="K455" i="3" s="1"/>
  <c r="AE455" i="3" s="1"/>
  <c r="G455" i="3"/>
  <c r="F455" i="3" l="1"/>
  <c r="I455" i="3"/>
  <c r="J455" i="3"/>
  <c r="M455" i="3"/>
  <c r="N455" i="3" s="1"/>
  <c r="V455" i="3"/>
  <c r="A456" i="3"/>
  <c r="B456" i="3" s="1"/>
  <c r="W455" i="3" l="1"/>
  <c r="L455" i="3"/>
  <c r="AC456" i="3"/>
  <c r="P456" i="3"/>
  <c r="Q456" i="3" s="1"/>
  <c r="R456" i="3" s="1"/>
  <c r="S456" i="3" s="1"/>
  <c r="AD456" i="3"/>
  <c r="Z456" i="3"/>
  <c r="AA456" i="3"/>
  <c r="U455" i="3" l="1"/>
  <c r="Y454" i="3"/>
  <c r="T456" i="3"/>
  <c r="AG456" i="3" s="1"/>
  <c r="D456" i="3" l="1"/>
  <c r="G456" i="3" s="1"/>
  <c r="AH456" i="3"/>
  <c r="E456" i="3"/>
  <c r="H456" i="3" s="1"/>
  <c r="I456" i="3" l="1"/>
  <c r="J456" i="3"/>
  <c r="M456" i="3"/>
  <c r="N456" i="3" s="1"/>
  <c r="K456" i="3"/>
  <c r="AE456" i="3" s="1"/>
  <c r="F456" i="3"/>
  <c r="V456" i="3" l="1"/>
  <c r="W456" i="3" s="1"/>
  <c r="A457" i="3"/>
  <c r="B457" i="3" s="1"/>
  <c r="L456" i="3"/>
  <c r="Z457" i="3" l="1"/>
  <c r="AC457" i="3"/>
  <c r="P457" i="3"/>
  <c r="Q457" i="3" s="1"/>
  <c r="R457" i="3" s="1"/>
  <c r="S457" i="3" s="1"/>
  <c r="AA457" i="3"/>
  <c r="U456" i="3"/>
  <c r="Y455" i="3"/>
  <c r="T457" i="3" l="1"/>
  <c r="D457" i="3" l="1"/>
  <c r="AH457" i="3"/>
  <c r="E457" i="3"/>
  <c r="H457" i="3" s="1"/>
  <c r="AG457" i="3"/>
  <c r="F457" i="3" l="1"/>
  <c r="G457" i="3"/>
  <c r="K457" i="3"/>
  <c r="AE457" i="3" s="1"/>
  <c r="I457" i="3" l="1"/>
  <c r="J457" i="3"/>
  <c r="AD457" i="3" s="1"/>
  <c r="M457" i="3"/>
  <c r="N457" i="3" s="1"/>
  <c r="V457" i="3"/>
  <c r="A458" i="3"/>
  <c r="B458" i="3" s="1"/>
  <c r="L457" i="3" l="1"/>
  <c r="W457" i="3"/>
  <c r="P458" i="3"/>
  <c r="Q458" i="3" s="1"/>
  <c r="R458" i="3" s="1"/>
  <c r="S458" i="3" s="1"/>
  <c r="AC458" i="3"/>
  <c r="Z458" i="3"/>
  <c r="AA458" i="3"/>
  <c r="U457" i="3" l="1"/>
  <c r="Y456" i="3"/>
  <c r="T458" i="3"/>
  <c r="AH458" i="3" s="1"/>
  <c r="AG458" i="3" l="1"/>
  <c r="E458" i="3"/>
  <c r="H458" i="3" s="1"/>
  <c r="D458" i="3"/>
  <c r="K458" i="3" l="1"/>
  <c r="AE458" i="3" s="1"/>
  <c r="F458" i="3"/>
  <c r="G458" i="3"/>
  <c r="V458" i="3" l="1"/>
  <c r="A459" i="3"/>
  <c r="B459" i="3" s="1"/>
  <c r="I458" i="3"/>
  <c r="J458" i="3"/>
  <c r="AD458" i="3" s="1"/>
  <c r="M458" i="3"/>
  <c r="N458" i="3" s="1"/>
  <c r="W458" i="3" l="1"/>
  <c r="L458" i="3"/>
  <c r="Z459" i="3"/>
  <c r="P459" i="3"/>
  <c r="Q459" i="3" s="1"/>
  <c r="R459" i="3" s="1"/>
  <c r="S459" i="3" s="1"/>
  <c r="AA459" i="3"/>
  <c r="AD459" i="3"/>
  <c r="AC459" i="3"/>
  <c r="T459" i="3" l="1"/>
  <c r="AH459" i="3" s="1"/>
  <c r="U458" i="3"/>
  <c r="Y457" i="3"/>
  <c r="AG459" i="3" l="1"/>
  <c r="D459" i="3"/>
  <c r="E459" i="3"/>
  <c r="H459" i="3" s="1"/>
  <c r="K459" i="3" l="1"/>
  <c r="AE459" i="3" s="1"/>
  <c r="F459" i="3"/>
  <c r="G459" i="3"/>
  <c r="I459" i="3" l="1"/>
  <c r="J459" i="3"/>
  <c r="M459" i="3"/>
  <c r="N459" i="3" s="1"/>
  <c r="V459" i="3"/>
  <c r="A460" i="3"/>
  <c r="B460" i="3" s="1"/>
  <c r="W459" i="3" l="1"/>
  <c r="L459" i="3"/>
  <c r="P460" i="3"/>
  <c r="Q460" i="3" s="1"/>
  <c r="R460" i="3" s="1"/>
  <c r="S460" i="3" s="1"/>
  <c r="AD460" i="3"/>
  <c r="Z460" i="3"/>
  <c r="AA460" i="3"/>
  <c r="AC460" i="3"/>
  <c r="U459" i="3" l="1"/>
  <c r="Y458" i="3"/>
  <c r="T460" i="3"/>
  <c r="D460" i="3" l="1"/>
  <c r="G460" i="3" s="1"/>
  <c r="AH460" i="3"/>
  <c r="E460" i="3"/>
  <c r="H460" i="3" s="1"/>
  <c r="AG460" i="3"/>
  <c r="F460" i="3" l="1"/>
  <c r="I460" i="3"/>
  <c r="J460" i="3"/>
  <c r="M460" i="3"/>
  <c r="N460" i="3" s="1"/>
  <c r="K460" i="3"/>
  <c r="AE460" i="3" s="1"/>
  <c r="V460" i="3" l="1"/>
  <c r="W460" i="3" s="1"/>
  <c r="A461" i="3"/>
  <c r="B461" i="3" s="1"/>
  <c r="L460" i="3"/>
  <c r="U460" i="3" l="1"/>
  <c r="Y459" i="3"/>
  <c r="AC461" i="3"/>
  <c r="Z461" i="3"/>
  <c r="P461" i="3"/>
  <c r="Q461" i="3" s="1"/>
  <c r="R461" i="3" s="1"/>
  <c r="S461" i="3" s="1"/>
  <c r="AA461" i="3"/>
  <c r="AD461" i="3"/>
  <c r="T461" i="3" l="1"/>
  <c r="D461" i="3" s="1"/>
  <c r="AG461" i="3" l="1"/>
  <c r="G461" i="3"/>
  <c r="AH461" i="3"/>
  <c r="E461" i="3"/>
  <c r="H461" i="3" s="1"/>
  <c r="F461" i="3" l="1"/>
  <c r="I461" i="3"/>
  <c r="J461" i="3"/>
  <c r="M461" i="3"/>
  <c r="N461" i="3" s="1"/>
  <c r="K461" i="3"/>
  <c r="AE461" i="3" s="1"/>
  <c r="V461" i="3" l="1"/>
  <c r="W461" i="3" s="1"/>
  <c r="A462" i="3"/>
  <c r="B462" i="3" s="1"/>
  <c r="L461" i="3"/>
  <c r="U461" i="3" l="1"/>
  <c r="Y460" i="3"/>
  <c r="Z462" i="3"/>
  <c r="P462" i="3"/>
  <c r="Q462" i="3" s="1"/>
  <c r="R462" i="3" s="1"/>
  <c r="S462" i="3" s="1"/>
  <c r="AD462" i="3"/>
  <c r="AA462" i="3"/>
  <c r="AC462" i="3"/>
  <c r="T462" i="3" l="1"/>
  <c r="E462" i="3" s="1"/>
  <c r="H462" i="3" s="1"/>
  <c r="AG462" i="3" l="1"/>
  <c r="AH462" i="3"/>
  <c r="D462" i="3"/>
  <c r="G462" i="3" s="1"/>
  <c r="K462" i="3"/>
  <c r="AE462" i="3" s="1"/>
  <c r="F462" i="3" l="1"/>
  <c r="V462" i="3"/>
  <c r="A463" i="3"/>
  <c r="B463" i="3" s="1"/>
  <c r="I462" i="3"/>
  <c r="J462" i="3"/>
  <c r="M462" i="3"/>
  <c r="N462" i="3" s="1"/>
  <c r="W462" i="3" l="1"/>
  <c r="L462" i="3"/>
  <c r="P463" i="3"/>
  <c r="Q463" i="3" s="1"/>
  <c r="R463" i="3" s="1"/>
  <c r="S463" i="3" s="1"/>
  <c r="AC463" i="3"/>
  <c r="Z463" i="3"/>
  <c r="AA463" i="3"/>
  <c r="AD463" i="3"/>
  <c r="U462" i="3" l="1"/>
  <c r="Y461" i="3"/>
  <c r="T463" i="3"/>
  <c r="AH463" i="3" s="1"/>
  <c r="AG463" i="3" l="1"/>
  <c r="D463" i="3"/>
  <c r="E463" i="3"/>
  <c r="H463" i="3" s="1"/>
  <c r="F463" i="3" l="1"/>
  <c r="G463" i="3"/>
  <c r="K463" i="3"/>
  <c r="AE463" i="3" s="1"/>
  <c r="V463" i="3" l="1"/>
  <c r="A464" i="3"/>
  <c r="B464" i="3" s="1"/>
  <c r="I463" i="3"/>
  <c r="J463" i="3"/>
  <c r="M463" i="3"/>
  <c r="N463" i="3" s="1"/>
  <c r="W463" i="3" l="1"/>
  <c r="L463" i="3"/>
  <c r="Z464" i="3"/>
  <c r="AC464" i="3"/>
  <c r="P464" i="3"/>
  <c r="Q464" i="3" s="1"/>
  <c r="R464" i="3" s="1"/>
  <c r="S464" i="3" s="1"/>
  <c r="AA464" i="3"/>
  <c r="T464" i="3" l="1"/>
  <c r="AG464" i="3" s="1"/>
  <c r="U463" i="3"/>
  <c r="Y462" i="3"/>
  <c r="AH464" i="3" l="1"/>
  <c r="D464" i="3"/>
  <c r="E464" i="3"/>
  <c r="H464" i="3" s="1"/>
  <c r="K464" i="3" l="1"/>
  <c r="AE464" i="3" s="1"/>
  <c r="F464" i="3"/>
  <c r="G464" i="3"/>
  <c r="I464" i="3" l="1"/>
  <c r="J464" i="3"/>
  <c r="AD464" i="3" s="1"/>
  <c r="M464" i="3"/>
  <c r="N464" i="3" s="1"/>
  <c r="V464" i="3"/>
  <c r="A465" i="3"/>
  <c r="B465" i="3" s="1"/>
  <c r="W464" i="3" l="1"/>
  <c r="L464" i="3"/>
  <c r="Z465" i="3"/>
  <c r="P465" i="3"/>
  <c r="Q465" i="3" s="1"/>
  <c r="R465" i="3" s="1"/>
  <c r="S465" i="3" s="1"/>
  <c r="AC465" i="3"/>
  <c r="AA465" i="3"/>
  <c r="T465" i="3" l="1"/>
  <c r="AH465" i="3" s="1"/>
  <c r="U464" i="3"/>
  <c r="Y463" i="3"/>
  <c r="D465" i="3" l="1"/>
  <c r="G465" i="3" s="1"/>
  <c r="E465" i="3"/>
  <c r="H465" i="3" s="1"/>
  <c r="AG465" i="3"/>
  <c r="F465" i="3" l="1"/>
  <c r="I465" i="3"/>
  <c r="J465" i="3"/>
  <c r="AD465" i="3" s="1"/>
  <c r="M465" i="3"/>
  <c r="N465" i="3" s="1"/>
  <c r="K465" i="3"/>
  <c r="AE465" i="3" s="1"/>
  <c r="V465" i="3" l="1"/>
  <c r="W465" i="3" s="1"/>
  <c r="A466" i="3"/>
  <c r="B466" i="3" s="1"/>
  <c r="L465" i="3"/>
  <c r="U465" i="3" l="1"/>
  <c r="Y464" i="3"/>
  <c r="AA466" i="3"/>
  <c r="AC466" i="3"/>
  <c r="Z466" i="3"/>
  <c r="P466" i="3"/>
  <c r="Q466" i="3" s="1"/>
  <c r="R466" i="3" s="1"/>
  <c r="S466" i="3" s="1"/>
  <c r="T466" i="3" l="1"/>
  <c r="AH466" i="3" s="1"/>
  <c r="AG466" i="3" l="1"/>
  <c r="E466" i="3"/>
  <c r="H466" i="3" s="1"/>
  <c r="K466" i="3" s="1"/>
  <c r="AE466" i="3" s="1"/>
  <c r="D466" i="3"/>
  <c r="G466" i="3" s="1"/>
  <c r="F466" i="3" l="1"/>
  <c r="I466" i="3"/>
  <c r="J466" i="3"/>
  <c r="AD466" i="3" s="1"/>
  <c r="M466" i="3"/>
  <c r="N466" i="3" s="1"/>
  <c r="V466" i="3"/>
  <c r="A467" i="3"/>
  <c r="B467" i="3" s="1"/>
  <c r="W466" i="3" l="1"/>
  <c r="L466" i="3"/>
  <c r="P467" i="3"/>
  <c r="Q467" i="3" s="1"/>
  <c r="R467" i="3" s="1"/>
  <c r="S467" i="3" s="1"/>
  <c r="AA467" i="3"/>
  <c r="Z467" i="3"/>
  <c r="AC467" i="3"/>
  <c r="U466" i="3" l="1"/>
  <c r="Y465" i="3"/>
  <c r="T467" i="3"/>
  <c r="E467" i="3" l="1"/>
  <c r="H467" i="3" s="1"/>
  <c r="K467" i="3" s="1"/>
  <c r="AE467" i="3" s="1"/>
  <c r="AG467" i="3"/>
  <c r="D467" i="3"/>
  <c r="AH467" i="3"/>
  <c r="F467" i="3" l="1"/>
  <c r="G467" i="3"/>
  <c r="V467" i="3"/>
  <c r="A468" i="3"/>
  <c r="B468" i="3" s="1"/>
  <c r="AC468" i="3" l="1"/>
  <c r="Z468" i="3"/>
  <c r="P468" i="3"/>
  <c r="Q468" i="3" s="1"/>
  <c r="R468" i="3" s="1"/>
  <c r="S468" i="3" s="1"/>
  <c r="AA468" i="3"/>
  <c r="I467" i="3"/>
  <c r="W467" i="3" s="1"/>
  <c r="J467" i="3"/>
  <c r="AD467" i="3" s="1"/>
  <c r="M467" i="3"/>
  <c r="N467" i="3" s="1"/>
  <c r="L467" i="3" l="1"/>
  <c r="T468" i="3"/>
  <c r="U467" i="3" l="1"/>
  <c r="D468" i="3" s="1"/>
  <c r="AH468" i="3"/>
  <c r="AG468" i="3"/>
  <c r="Y466" i="3"/>
  <c r="E468" i="3" l="1"/>
  <c r="H468" i="3" s="1"/>
  <c r="K468" i="3" s="1"/>
  <c r="AE468" i="3" s="1"/>
  <c r="G468" i="3"/>
  <c r="F468" i="3" l="1"/>
  <c r="I468" i="3"/>
  <c r="J468" i="3"/>
  <c r="AD468" i="3" s="1"/>
  <c r="M468" i="3"/>
  <c r="N468" i="3" s="1"/>
  <c r="V468" i="3"/>
  <c r="A469" i="3"/>
  <c r="B469" i="3" s="1"/>
  <c r="W468" i="3" l="1"/>
  <c r="L468" i="3"/>
  <c r="AA469" i="3"/>
  <c r="P469" i="3"/>
  <c r="Q469" i="3" s="1"/>
  <c r="R469" i="3" s="1"/>
  <c r="S469" i="3" s="1"/>
  <c r="Z469" i="3"/>
  <c r="AC469" i="3"/>
  <c r="U468" i="3" l="1"/>
  <c r="Y467" i="3"/>
  <c r="T469" i="3"/>
  <c r="AG469" i="3" s="1"/>
  <c r="D469" i="3" l="1"/>
  <c r="G469" i="3" s="1"/>
  <c r="AH469" i="3"/>
  <c r="E469" i="3"/>
  <c r="H469" i="3" s="1"/>
  <c r="K469" i="3" s="1"/>
  <c r="AE469" i="3" s="1"/>
  <c r="F469" i="3" l="1"/>
  <c r="I469" i="3"/>
  <c r="J469" i="3"/>
  <c r="AD469" i="3" s="1"/>
  <c r="M469" i="3"/>
  <c r="N469" i="3" s="1"/>
  <c r="V469" i="3"/>
  <c r="A470" i="3"/>
  <c r="B470" i="3" s="1"/>
  <c r="W469" i="3" l="1"/>
  <c r="L469" i="3"/>
  <c r="AC470" i="3"/>
  <c r="P470" i="3"/>
  <c r="Q470" i="3" s="1"/>
  <c r="R470" i="3" s="1"/>
  <c r="S470" i="3" s="1"/>
  <c r="AA470" i="3"/>
  <c r="Z470" i="3"/>
  <c r="U469" i="3" l="1"/>
  <c r="Y468" i="3"/>
  <c r="T470" i="3"/>
  <c r="D470" i="3" l="1"/>
  <c r="G470" i="3" s="1"/>
  <c r="AH470" i="3"/>
  <c r="AG470" i="3"/>
  <c r="E470" i="3"/>
  <c r="H470" i="3" s="1"/>
  <c r="K470" i="3" l="1"/>
  <c r="AE470" i="3" s="1"/>
  <c r="F470" i="3"/>
  <c r="I470" i="3"/>
  <c r="J470" i="3"/>
  <c r="AD470" i="3" s="1"/>
  <c r="M470" i="3"/>
  <c r="N470" i="3" s="1"/>
  <c r="V470" i="3" l="1"/>
  <c r="W470" i="3" s="1"/>
  <c r="A471" i="3"/>
  <c r="B471" i="3" s="1"/>
  <c r="L470" i="3"/>
  <c r="U470" i="3" l="1"/>
  <c r="Y469" i="3"/>
  <c r="Z471" i="3"/>
  <c r="AA471" i="3"/>
  <c r="AC471" i="3"/>
  <c r="P471" i="3"/>
  <c r="Q471" i="3" s="1"/>
  <c r="R471" i="3" s="1"/>
  <c r="S471" i="3" s="1"/>
  <c r="T471" i="3" l="1"/>
  <c r="AH471" i="3" s="1"/>
  <c r="AG471" i="3" l="1"/>
  <c r="E471" i="3"/>
  <c r="H471" i="3" s="1"/>
  <c r="D471" i="3"/>
  <c r="F471" i="3" l="1"/>
  <c r="G471" i="3"/>
  <c r="K471" i="3"/>
  <c r="AE471" i="3" s="1"/>
  <c r="V471" i="3" l="1"/>
  <c r="A472" i="3"/>
  <c r="B472" i="3" s="1"/>
  <c r="I471" i="3"/>
  <c r="J471" i="3"/>
  <c r="AD471" i="3" s="1"/>
  <c r="M471" i="3"/>
  <c r="N471" i="3" s="1"/>
  <c r="W471" i="3" l="1"/>
  <c r="L471" i="3"/>
  <c r="Z472" i="3"/>
  <c r="AA472" i="3"/>
  <c r="P472" i="3"/>
  <c r="Q472" i="3" s="1"/>
  <c r="R472" i="3" s="1"/>
  <c r="S472" i="3" s="1"/>
  <c r="AC472" i="3"/>
  <c r="U471" i="3" l="1"/>
  <c r="Y470" i="3"/>
  <c r="T472" i="3"/>
  <c r="E472" i="3" l="1"/>
  <c r="H472" i="3" s="1"/>
  <c r="K472" i="3" s="1"/>
  <c r="AE472" i="3" s="1"/>
  <c r="AG472" i="3"/>
  <c r="AH472" i="3"/>
  <c r="D472" i="3"/>
  <c r="V472" i="3" l="1"/>
  <c r="A473" i="3"/>
  <c r="B473" i="3" s="1"/>
  <c r="F472" i="3"/>
  <c r="G472" i="3"/>
  <c r="I472" i="3" l="1"/>
  <c r="W472" i="3" s="1"/>
  <c r="J472" i="3"/>
  <c r="AD472" i="3" s="1"/>
  <c r="M472" i="3"/>
  <c r="N472" i="3" s="1"/>
  <c r="AC473" i="3"/>
  <c r="P473" i="3"/>
  <c r="Q473" i="3" s="1"/>
  <c r="R473" i="3" s="1"/>
  <c r="S473" i="3" s="1"/>
  <c r="Z473" i="3"/>
  <c r="AA473" i="3"/>
  <c r="L472" i="3" l="1"/>
  <c r="T473" i="3"/>
  <c r="U472" i="3" l="1"/>
  <c r="D473" i="3" s="1"/>
  <c r="AH473" i="3"/>
  <c r="AG473" i="3"/>
  <c r="Y471" i="3"/>
  <c r="G473" i="3" l="1"/>
  <c r="E473" i="3"/>
  <c r="H473" i="3" s="1"/>
  <c r="F473" i="3" l="1"/>
  <c r="I473" i="3"/>
  <c r="J473" i="3"/>
  <c r="AD473" i="3" s="1"/>
  <c r="M473" i="3"/>
  <c r="N473" i="3" s="1"/>
  <c r="K473" i="3"/>
  <c r="AE473" i="3" s="1"/>
  <c r="V473" i="3" l="1"/>
  <c r="W473" i="3" s="1"/>
  <c r="A474" i="3"/>
  <c r="B474" i="3" s="1"/>
  <c r="L473" i="3"/>
  <c r="U473" i="3" l="1"/>
  <c r="Y472" i="3"/>
  <c r="P474" i="3"/>
  <c r="Q474" i="3" s="1"/>
  <c r="R474" i="3" s="1"/>
  <c r="S474" i="3" s="1"/>
  <c r="Z474" i="3"/>
  <c r="AA474" i="3"/>
  <c r="AC474" i="3"/>
  <c r="T474" i="3" l="1"/>
  <c r="D474" i="3" s="1"/>
  <c r="AG474" i="3" l="1"/>
  <c r="AH474" i="3"/>
  <c r="G474" i="3"/>
  <c r="E474" i="3"/>
  <c r="H474" i="3" s="1"/>
  <c r="I474" i="3" l="1"/>
  <c r="J474" i="3"/>
  <c r="AD474" i="3" s="1"/>
  <c r="M474" i="3"/>
  <c r="N474" i="3" s="1"/>
  <c r="F474" i="3"/>
  <c r="K474" i="3"/>
  <c r="AE474" i="3" s="1"/>
  <c r="V474" i="3" l="1"/>
  <c r="W474" i="3" s="1"/>
  <c r="A475" i="3"/>
  <c r="B475" i="3" s="1"/>
  <c r="L474" i="3"/>
  <c r="U474" i="3" l="1"/>
  <c r="Y473" i="3"/>
  <c r="AC475" i="3"/>
  <c r="Z475" i="3"/>
  <c r="P475" i="3"/>
  <c r="Q475" i="3" s="1"/>
  <c r="R475" i="3" s="1"/>
  <c r="S475" i="3" s="1"/>
  <c r="AA475" i="3"/>
  <c r="T475" i="3" l="1"/>
  <c r="AG475" i="3" s="1"/>
  <c r="AH475" i="3" l="1"/>
  <c r="E475" i="3"/>
  <c r="H475" i="3" s="1"/>
  <c r="K475" i="3" s="1"/>
  <c r="AE475" i="3" s="1"/>
  <c r="D475" i="3"/>
  <c r="F475" i="3" l="1"/>
  <c r="G475" i="3"/>
  <c r="M475" i="3" s="1"/>
  <c r="N475" i="3" s="1"/>
  <c r="V475" i="3"/>
  <c r="A476" i="3"/>
  <c r="B476" i="3" s="1"/>
  <c r="I475" i="3" l="1"/>
  <c r="W475" i="3" s="1"/>
  <c r="J475" i="3"/>
  <c r="P476" i="3"/>
  <c r="Q476" i="3" s="1"/>
  <c r="R476" i="3" s="1"/>
  <c r="S476" i="3" s="1"/>
  <c r="AA476" i="3"/>
  <c r="Z476" i="3"/>
  <c r="AC476" i="3"/>
  <c r="L475" i="3" l="1"/>
  <c r="U475" i="3" s="1"/>
  <c r="AD475" i="3"/>
  <c r="Y474" i="3"/>
  <c r="T476" i="3"/>
  <c r="AG476" i="3" l="1"/>
  <c r="D476" i="3"/>
  <c r="G476" i="3" s="1"/>
  <c r="E476" i="3"/>
  <c r="H476" i="3" s="1"/>
  <c r="K476" i="3" s="1"/>
  <c r="AE476" i="3" s="1"/>
  <c r="AH476" i="3"/>
  <c r="F476" i="3" l="1"/>
  <c r="V476" i="3"/>
  <c r="A477" i="3"/>
  <c r="B477" i="3" s="1"/>
  <c r="I476" i="3"/>
  <c r="J476" i="3"/>
  <c r="AD476" i="3" s="1"/>
  <c r="M476" i="3"/>
  <c r="N476" i="3" s="1"/>
  <c r="W476" i="3" l="1"/>
  <c r="L476" i="3"/>
  <c r="AA477" i="3"/>
  <c r="P477" i="3"/>
  <c r="Q477" i="3" s="1"/>
  <c r="R477" i="3" s="1"/>
  <c r="S477" i="3" s="1"/>
  <c r="AC477" i="3"/>
  <c r="Z477" i="3"/>
  <c r="U476" i="3" l="1"/>
  <c r="Y475" i="3"/>
  <c r="T477" i="3"/>
  <c r="D477" i="3" l="1"/>
  <c r="G477" i="3" s="1"/>
  <c r="AG477" i="3"/>
  <c r="E477" i="3"/>
  <c r="H477" i="3" s="1"/>
  <c r="K477" i="3" s="1"/>
  <c r="AE477" i="3" s="1"/>
  <c r="AH477" i="3"/>
  <c r="F477" i="3" l="1"/>
  <c r="V477" i="3"/>
  <c r="A478" i="3"/>
  <c r="B478" i="3" s="1"/>
  <c r="I477" i="3"/>
  <c r="J477" i="3"/>
  <c r="AD477" i="3" s="1"/>
  <c r="M477" i="3"/>
  <c r="N477" i="3" s="1"/>
  <c r="W477" i="3" l="1"/>
  <c r="L477" i="3"/>
  <c r="AA478" i="3"/>
  <c r="P478" i="3"/>
  <c r="Q478" i="3" s="1"/>
  <c r="R478" i="3" s="1"/>
  <c r="S478" i="3" s="1"/>
  <c r="AC478" i="3"/>
  <c r="Z478" i="3"/>
  <c r="T478" i="3" l="1"/>
  <c r="U477" i="3"/>
  <c r="Y476" i="3"/>
  <c r="E478" i="3" l="1"/>
  <c r="H478" i="3" s="1"/>
  <c r="K478" i="3" s="1"/>
  <c r="AE478" i="3" s="1"/>
  <c r="AG478" i="3"/>
  <c r="AH478" i="3"/>
  <c r="D478" i="3"/>
  <c r="F478" i="3" l="1"/>
  <c r="G478" i="3"/>
  <c r="V478" i="3"/>
  <c r="A479" i="3"/>
  <c r="B479" i="3" s="1"/>
  <c r="I478" i="3" l="1"/>
  <c r="W478" i="3" s="1"/>
  <c r="J478" i="3"/>
  <c r="AD478" i="3" s="1"/>
  <c r="M478" i="3"/>
  <c r="N478" i="3" s="1"/>
  <c r="P479" i="3"/>
  <c r="Q479" i="3" s="1"/>
  <c r="R479" i="3" s="1"/>
  <c r="S479" i="3" s="1"/>
  <c r="AC479" i="3"/>
  <c r="AA479" i="3"/>
  <c r="Z479" i="3"/>
  <c r="T479" i="3" l="1"/>
  <c r="L478" i="3"/>
  <c r="U478" i="3" l="1"/>
  <c r="E479" i="3" s="1"/>
  <c r="H479" i="3" s="1"/>
  <c r="AH479" i="3"/>
  <c r="AG479" i="3"/>
  <c r="Y477" i="3"/>
  <c r="D479" i="3" l="1"/>
  <c r="G479" i="3" s="1"/>
  <c r="K479" i="3"/>
  <c r="AE479" i="3" s="1"/>
  <c r="F479" i="3" l="1"/>
  <c r="I479" i="3"/>
  <c r="J479" i="3"/>
  <c r="AD479" i="3" s="1"/>
  <c r="M479" i="3"/>
  <c r="N479" i="3" s="1"/>
  <c r="V479" i="3"/>
  <c r="A480" i="3"/>
  <c r="B480" i="3" s="1"/>
  <c r="W479" i="3" l="1"/>
  <c r="AA480" i="3"/>
  <c r="P480" i="3"/>
  <c r="Q480" i="3" s="1"/>
  <c r="R480" i="3" s="1"/>
  <c r="S480" i="3" s="1"/>
  <c r="AC480" i="3"/>
  <c r="Z480" i="3"/>
  <c r="L479" i="3"/>
  <c r="U479" i="3" l="1"/>
  <c r="Y478" i="3"/>
  <c r="T480" i="3"/>
  <c r="E480" i="3" l="1"/>
  <c r="H480" i="3" s="1"/>
  <c r="K480" i="3" s="1"/>
  <c r="AE480" i="3" s="1"/>
  <c r="AH480" i="3"/>
  <c r="AG480" i="3"/>
  <c r="D480" i="3"/>
  <c r="V480" i="3" l="1"/>
  <c r="A481" i="3"/>
  <c r="B481" i="3" s="1"/>
  <c r="F480" i="3"/>
  <c r="G480" i="3"/>
  <c r="I480" i="3" l="1"/>
  <c r="W480" i="3" s="1"/>
  <c r="J480" i="3"/>
  <c r="AD480" i="3" s="1"/>
  <c r="M480" i="3"/>
  <c r="N480" i="3" s="1"/>
  <c r="P481" i="3"/>
  <c r="Q481" i="3" s="1"/>
  <c r="R481" i="3" s="1"/>
  <c r="S481" i="3" s="1"/>
  <c r="AC481" i="3"/>
  <c r="AA481" i="3"/>
  <c r="Z481" i="3"/>
  <c r="T481" i="3" l="1"/>
  <c r="L480" i="3"/>
  <c r="U480" i="3" l="1"/>
  <c r="D481" i="3" s="1"/>
  <c r="AG481" i="3"/>
  <c r="AH481" i="3"/>
  <c r="Y479" i="3"/>
  <c r="G481" i="3" l="1"/>
  <c r="E481" i="3"/>
  <c r="H481" i="3" s="1"/>
  <c r="K481" i="3" l="1"/>
  <c r="AE481" i="3" s="1"/>
  <c r="I481" i="3"/>
  <c r="J481" i="3"/>
  <c r="AD481" i="3" s="1"/>
  <c r="M481" i="3"/>
  <c r="N481" i="3" s="1"/>
  <c r="F481" i="3"/>
  <c r="V481" i="3" l="1"/>
  <c r="W481" i="3" s="1"/>
  <c r="A482" i="3"/>
  <c r="B482" i="3" s="1"/>
  <c r="L481" i="3"/>
  <c r="U481" i="3" l="1"/>
  <c r="Y480" i="3"/>
  <c r="AC482" i="3"/>
  <c r="AA482" i="3"/>
  <c r="P482" i="3"/>
  <c r="Q482" i="3" s="1"/>
  <c r="R482" i="3" s="1"/>
  <c r="S482" i="3" s="1"/>
  <c r="Z482" i="3"/>
  <c r="T482" i="3" l="1"/>
  <c r="D482" i="3" s="1"/>
  <c r="AG482" i="3" l="1"/>
  <c r="G482" i="3"/>
  <c r="AH482" i="3"/>
  <c r="E482" i="3"/>
  <c r="H482" i="3" s="1"/>
  <c r="F482" i="3" l="1"/>
  <c r="I482" i="3"/>
  <c r="J482" i="3"/>
  <c r="AD482" i="3" s="1"/>
  <c r="M482" i="3"/>
  <c r="N482" i="3" s="1"/>
  <c r="K482" i="3"/>
  <c r="AE482" i="3" s="1"/>
  <c r="V482" i="3" l="1"/>
  <c r="W482" i="3" s="1"/>
  <c r="A483" i="3"/>
  <c r="B483" i="3" s="1"/>
  <c r="L482" i="3"/>
  <c r="U482" i="3" l="1"/>
  <c r="Y481" i="3"/>
  <c r="P483" i="3"/>
  <c r="Q483" i="3" s="1"/>
  <c r="R483" i="3" s="1"/>
  <c r="S483" i="3" s="1"/>
  <c r="Z483" i="3"/>
  <c r="AC483" i="3"/>
  <c r="AA483" i="3"/>
  <c r="T483" i="3" l="1"/>
  <c r="E483" i="3" s="1"/>
  <c r="H483" i="3" s="1"/>
  <c r="AG483" i="3" l="1"/>
  <c r="AH483" i="3"/>
  <c r="D483" i="3"/>
  <c r="G483" i="3" s="1"/>
  <c r="K483" i="3"/>
  <c r="AE483" i="3" s="1"/>
  <c r="F483" i="3" l="1"/>
  <c r="I483" i="3"/>
  <c r="J483" i="3"/>
  <c r="AD483" i="3" s="1"/>
  <c r="M483" i="3"/>
  <c r="N483" i="3" s="1"/>
  <c r="V483" i="3"/>
  <c r="A484" i="3"/>
  <c r="B484" i="3" s="1"/>
  <c r="W483" i="3" l="1"/>
  <c r="L483" i="3"/>
  <c r="AC484" i="3"/>
  <c r="Z484" i="3"/>
  <c r="AA484" i="3"/>
  <c r="P484" i="3"/>
  <c r="Q484" i="3" s="1"/>
  <c r="R484" i="3" s="1"/>
  <c r="S484" i="3" s="1"/>
  <c r="T484" i="3" l="1"/>
  <c r="U483" i="3"/>
  <c r="Y482" i="3"/>
  <c r="E484" i="3" l="1"/>
  <c r="H484" i="3" s="1"/>
  <c r="K484" i="3" s="1"/>
  <c r="AE484" i="3" s="1"/>
  <c r="D484" i="3"/>
  <c r="G484" i="3" s="1"/>
  <c r="AG484" i="3"/>
  <c r="AH484" i="3"/>
  <c r="F484" i="3" l="1"/>
  <c r="V484" i="3"/>
  <c r="A485" i="3"/>
  <c r="B485" i="3" s="1"/>
  <c r="I484" i="3"/>
  <c r="J484" i="3"/>
  <c r="AD484" i="3" s="1"/>
  <c r="M484" i="3"/>
  <c r="N484" i="3" s="1"/>
  <c r="W484" i="3" l="1"/>
  <c r="L484" i="3"/>
  <c r="P485" i="3"/>
  <c r="Q485" i="3" s="1"/>
  <c r="R485" i="3" s="1"/>
  <c r="S485" i="3" s="1"/>
  <c r="AA485" i="3"/>
  <c r="AC485" i="3"/>
  <c r="Z485" i="3"/>
  <c r="U484" i="3" l="1"/>
  <c r="Y483" i="3"/>
  <c r="T485" i="3"/>
  <c r="D485" i="3" l="1"/>
  <c r="G485" i="3" s="1"/>
  <c r="AG485" i="3"/>
  <c r="AH485" i="3"/>
  <c r="E485" i="3"/>
  <c r="H485" i="3" s="1"/>
  <c r="K485" i="3" s="1"/>
  <c r="AE485" i="3" s="1"/>
  <c r="F485" i="3" l="1"/>
  <c r="I485" i="3"/>
  <c r="J485" i="3"/>
  <c r="AD485" i="3" s="1"/>
  <c r="M485" i="3"/>
  <c r="N485" i="3" s="1"/>
  <c r="V485" i="3"/>
  <c r="A486" i="3"/>
  <c r="B486" i="3" s="1"/>
  <c r="W485" i="3" l="1"/>
  <c r="L485" i="3"/>
  <c r="AA486" i="3"/>
  <c r="P486" i="3"/>
  <c r="Q486" i="3" s="1"/>
  <c r="R486" i="3" s="1"/>
  <c r="S486" i="3" s="1"/>
  <c r="AC486" i="3"/>
  <c r="Z486" i="3"/>
  <c r="T486" i="3" l="1"/>
  <c r="AH486" i="3" s="1"/>
  <c r="U485" i="3"/>
  <c r="Y484" i="3"/>
  <c r="D486" i="3" l="1"/>
  <c r="G486" i="3" s="1"/>
  <c r="AG486" i="3"/>
  <c r="E486" i="3"/>
  <c r="H486" i="3" s="1"/>
  <c r="K486" i="3" s="1"/>
  <c r="AE486" i="3" s="1"/>
  <c r="F486" i="3" l="1"/>
  <c r="V486" i="3"/>
  <c r="A487" i="3"/>
  <c r="B487" i="3" s="1"/>
  <c r="I486" i="3"/>
  <c r="J486" i="3"/>
  <c r="AD486" i="3" s="1"/>
  <c r="M486" i="3"/>
  <c r="N486" i="3" s="1"/>
  <c r="W486" i="3" l="1"/>
  <c r="L486" i="3"/>
  <c r="AA487" i="3"/>
  <c r="P487" i="3"/>
  <c r="Q487" i="3" s="1"/>
  <c r="R487" i="3" s="1"/>
  <c r="S487" i="3" s="1"/>
  <c r="AC487" i="3"/>
  <c r="Z487" i="3"/>
  <c r="T487" i="3" l="1"/>
  <c r="U486" i="3"/>
  <c r="Y485" i="3"/>
  <c r="E487" i="3" l="1"/>
  <c r="H487" i="3" s="1"/>
  <c r="K487" i="3" s="1"/>
  <c r="AE487" i="3" s="1"/>
  <c r="D487" i="3"/>
  <c r="AH487" i="3"/>
  <c r="AG487" i="3"/>
  <c r="V487" i="3" l="1"/>
  <c r="A488" i="3"/>
  <c r="B488" i="3" s="1"/>
  <c r="F487" i="3"/>
  <c r="G487" i="3"/>
  <c r="I487" i="3" l="1"/>
  <c r="W487" i="3" s="1"/>
  <c r="J487" i="3"/>
  <c r="AD487" i="3" s="1"/>
  <c r="M487" i="3"/>
  <c r="N487" i="3" s="1"/>
  <c r="AA488" i="3"/>
  <c r="Z488" i="3"/>
  <c r="P488" i="3"/>
  <c r="Q488" i="3" s="1"/>
  <c r="R488" i="3" s="1"/>
  <c r="S488" i="3" s="1"/>
  <c r="AC488" i="3"/>
  <c r="L487" i="3" l="1"/>
  <c r="T488" i="3"/>
  <c r="U487" i="3" l="1"/>
  <c r="D488" i="3" s="1"/>
  <c r="AG488" i="3"/>
  <c r="AH488" i="3"/>
  <c r="Y486" i="3"/>
  <c r="E488" i="3" l="1"/>
  <c r="H488" i="3" s="1"/>
  <c r="K488" i="3" s="1"/>
  <c r="AE488" i="3" s="1"/>
  <c r="G488" i="3"/>
  <c r="F488" i="3" l="1"/>
  <c r="I488" i="3"/>
  <c r="J488" i="3"/>
  <c r="AD488" i="3" s="1"/>
  <c r="M488" i="3"/>
  <c r="N488" i="3" s="1"/>
  <c r="V488" i="3"/>
  <c r="A489" i="3"/>
  <c r="B489" i="3" s="1"/>
  <c r="W488" i="3" l="1"/>
  <c r="L488" i="3"/>
  <c r="P489" i="3"/>
  <c r="Q489" i="3" s="1"/>
  <c r="R489" i="3" s="1"/>
  <c r="S489" i="3" s="1"/>
  <c r="AC489" i="3"/>
  <c r="AA489" i="3"/>
  <c r="Z489" i="3"/>
  <c r="U488" i="3" l="1"/>
  <c r="Y487" i="3"/>
  <c r="T489" i="3"/>
  <c r="AH489" i="3" s="1"/>
  <c r="AG489" i="3" l="1"/>
  <c r="D489" i="3"/>
  <c r="E489" i="3"/>
  <c r="H489" i="3" s="1"/>
  <c r="K489" i="3" s="1"/>
  <c r="AE489" i="3" s="1"/>
  <c r="F489" i="3" l="1"/>
  <c r="G489" i="3"/>
  <c r="M489" i="3" s="1"/>
  <c r="N489" i="3" s="1"/>
  <c r="V489" i="3"/>
  <c r="A490" i="3"/>
  <c r="B490" i="3" s="1"/>
  <c r="I489" i="3" l="1"/>
  <c r="W489" i="3" s="1"/>
  <c r="J489" i="3"/>
  <c r="Z490" i="3"/>
  <c r="AC490" i="3"/>
  <c r="P490" i="3"/>
  <c r="Q490" i="3" s="1"/>
  <c r="R490" i="3" s="1"/>
  <c r="S490" i="3" s="1"/>
  <c r="AA490" i="3"/>
  <c r="L489" i="3" l="1"/>
  <c r="AD489" i="3"/>
  <c r="T490" i="3"/>
  <c r="AH490" i="3" s="1"/>
  <c r="U489" i="3"/>
  <c r="Y488" i="3"/>
  <c r="E490" i="3" l="1"/>
  <c r="H490" i="3" s="1"/>
  <c r="K490" i="3" s="1"/>
  <c r="AE490" i="3" s="1"/>
  <c r="D490" i="3"/>
  <c r="AG490" i="3"/>
  <c r="V490" i="3" l="1"/>
  <c r="A491" i="3"/>
  <c r="B491" i="3" s="1"/>
  <c r="F490" i="3"/>
  <c r="G490" i="3"/>
  <c r="I490" i="3" l="1"/>
  <c r="W490" i="3" s="1"/>
  <c r="J490" i="3"/>
  <c r="AD490" i="3" s="1"/>
  <c r="M490" i="3"/>
  <c r="N490" i="3" s="1"/>
  <c r="P491" i="3"/>
  <c r="Q491" i="3" s="1"/>
  <c r="R491" i="3" s="1"/>
  <c r="S491" i="3" s="1"/>
  <c r="Z491" i="3"/>
  <c r="AC491" i="3"/>
  <c r="AA491" i="3"/>
  <c r="T491" i="3" l="1"/>
  <c r="L490" i="3"/>
  <c r="AH491" i="3" l="1"/>
  <c r="U490" i="3"/>
  <c r="D491" i="3" s="1"/>
  <c r="AG491" i="3"/>
  <c r="Y489" i="3"/>
  <c r="E491" i="3" l="1"/>
  <c r="H491" i="3" s="1"/>
  <c r="K491" i="3" s="1"/>
  <c r="AE491" i="3" s="1"/>
  <c r="G491" i="3"/>
  <c r="F491" i="3" l="1"/>
  <c r="I491" i="3"/>
  <c r="J491" i="3"/>
  <c r="AD491" i="3" s="1"/>
  <c r="M491" i="3"/>
  <c r="N491" i="3" s="1"/>
  <c r="V491" i="3"/>
  <c r="A492" i="3"/>
  <c r="B492" i="3" s="1"/>
  <c r="W491" i="3" l="1"/>
  <c r="L491" i="3"/>
  <c r="AC492" i="3"/>
  <c r="AA492" i="3"/>
  <c r="P492" i="3"/>
  <c r="Q492" i="3" s="1"/>
  <c r="R492" i="3" s="1"/>
  <c r="S492" i="3" s="1"/>
  <c r="Z492" i="3"/>
  <c r="T492" i="3" l="1"/>
  <c r="U491" i="3"/>
  <c r="Y490" i="3"/>
  <c r="D492" i="3" l="1"/>
  <c r="G492" i="3" s="1"/>
  <c r="AH492" i="3"/>
  <c r="AG492" i="3"/>
  <c r="E492" i="3"/>
  <c r="H492" i="3" s="1"/>
  <c r="F492" i="3" l="1"/>
  <c r="I492" i="3"/>
  <c r="J492" i="3"/>
  <c r="AD492" i="3" s="1"/>
  <c r="M492" i="3"/>
  <c r="N492" i="3" s="1"/>
  <c r="K492" i="3"/>
  <c r="AE492" i="3" s="1"/>
  <c r="L492" i="3" l="1"/>
  <c r="V492" i="3"/>
  <c r="W492" i="3" s="1"/>
  <c r="A493" i="3"/>
  <c r="B493" i="3" s="1"/>
  <c r="U492" i="3" l="1"/>
  <c r="Y491" i="3"/>
  <c r="P493" i="3"/>
  <c r="Q493" i="3" s="1"/>
  <c r="R493" i="3" s="1"/>
  <c r="S493" i="3" s="1"/>
  <c r="AC493" i="3"/>
  <c r="AA493" i="3"/>
  <c r="Z493" i="3"/>
  <c r="T493" i="3" l="1"/>
  <c r="AH493" i="3" s="1"/>
  <c r="AG493" i="3" l="1"/>
  <c r="E493" i="3"/>
  <c r="H493" i="3" s="1"/>
  <c r="K493" i="3" s="1"/>
  <c r="AE493" i="3" s="1"/>
  <c r="D493" i="3"/>
  <c r="F493" i="3" l="1"/>
  <c r="G493" i="3"/>
  <c r="J493" i="3" s="1"/>
  <c r="AD493" i="3" s="1"/>
  <c r="V493" i="3"/>
  <c r="A494" i="3"/>
  <c r="B494" i="3" s="1"/>
  <c r="M493" i="3" l="1"/>
  <c r="N493" i="3" s="1"/>
  <c r="I493" i="3"/>
  <c r="W493" i="3" s="1"/>
  <c r="L493" i="3"/>
  <c r="P494" i="3"/>
  <c r="Q494" i="3" s="1"/>
  <c r="R494" i="3" s="1"/>
  <c r="S494" i="3" s="1"/>
  <c r="AC494" i="3"/>
  <c r="Z494" i="3"/>
  <c r="AA494" i="3"/>
  <c r="T494" i="3" l="1"/>
  <c r="AH494" i="3" s="1"/>
  <c r="U493" i="3"/>
  <c r="Y492" i="3"/>
  <c r="E494" i="3" l="1"/>
  <c r="H494" i="3" s="1"/>
  <c r="K494" i="3" s="1"/>
  <c r="AE494" i="3" s="1"/>
  <c r="D494" i="3"/>
  <c r="AG494" i="3"/>
  <c r="F494" i="3" l="1"/>
  <c r="G494" i="3"/>
  <c r="V494" i="3"/>
  <c r="A495" i="3"/>
  <c r="B495" i="3" s="1"/>
  <c r="Z495" i="3" l="1"/>
  <c r="P495" i="3"/>
  <c r="Q495" i="3" s="1"/>
  <c r="R495" i="3" s="1"/>
  <c r="S495" i="3" s="1"/>
  <c r="AA495" i="3"/>
  <c r="AC495" i="3"/>
  <c r="I494" i="3"/>
  <c r="W494" i="3" s="1"/>
  <c r="J494" i="3"/>
  <c r="AD494" i="3" s="1"/>
  <c r="M494" i="3"/>
  <c r="N494" i="3" s="1"/>
  <c r="L494" i="3" l="1"/>
  <c r="T495" i="3"/>
  <c r="AG495" i="3" l="1"/>
  <c r="U494" i="3"/>
  <c r="D495" i="3" s="1"/>
  <c r="AH495" i="3"/>
  <c r="Y493" i="3"/>
  <c r="E495" i="3" l="1"/>
  <c r="H495" i="3" s="1"/>
  <c r="K495" i="3" s="1"/>
  <c r="AE495" i="3" s="1"/>
  <c r="G495" i="3"/>
  <c r="F495" i="3" l="1"/>
  <c r="V495" i="3"/>
  <c r="A496" i="3"/>
  <c r="B496" i="3" s="1"/>
  <c r="I495" i="3"/>
  <c r="J495" i="3"/>
  <c r="AD495" i="3" s="1"/>
  <c r="M495" i="3"/>
  <c r="N495" i="3" s="1"/>
  <c r="W495" i="3" l="1"/>
  <c r="L495" i="3"/>
  <c r="AA496" i="3"/>
  <c r="P496" i="3"/>
  <c r="Q496" i="3" s="1"/>
  <c r="R496" i="3" s="1"/>
  <c r="S496" i="3" s="1"/>
  <c r="Z496" i="3"/>
  <c r="AC496" i="3"/>
  <c r="U495" i="3" l="1"/>
  <c r="Y494" i="3"/>
  <c r="T496" i="3"/>
  <c r="AH496" i="3" s="1"/>
  <c r="D496" i="3" l="1"/>
  <c r="G496" i="3" s="1"/>
  <c r="AG496" i="3"/>
  <c r="E496" i="3"/>
  <c r="H496" i="3" s="1"/>
  <c r="K496" i="3" s="1"/>
  <c r="AE496" i="3" s="1"/>
  <c r="F496" i="3" l="1"/>
  <c r="V496" i="3"/>
  <c r="A497" i="3"/>
  <c r="B497" i="3" s="1"/>
  <c r="I496" i="3"/>
  <c r="J496" i="3"/>
  <c r="AD496" i="3" s="1"/>
  <c r="M496" i="3"/>
  <c r="N496" i="3" s="1"/>
  <c r="W496" i="3" l="1"/>
  <c r="L496" i="3"/>
  <c r="P497" i="3"/>
  <c r="Q497" i="3" s="1"/>
  <c r="R497" i="3" s="1"/>
  <c r="S497" i="3" s="1"/>
  <c r="AC497" i="3"/>
  <c r="AA497" i="3"/>
  <c r="Z497" i="3"/>
  <c r="U496" i="3" l="1"/>
  <c r="Y495" i="3"/>
  <c r="T497" i="3"/>
  <c r="AG497" i="3" s="1"/>
  <c r="E497" i="3" l="1"/>
  <c r="H497" i="3" s="1"/>
  <c r="D497" i="3"/>
  <c r="AH497" i="3"/>
  <c r="F497" i="3" l="1"/>
  <c r="G497" i="3"/>
  <c r="K497" i="3"/>
  <c r="AE497" i="3" s="1"/>
  <c r="I497" i="3" l="1"/>
  <c r="J497" i="3"/>
  <c r="AD497" i="3" s="1"/>
  <c r="M497" i="3"/>
  <c r="N497" i="3" s="1"/>
  <c r="V497" i="3"/>
  <c r="A498" i="3"/>
  <c r="B498" i="3" s="1"/>
  <c r="W497" i="3" l="1"/>
  <c r="L497" i="3"/>
  <c r="Z498" i="3"/>
  <c r="AC498" i="3"/>
  <c r="AA498" i="3"/>
  <c r="P498" i="3"/>
  <c r="Q498" i="3" s="1"/>
  <c r="R498" i="3" s="1"/>
  <c r="S498" i="3" s="1"/>
  <c r="U497" i="3" l="1"/>
  <c r="Y496" i="3"/>
  <c r="T498" i="3"/>
  <c r="AH498" i="3" s="1"/>
  <c r="AG498" i="3" l="1"/>
  <c r="D498" i="3"/>
  <c r="E498" i="3"/>
  <c r="H498" i="3" s="1"/>
  <c r="F498" i="3" l="1"/>
  <c r="G498" i="3"/>
  <c r="K498" i="3"/>
  <c r="AE498" i="3" s="1"/>
  <c r="I498" i="3" l="1"/>
  <c r="J498" i="3"/>
  <c r="AD498" i="3" s="1"/>
  <c r="M498" i="3"/>
  <c r="N498" i="3" s="1"/>
  <c r="V498" i="3"/>
  <c r="A499" i="3"/>
  <c r="B499" i="3" s="1"/>
  <c r="W498" i="3" l="1"/>
  <c r="L498" i="3"/>
  <c r="AC499" i="3"/>
  <c r="P499" i="3"/>
  <c r="Q499" i="3" s="1"/>
  <c r="R499" i="3" s="1"/>
  <c r="S499" i="3" s="1"/>
  <c r="AA499" i="3"/>
  <c r="Z499" i="3"/>
  <c r="T499" i="3" l="1"/>
  <c r="U498" i="3"/>
  <c r="Y497" i="3"/>
  <c r="D499" i="3" l="1"/>
  <c r="G499" i="3" s="1"/>
  <c r="AH499" i="3"/>
  <c r="E499" i="3"/>
  <c r="H499" i="3" s="1"/>
  <c r="AG499" i="3"/>
  <c r="F499" i="3" l="1"/>
  <c r="I499" i="3"/>
  <c r="J499" i="3"/>
  <c r="AD499" i="3" s="1"/>
  <c r="M499" i="3"/>
  <c r="N499" i="3" s="1"/>
  <c r="K499" i="3"/>
  <c r="AE499" i="3" s="1"/>
  <c r="V499" i="3" l="1"/>
  <c r="W499" i="3" s="1"/>
  <c r="A500" i="3"/>
  <c r="B500" i="3" s="1"/>
  <c r="L499" i="3"/>
  <c r="U499" i="3" l="1"/>
  <c r="Y498" i="3"/>
  <c r="AA500" i="3"/>
  <c r="AC500" i="3"/>
  <c r="P500" i="3"/>
  <c r="Q500" i="3" s="1"/>
  <c r="R500" i="3" s="1"/>
  <c r="S500" i="3" s="1"/>
  <c r="Z500" i="3"/>
  <c r="T500" i="3" l="1"/>
  <c r="AH500" i="3" s="1"/>
  <c r="D500" i="3" l="1"/>
  <c r="AG500" i="3"/>
  <c r="E500" i="3"/>
  <c r="H500" i="3" s="1"/>
  <c r="F500" i="3" l="1"/>
  <c r="G500" i="3"/>
  <c r="K500" i="3"/>
  <c r="AE500" i="3" s="1"/>
  <c r="I500" i="3" l="1"/>
  <c r="J500" i="3"/>
  <c r="AD500" i="3" s="1"/>
  <c r="M500" i="3"/>
  <c r="N500" i="3" s="1"/>
  <c r="V500" i="3"/>
  <c r="A501" i="3"/>
  <c r="B501" i="3" s="1"/>
  <c r="W500" i="3" l="1"/>
  <c r="L500" i="3"/>
  <c r="P501" i="3"/>
  <c r="Q501" i="3" s="1"/>
  <c r="R501" i="3" s="1"/>
  <c r="S501" i="3" s="1"/>
  <c r="AC501" i="3"/>
  <c r="Z501" i="3"/>
  <c r="AA501" i="3"/>
  <c r="U500" i="3" l="1"/>
  <c r="Y499" i="3"/>
  <c r="T501" i="3"/>
  <c r="D501" i="3" l="1"/>
  <c r="G501" i="3" s="1"/>
  <c r="E501" i="3"/>
  <c r="H501" i="3" s="1"/>
  <c r="K501" i="3" s="1"/>
  <c r="AE501" i="3" s="1"/>
  <c r="AG501" i="3"/>
  <c r="AH501" i="3"/>
  <c r="F501" i="3" l="1"/>
  <c r="I501" i="3"/>
  <c r="J501" i="3"/>
  <c r="AD501" i="3" s="1"/>
  <c r="M501" i="3"/>
  <c r="N501" i="3" s="1"/>
  <c r="V501" i="3"/>
  <c r="A502" i="3"/>
  <c r="B502" i="3" s="1"/>
  <c r="L501" i="3" l="1"/>
  <c r="W501" i="3"/>
  <c r="Z502" i="3"/>
  <c r="AA502" i="3"/>
  <c r="AC502" i="3"/>
  <c r="P502" i="3"/>
  <c r="Q502" i="3" s="1"/>
  <c r="R502" i="3" s="1"/>
  <c r="S502" i="3" s="1"/>
  <c r="U501" i="3" l="1"/>
  <c r="Y500" i="3"/>
  <c r="T502" i="3"/>
  <c r="E502" i="3" l="1"/>
  <c r="H502" i="3" s="1"/>
  <c r="K502" i="3" s="1"/>
  <c r="AE502" i="3" s="1"/>
  <c r="AG502" i="3"/>
  <c r="D502" i="3"/>
  <c r="AH502" i="3"/>
  <c r="F502" i="3" l="1"/>
  <c r="G502" i="3"/>
  <c r="V502" i="3"/>
  <c r="A503" i="3"/>
  <c r="B503" i="3" s="1"/>
  <c r="I502" i="3" l="1"/>
  <c r="W502" i="3" s="1"/>
  <c r="J502" i="3"/>
  <c r="AD502" i="3" s="1"/>
  <c r="M502" i="3"/>
  <c r="N502" i="3" s="1"/>
  <c r="AA503" i="3"/>
  <c r="P503" i="3"/>
  <c r="Q503" i="3" s="1"/>
  <c r="R503" i="3" s="1"/>
  <c r="S503" i="3" s="1"/>
  <c r="AC503" i="3"/>
  <c r="Z503" i="3"/>
  <c r="T503" i="3" l="1"/>
  <c r="L502" i="3"/>
  <c r="AG503" i="3" l="1"/>
  <c r="AH503" i="3"/>
  <c r="U502" i="3"/>
  <c r="E503" i="3" s="1"/>
  <c r="H503" i="3" s="1"/>
  <c r="Y501" i="3"/>
  <c r="D503" i="3" l="1"/>
  <c r="G503" i="3" s="1"/>
  <c r="K503" i="3"/>
  <c r="AE503" i="3" s="1"/>
  <c r="F503" i="3" l="1"/>
  <c r="V503" i="3"/>
  <c r="A504" i="3"/>
  <c r="B504" i="3" s="1"/>
  <c r="I503" i="3"/>
  <c r="J503" i="3"/>
  <c r="AD503" i="3" s="1"/>
  <c r="M503" i="3"/>
  <c r="N503" i="3" s="1"/>
  <c r="W503" i="3" l="1"/>
  <c r="L503" i="3"/>
  <c r="P504" i="3"/>
  <c r="Q504" i="3" s="1"/>
  <c r="R504" i="3" s="1"/>
  <c r="S504" i="3" s="1"/>
  <c r="Z504" i="3"/>
  <c r="AA504" i="3"/>
  <c r="AC504" i="3"/>
  <c r="U503" i="3" l="1"/>
  <c r="Y502" i="3"/>
  <c r="T504" i="3"/>
  <c r="AG504" i="3" s="1"/>
  <c r="E504" i="3" l="1"/>
  <c r="H504" i="3" s="1"/>
  <c r="K504" i="3" s="1"/>
  <c r="AE504" i="3" s="1"/>
  <c r="D504" i="3"/>
  <c r="AH504" i="3"/>
  <c r="F504" i="3" l="1"/>
  <c r="G504" i="3"/>
  <c r="I504" i="3" s="1"/>
  <c r="V504" i="3"/>
  <c r="A505" i="3"/>
  <c r="B505" i="3" s="1"/>
  <c r="J504" i="3" l="1"/>
  <c r="W504" i="3"/>
  <c r="M504" i="3"/>
  <c r="N504" i="3" s="1"/>
  <c r="P505" i="3"/>
  <c r="Q505" i="3" s="1"/>
  <c r="R505" i="3" s="1"/>
  <c r="S505" i="3" s="1"/>
  <c r="AC505" i="3"/>
  <c r="Z505" i="3"/>
  <c r="AD505" i="3"/>
  <c r="AA505" i="3"/>
  <c r="L504" i="3" l="1"/>
  <c r="Y503" i="3" s="1"/>
  <c r="AD504" i="3"/>
  <c r="T505" i="3"/>
  <c r="AH505" i="3" l="1"/>
  <c r="U504" i="3"/>
  <c r="D505" i="3" s="1"/>
  <c r="G505" i="3" s="1"/>
  <c r="AG505" i="3"/>
  <c r="E505" i="3" l="1"/>
  <c r="H505" i="3" s="1"/>
  <c r="K505" i="3" s="1"/>
  <c r="AE505" i="3" s="1"/>
  <c r="J505" i="3"/>
  <c r="I505" i="3" l="1"/>
  <c r="F505" i="3"/>
  <c r="V505" i="3"/>
  <c r="M505" i="3"/>
  <c r="N505" i="3" s="1"/>
  <c r="A506" i="3"/>
  <c r="B506" i="3" s="1"/>
  <c r="P506" i="3" s="1"/>
  <c r="Q506" i="3" s="1"/>
  <c r="R506" i="3" s="1"/>
  <c r="S506" i="3" s="1"/>
  <c r="L505" i="3"/>
  <c r="W505" i="3" l="1"/>
  <c r="AA506" i="3"/>
  <c r="AD506" i="3"/>
  <c r="AC506" i="3"/>
  <c r="Z506" i="3"/>
  <c r="U505" i="3"/>
  <c r="Y504" i="3"/>
  <c r="T506" i="3"/>
  <c r="AG506" i="3" l="1"/>
  <c r="D506" i="3"/>
  <c r="G506" i="3" s="1"/>
  <c r="AH506" i="3"/>
  <c r="E506" i="3"/>
  <c r="H506" i="3" s="1"/>
  <c r="K506" i="3" s="1"/>
  <c r="AE506" i="3" s="1"/>
  <c r="F506" i="3" l="1"/>
  <c r="I506" i="3"/>
  <c r="J506" i="3"/>
  <c r="M506" i="3"/>
  <c r="N506" i="3" s="1"/>
  <c r="V506" i="3"/>
  <c r="A507" i="3"/>
  <c r="B507" i="3" s="1"/>
  <c r="W506" i="3" l="1"/>
  <c r="L506" i="3"/>
  <c r="AC507" i="3"/>
  <c r="P507" i="3"/>
  <c r="Q507" i="3" s="1"/>
  <c r="R507" i="3" s="1"/>
  <c r="S507" i="3" s="1"/>
  <c r="AA507" i="3"/>
  <c r="Z507" i="3"/>
  <c r="U506" i="3" l="1"/>
  <c r="Y505" i="3"/>
  <c r="T507" i="3"/>
  <c r="AH507" i="3" s="1"/>
  <c r="AG507" i="3" l="1"/>
  <c r="E507" i="3"/>
  <c r="H507" i="3" s="1"/>
  <c r="D507" i="3"/>
  <c r="K507" i="3" l="1"/>
  <c r="AE507" i="3" s="1"/>
  <c r="F507" i="3"/>
  <c r="G507" i="3"/>
  <c r="I507" i="3" l="1"/>
  <c r="J507" i="3"/>
  <c r="AD507" i="3" s="1"/>
  <c r="M507" i="3"/>
  <c r="N507" i="3" s="1"/>
  <c r="V507" i="3"/>
  <c r="A508" i="3"/>
  <c r="B508" i="3" s="1"/>
  <c r="W507" i="3" l="1"/>
  <c r="L507" i="3"/>
  <c r="P508" i="3"/>
  <c r="Q508" i="3" s="1"/>
  <c r="R508" i="3" s="1"/>
  <c r="S508" i="3" s="1"/>
  <c r="AA508" i="3"/>
  <c r="Z508" i="3"/>
  <c r="AC508" i="3"/>
  <c r="U507" i="3" l="1"/>
  <c r="Y506" i="3"/>
  <c r="T508" i="3"/>
  <c r="E508" i="3" l="1"/>
  <c r="H508" i="3" s="1"/>
  <c r="K508" i="3" s="1"/>
  <c r="AE508" i="3" s="1"/>
  <c r="AH508" i="3"/>
  <c r="D508" i="3"/>
  <c r="AG508" i="3"/>
  <c r="F508" i="3" l="1"/>
  <c r="G508" i="3"/>
  <c r="V508" i="3"/>
  <c r="A509" i="3"/>
  <c r="B509" i="3" s="1"/>
  <c r="AD509" i="3" l="1"/>
  <c r="AC509" i="3"/>
  <c r="Z509" i="3"/>
  <c r="AA509" i="3"/>
  <c r="P509" i="3"/>
  <c r="Q509" i="3" s="1"/>
  <c r="R509" i="3" s="1"/>
  <c r="S509" i="3" s="1"/>
  <c r="I508" i="3"/>
  <c r="W508" i="3" s="1"/>
  <c r="J508" i="3"/>
  <c r="AD508" i="3" s="1"/>
  <c r="M508" i="3"/>
  <c r="N508" i="3" s="1"/>
  <c r="L508" i="3" l="1"/>
  <c r="T509" i="3"/>
  <c r="AG509" i="3" l="1"/>
  <c r="AH509" i="3"/>
  <c r="U508" i="3"/>
  <c r="D509" i="3" s="1"/>
  <c r="Y507" i="3"/>
  <c r="G509" i="3" l="1"/>
  <c r="E509" i="3"/>
  <c r="H509" i="3" s="1"/>
  <c r="F509" i="3" l="1"/>
  <c r="I509" i="3"/>
  <c r="J509" i="3"/>
  <c r="M509" i="3"/>
  <c r="N509" i="3" s="1"/>
  <c r="K509" i="3"/>
  <c r="AE509" i="3" s="1"/>
  <c r="V509" i="3" l="1"/>
  <c r="W509" i="3" s="1"/>
  <c r="A510" i="3"/>
  <c r="B510" i="3" s="1"/>
  <c r="L509" i="3"/>
  <c r="U509" i="3" l="1"/>
  <c r="Y508" i="3"/>
  <c r="AC510" i="3"/>
  <c r="Z510" i="3"/>
  <c r="AA510" i="3"/>
  <c r="AD510" i="3"/>
  <c r="P510" i="3"/>
  <c r="Q510" i="3" s="1"/>
  <c r="R510" i="3" s="1"/>
  <c r="S510" i="3" s="1"/>
  <c r="T510" i="3" l="1"/>
  <c r="AH510" i="3" l="1"/>
  <c r="E510" i="3"/>
  <c r="H510" i="3" s="1"/>
  <c r="D510" i="3"/>
  <c r="AG510" i="3"/>
  <c r="F510" i="3" l="1"/>
  <c r="G510" i="3"/>
  <c r="K510" i="3"/>
  <c r="AE510" i="3" s="1"/>
  <c r="V510" i="3" l="1"/>
  <c r="A511" i="3"/>
  <c r="B511" i="3" s="1"/>
  <c r="I510" i="3"/>
  <c r="J510" i="3"/>
  <c r="M510" i="3"/>
  <c r="N510" i="3" s="1"/>
  <c r="L510" i="3" l="1"/>
  <c r="AA511" i="3"/>
  <c r="AC511" i="3"/>
  <c r="P511" i="3"/>
  <c r="Q511" i="3" s="1"/>
  <c r="R511" i="3" s="1"/>
  <c r="S511" i="3" s="1"/>
  <c r="Z511" i="3"/>
  <c r="AD511" i="3"/>
  <c r="W510" i="3"/>
  <c r="U510" i="3" l="1"/>
  <c r="Y509" i="3"/>
  <c r="T511" i="3"/>
  <c r="AG511" i="3" s="1"/>
  <c r="AH511" i="3" l="1"/>
  <c r="D511" i="3"/>
  <c r="E511" i="3"/>
  <c r="H511" i="3" s="1"/>
  <c r="F511" i="3" l="1"/>
  <c r="G511" i="3"/>
  <c r="K511" i="3"/>
  <c r="AE511" i="3" s="1"/>
  <c r="V511" i="3" l="1"/>
  <c r="A512" i="3"/>
  <c r="B512" i="3" s="1"/>
  <c r="I511" i="3"/>
  <c r="J511" i="3"/>
  <c r="M511" i="3"/>
  <c r="N511" i="3" s="1"/>
  <c r="W511" i="3" l="1"/>
  <c r="L511" i="3"/>
  <c r="AC512" i="3"/>
  <c r="Z512" i="3"/>
  <c r="AA512" i="3"/>
  <c r="P512" i="3"/>
  <c r="Q512" i="3" s="1"/>
  <c r="R512" i="3" s="1"/>
  <c r="S512" i="3" s="1"/>
  <c r="AD512" i="3"/>
  <c r="T512" i="3" l="1"/>
  <c r="U511" i="3"/>
  <c r="Y510" i="3"/>
  <c r="D512" i="3" l="1"/>
  <c r="G512" i="3" s="1"/>
  <c r="AH512" i="3"/>
  <c r="E512" i="3"/>
  <c r="H512" i="3" s="1"/>
  <c r="K512" i="3" s="1"/>
  <c r="AE512" i="3" s="1"/>
  <c r="AG512" i="3"/>
  <c r="F512" i="3" l="1"/>
  <c r="I512" i="3"/>
  <c r="J512" i="3"/>
  <c r="M512" i="3"/>
  <c r="N512" i="3" s="1"/>
  <c r="V512" i="3"/>
  <c r="A513" i="3"/>
  <c r="B513" i="3" s="1"/>
  <c r="W512" i="3" l="1"/>
  <c r="L512" i="3"/>
  <c r="AA513" i="3"/>
  <c r="P513" i="3"/>
  <c r="Q513" i="3" s="1"/>
  <c r="R513" i="3" s="1"/>
  <c r="S513" i="3" s="1"/>
  <c r="AC513" i="3"/>
  <c r="AD513" i="3"/>
  <c r="Z513" i="3"/>
  <c r="T513" i="3" l="1"/>
  <c r="AG513" i="3" s="1"/>
  <c r="U512" i="3"/>
  <c r="Y511" i="3"/>
  <c r="AH513" i="3" l="1"/>
  <c r="E513" i="3"/>
  <c r="H513" i="3" s="1"/>
  <c r="D513" i="3"/>
  <c r="F513" i="3" l="1"/>
  <c r="G513" i="3"/>
  <c r="K513" i="3"/>
  <c r="AE513" i="3" s="1"/>
  <c r="V513" i="3" l="1"/>
  <c r="A514" i="3"/>
  <c r="B514" i="3" s="1"/>
  <c r="I513" i="3"/>
  <c r="J513" i="3"/>
  <c r="M513" i="3"/>
  <c r="N513" i="3" s="1"/>
  <c r="L513" i="3" l="1"/>
  <c r="Z514" i="3"/>
  <c r="AA514" i="3"/>
  <c r="AC514" i="3"/>
  <c r="P514" i="3"/>
  <c r="Q514" i="3" s="1"/>
  <c r="R514" i="3" s="1"/>
  <c r="S514" i="3" s="1"/>
  <c r="W513" i="3"/>
  <c r="T514" i="3" l="1"/>
  <c r="AH514" i="3" s="1"/>
  <c r="U513" i="3"/>
  <c r="Y512" i="3"/>
  <c r="AG514" i="3" l="1"/>
  <c r="E514" i="3"/>
  <c r="H514" i="3" s="1"/>
  <c r="D514" i="3"/>
  <c r="K514" i="3" l="1"/>
  <c r="AE514" i="3" s="1"/>
  <c r="F514" i="3"/>
  <c r="G514" i="3"/>
  <c r="V514" i="3" l="1"/>
  <c r="A515" i="3"/>
  <c r="B515" i="3" s="1"/>
  <c r="I514" i="3"/>
  <c r="J514" i="3"/>
  <c r="AD514" i="3" s="1"/>
  <c r="M514" i="3"/>
  <c r="N514" i="3" s="1"/>
  <c r="W514" i="3" l="1"/>
  <c r="L514" i="3"/>
  <c r="P515" i="3"/>
  <c r="Q515" i="3" s="1"/>
  <c r="R515" i="3" s="1"/>
  <c r="S515" i="3" s="1"/>
  <c r="AC515" i="3"/>
  <c r="Z515" i="3"/>
  <c r="AA515" i="3"/>
  <c r="U514" i="3" l="1"/>
  <c r="Y513" i="3"/>
  <c r="T515" i="3"/>
  <c r="D515" i="3" l="1"/>
  <c r="G515" i="3" s="1"/>
  <c r="AG515" i="3"/>
  <c r="AH515" i="3"/>
  <c r="E515" i="3"/>
  <c r="H515" i="3" s="1"/>
  <c r="K515" i="3" l="1"/>
  <c r="AE515" i="3" s="1"/>
  <c r="I515" i="3"/>
  <c r="J515" i="3"/>
  <c r="AD515" i="3" s="1"/>
  <c r="M515" i="3"/>
  <c r="N515" i="3" s="1"/>
  <c r="F515" i="3"/>
  <c r="L515" i="3" l="1"/>
  <c r="V515" i="3"/>
  <c r="W515" i="3" s="1"/>
  <c r="A516" i="3"/>
  <c r="B516" i="3" s="1"/>
  <c r="U515" i="3" l="1"/>
  <c r="Y514" i="3"/>
  <c r="AA516" i="3"/>
  <c r="Z516" i="3"/>
  <c r="AC516" i="3"/>
  <c r="P516" i="3"/>
  <c r="Q516" i="3" s="1"/>
  <c r="R516" i="3" s="1"/>
  <c r="S516" i="3" s="1"/>
  <c r="T516" i="3" l="1"/>
  <c r="AG516" i="3" s="1"/>
  <c r="D516" i="3" l="1"/>
  <c r="AH516" i="3"/>
  <c r="E516" i="3"/>
  <c r="H516" i="3" s="1"/>
  <c r="F516" i="3" l="1"/>
  <c r="G516" i="3"/>
  <c r="K516" i="3"/>
  <c r="AE516" i="3" s="1"/>
  <c r="I516" i="3" l="1"/>
  <c r="J516" i="3"/>
  <c r="AD516" i="3" s="1"/>
  <c r="M516" i="3"/>
  <c r="N516" i="3" s="1"/>
  <c r="V516" i="3"/>
  <c r="A517" i="3"/>
  <c r="B517" i="3" s="1"/>
  <c r="W516" i="3" l="1"/>
  <c r="L516" i="3"/>
  <c r="AC517" i="3"/>
  <c r="P517" i="3"/>
  <c r="Q517" i="3" s="1"/>
  <c r="R517" i="3" s="1"/>
  <c r="S517" i="3" s="1"/>
  <c r="AA517" i="3"/>
  <c r="Z517" i="3"/>
  <c r="U516" i="3" l="1"/>
  <c r="Y515" i="3"/>
  <c r="T517" i="3"/>
  <c r="AG517" i="3" s="1"/>
  <c r="D517" i="3" l="1"/>
  <c r="G517" i="3" s="1"/>
  <c r="AH517" i="3"/>
  <c r="E517" i="3"/>
  <c r="H517" i="3" s="1"/>
  <c r="K517" i="3" s="1"/>
  <c r="AE517" i="3" s="1"/>
  <c r="F517" i="3" l="1"/>
  <c r="I517" i="3"/>
  <c r="J517" i="3"/>
  <c r="AD517" i="3" s="1"/>
  <c r="M517" i="3"/>
  <c r="N517" i="3" s="1"/>
  <c r="V517" i="3"/>
  <c r="A518" i="3"/>
  <c r="B518" i="3" s="1"/>
  <c r="W517" i="3" l="1"/>
  <c r="L517" i="3"/>
  <c r="AA518" i="3"/>
  <c r="AC518" i="3"/>
  <c r="Z518" i="3"/>
  <c r="P518" i="3"/>
  <c r="Q518" i="3" s="1"/>
  <c r="R518" i="3" s="1"/>
  <c r="S518" i="3" s="1"/>
  <c r="U517" i="3" l="1"/>
  <c r="Y516" i="3"/>
  <c r="T518" i="3"/>
  <c r="D518" i="3" l="1"/>
  <c r="G518" i="3" s="1"/>
  <c r="E518" i="3"/>
  <c r="H518" i="3" s="1"/>
  <c r="AH518" i="3"/>
  <c r="AG518" i="3"/>
  <c r="F518" i="3" l="1"/>
  <c r="I518" i="3"/>
  <c r="J518" i="3"/>
  <c r="AD518" i="3" s="1"/>
  <c r="M518" i="3"/>
  <c r="N518" i="3" s="1"/>
  <c r="K518" i="3"/>
  <c r="AE518" i="3" s="1"/>
  <c r="V518" i="3" l="1"/>
  <c r="W518" i="3" s="1"/>
  <c r="A519" i="3"/>
  <c r="B519" i="3" s="1"/>
  <c r="L518" i="3"/>
  <c r="U518" i="3" l="1"/>
  <c r="Y517" i="3"/>
  <c r="AA519" i="3"/>
  <c r="Z519" i="3"/>
  <c r="AC519" i="3"/>
  <c r="P519" i="3"/>
  <c r="Q519" i="3" s="1"/>
  <c r="R519" i="3" s="1"/>
  <c r="S519" i="3" s="1"/>
  <c r="T519" i="3" l="1"/>
  <c r="D519" i="3" s="1"/>
  <c r="AG519" i="3" l="1"/>
  <c r="G519" i="3"/>
  <c r="AH519" i="3"/>
  <c r="E519" i="3"/>
  <c r="H519" i="3" s="1"/>
  <c r="F519" i="3" l="1"/>
  <c r="I519" i="3"/>
  <c r="J519" i="3"/>
  <c r="AD519" i="3" s="1"/>
  <c r="M519" i="3"/>
  <c r="N519" i="3" s="1"/>
  <c r="K519" i="3"/>
  <c r="AE519" i="3" s="1"/>
  <c r="V519" i="3" l="1"/>
  <c r="W519" i="3" s="1"/>
  <c r="A520" i="3"/>
  <c r="B520" i="3" s="1"/>
  <c r="L519" i="3"/>
  <c r="U519" i="3" l="1"/>
  <c r="Y518" i="3"/>
  <c r="AA520" i="3"/>
  <c r="AC520" i="3"/>
  <c r="Z520" i="3"/>
  <c r="P520" i="3"/>
  <c r="Q520" i="3" s="1"/>
  <c r="R520" i="3" s="1"/>
  <c r="S520" i="3" s="1"/>
  <c r="T520" i="3" l="1"/>
  <c r="D520" i="3" s="1"/>
  <c r="AG520" i="3" l="1"/>
  <c r="E520" i="3"/>
  <c r="H520" i="3" s="1"/>
  <c r="K520" i="3" s="1"/>
  <c r="AE520" i="3" s="1"/>
  <c r="AH520" i="3"/>
  <c r="G520" i="3"/>
  <c r="F520" i="3" l="1"/>
  <c r="I520" i="3"/>
  <c r="J520" i="3"/>
  <c r="AD520" i="3" s="1"/>
  <c r="M520" i="3"/>
  <c r="N520" i="3" s="1"/>
  <c r="V520" i="3"/>
  <c r="A521" i="3"/>
  <c r="B521" i="3" s="1"/>
  <c r="W520" i="3" l="1"/>
  <c r="L520" i="3"/>
  <c r="P521" i="3"/>
  <c r="Q521" i="3" s="1"/>
  <c r="R521" i="3" s="1"/>
  <c r="S521" i="3" s="1"/>
  <c r="AC521" i="3"/>
  <c r="AA521" i="3"/>
  <c r="Z521" i="3"/>
  <c r="U520" i="3" l="1"/>
  <c r="Y519" i="3"/>
  <c r="T521" i="3"/>
  <c r="AH521" i="3" s="1"/>
  <c r="AG521" i="3" l="1"/>
  <c r="D521" i="3"/>
  <c r="E521" i="3"/>
  <c r="H521" i="3" s="1"/>
  <c r="K521" i="3" s="1"/>
  <c r="AE521" i="3" s="1"/>
  <c r="F521" i="3" l="1"/>
  <c r="G521" i="3"/>
  <c r="I521" i="3" s="1"/>
  <c r="V521" i="3"/>
  <c r="A522" i="3"/>
  <c r="B522" i="3" s="1"/>
  <c r="M521" i="3" l="1"/>
  <c r="N521" i="3" s="1"/>
  <c r="J521" i="3"/>
  <c r="W521" i="3"/>
  <c r="AC522" i="3"/>
  <c r="P522" i="3"/>
  <c r="Q522" i="3" s="1"/>
  <c r="R522" i="3" s="1"/>
  <c r="S522" i="3" s="1"/>
  <c r="AA522" i="3"/>
  <c r="Z522" i="3"/>
  <c r="L521" i="3" l="1"/>
  <c r="U521" i="3" s="1"/>
  <c r="AD521" i="3"/>
  <c r="T522" i="3"/>
  <c r="AG522" i="3" l="1"/>
  <c r="Y520" i="3"/>
  <c r="AH522" i="3"/>
  <c r="E522" i="3"/>
  <c r="H522" i="3" s="1"/>
  <c r="D522" i="3"/>
  <c r="K522" i="3" l="1"/>
  <c r="AE522" i="3" s="1"/>
  <c r="F522" i="3"/>
  <c r="G522" i="3"/>
  <c r="I522" i="3" l="1"/>
  <c r="J522" i="3"/>
  <c r="AD522" i="3" s="1"/>
  <c r="M522" i="3"/>
  <c r="N522" i="3" s="1"/>
  <c r="V522" i="3"/>
  <c r="A523" i="3"/>
  <c r="B523" i="3" s="1"/>
  <c r="W522" i="3" l="1"/>
  <c r="L522" i="3"/>
  <c r="AC523" i="3"/>
  <c r="Z523" i="3"/>
  <c r="AA523" i="3"/>
  <c r="P523" i="3"/>
  <c r="Q523" i="3" s="1"/>
  <c r="R523" i="3" s="1"/>
  <c r="S523" i="3" s="1"/>
  <c r="U522" i="3" l="1"/>
  <c r="Y521" i="3"/>
  <c r="T523" i="3"/>
  <c r="AG523" i="3" s="1"/>
  <c r="AH523" i="3" l="1"/>
  <c r="D523" i="3"/>
  <c r="G523" i="3" s="1"/>
  <c r="E523" i="3"/>
  <c r="H523" i="3" s="1"/>
  <c r="F523" i="3" l="1"/>
  <c r="I523" i="3"/>
  <c r="J523" i="3"/>
  <c r="AD523" i="3" s="1"/>
  <c r="M523" i="3"/>
  <c r="N523" i="3" s="1"/>
  <c r="K523" i="3"/>
  <c r="AE523" i="3" s="1"/>
  <c r="V523" i="3" l="1"/>
  <c r="W523" i="3" s="1"/>
  <c r="A524" i="3"/>
  <c r="B524" i="3" s="1"/>
  <c r="L523" i="3"/>
  <c r="U523" i="3" l="1"/>
  <c r="Y522" i="3"/>
  <c r="Z524" i="3"/>
  <c r="P524" i="3"/>
  <c r="Q524" i="3" s="1"/>
  <c r="R524" i="3" s="1"/>
  <c r="S524" i="3" s="1"/>
  <c r="AC524" i="3"/>
  <c r="AA524" i="3"/>
  <c r="T524" i="3" l="1"/>
  <c r="E524" i="3" s="1"/>
  <c r="H524" i="3" s="1"/>
  <c r="D524" i="3" l="1"/>
  <c r="G524" i="3" s="1"/>
  <c r="K524" i="3"/>
  <c r="AE524" i="3" s="1"/>
  <c r="AH524" i="3"/>
  <c r="AG524" i="3"/>
  <c r="F524" i="3" l="1"/>
  <c r="I524" i="3"/>
  <c r="J524" i="3"/>
  <c r="AD524" i="3" s="1"/>
  <c r="M524" i="3"/>
  <c r="N524" i="3" s="1"/>
  <c r="V524" i="3"/>
  <c r="A525" i="3"/>
  <c r="B525" i="3" s="1"/>
  <c r="W524" i="3" l="1"/>
  <c r="L524" i="3"/>
  <c r="AA525" i="3"/>
  <c r="AC525" i="3"/>
  <c r="Z525" i="3"/>
  <c r="P525" i="3"/>
  <c r="Q525" i="3" s="1"/>
  <c r="R525" i="3" s="1"/>
  <c r="S525" i="3" s="1"/>
  <c r="T525" i="3" l="1"/>
  <c r="AH525" i="3" s="1"/>
  <c r="U524" i="3"/>
  <c r="Y523" i="3"/>
  <c r="AG525" i="3" l="1"/>
  <c r="D525" i="3"/>
  <c r="E525" i="3"/>
  <c r="H525" i="3" s="1"/>
  <c r="F525" i="3" l="1"/>
  <c r="G525" i="3"/>
  <c r="K525" i="3"/>
  <c r="AE525" i="3" s="1"/>
  <c r="I525" i="3" l="1"/>
  <c r="J525" i="3"/>
  <c r="AD525" i="3" s="1"/>
  <c r="M525" i="3"/>
  <c r="N525" i="3" s="1"/>
  <c r="V525" i="3"/>
  <c r="A526" i="3"/>
  <c r="B526" i="3" s="1"/>
  <c r="L525" i="3" l="1"/>
  <c r="W525" i="3"/>
  <c r="AA526" i="3"/>
  <c r="P526" i="3"/>
  <c r="Q526" i="3" s="1"/>
  <c r="R526" i="3" s="1"/>
  <c r="S526" i="3" s="1"/>
  <c r="Z526" i="3"/>
  <c r="AC526" i="3"/>
  <c r="T526" i="3" l="1"/>
  <c r="U525" i="3"/>
  <c r="Y524" i="3"/>
  <c r="D526" i="3" l="1"/>
  <c r="G526" i="3" s="1"/>
  <c r="AH526" i="3"/>
  <c r="E526" i="3"/>
  <c r="H526" i="3" s="1"/>
  <c r="K526" i="3" s="1"/>
  <c r="AE526" i="3" s="1"/>
  <c r="AG526" i="3"/>
  <c r="F526" i="3" l="1"/>
  <c r="V526" i="3"/>
  <c r="A527" i="3"/>
  <c r="B527" i="3" s="1"/>
  <c r="I526" i="3"/>
  <c r="J526" i="3"/>
  <c r="AD526" i="3" s="1"/>
  <c r="M526" i="3"/>
  <c r="N526" i="3" s="1"/>
  <c r="W526" i="3" l="1"/>
  <c r="L526" i="3"/>
  <c r="Z527" i="3"/>
  <c r="AC527" i="3"/>
  <c r="P527" i="3"/>
  <c r="Q527" i="3" s="1"/>
  <c r="R527" i="3" s="1"/>
  <c r="S527" i="3" s="1"/>
  <c r="AA527" i="3"/>
  <c r="U526" i="3" l="1"/>
  <c r="Y525" i="3"/>
  <c r="T527" i="3"/>
  <c r="D527" i="3" l="1"/>
  <c r="G527" i="3" s="1"/>
  <c r="E527" i="3"/>
  <c r="H527" i="3" s="1"/>
  <c r="AG527" i="3"/>
  <c r="AH527" i="3"/>
  <c r="F527" i="3" l="1"/>
  <c r="I527" i="3"/>
  <c r="J527" i="3"/>
  <c r="AD527" i="3" s="1"/>
  <c r="M527" i="3"/>
  <c r="N527" i="3" s="1"/>
  <c r="K527" i="3"/>
  <c r="AE527" i="3" s="1"/>
  <c r="V527" i="3" l="1"/>
  <c r="W527" i="3" s="1"/>
  <c r="A528" i="3"/>
  <c r="B528" i="3" s="1"/>
  <c r="L527" i="3"/>
  <c r="U527" i="3" l="1"/>
  <c r="Y526" i="3"/>
  <c r="Z528" i="3"/>
  <c r="P528" i="3"/>
  <c r="Q528" i="3" s="1"/>
  <c r="R528" i="3" s="1"/>
  <c r="S528" i="3" s="1"/>
  <c r="AC528" i="3"/>
  <c r="AA528" i="3"/>
  <c r="T528" i="3" l="1"/>
  <c r="AH528" i="3" s="1"/>
  <c r="D528" i="3" l="1"/>
  <c r="E528" i="3"/>
  <c r="H528" i="3" s="1"/>
  <c r="K528" i="3" s="1"/>
  <c r="AE528" i="3" s="1"/>
  <c r="AG528" i="3"/>
  <c r="F528" i="3" l="1"/>
  <c r="G528" i="3"/>
  <c r="M528" i="3" s="1"/>
  <c r="N528" i="3" s="1"/>
  <c r="V528" i="3"/>
  <c r="A529" i="3"/>
  <c r="B529" i="3" s="1"/>
  <c r="I528" i="3" l="1"/>
  <c r="W528" i="3" s="1"/>
  <c r="J528" i="3"/>
  <c r="Z529" i="3"/>
  <c r="AC529" i="3"/>
  <c r="P529" i="3"/>
  <c r="Q529" i="3" s="1"/>
  <c r="R529" i="3" s="1"/>
  <c r="S529" i="3" s="1"/>
  <c r="AA529" i="3"/>
  <c r="L528" i="3" l="1"/>
  <c r="Y527" i="3" s="1"/>
  <c r="AD528" i="3"/>
  <c r="T529" i="3"/>
  <c r="AG529" i="3" l="1"/>
  <c r="U528" i="3"/>
  <c r="D529" i="3" s="1"/>
  <c r="G529" i="3" s="1"/>
  <c r="AH529" i="3"/>
  <c r="E529" i="3" l="1"/>
  <c r="H529" i="3" s="1"/>
  <c r="K529" i="3" s="1"/>
  <c r="AE529" i="3" s="1"/>
  <c r="J529" i="3"/>
  <c r="AD529" i="3" s="1"/>
  <c r="A530" i="3" l="1"/>
  <c r="B530" i="3" s="1"/>
  <c r="P530" i="3" s="1"/>
  <c r="Q530" i="3" s="1"/>
  <c r="R530" i="3" s="1"/>
  <c r="S530" i="3" s="1"/>
  <c r="V529" i="3"/>
  <c r="M529" i="3"/>
  <c r="N529" i="3" s="1"/>
  <c r="I529" i="3"/>
  <c r="F529" i="3"/>
  <c r="L529" i="3"/>
  <c r="AC530" i="3" l="1"/>
  <c r="Z530" i="3"/>
  <c r="AA530" i="3"/>
  <c r="W529" i="3"/>
  <c r="T530" i="3"/>
  <c r="U529" i="3"/>
  <c r="Y528" i="3"/>
  <c r="AG530" i="3" l="1"/>
  <c r="D530" i="3"/>
  <c r="G530" i="3" s="1"/>
  <c r="AH530" i="3"/>
  <c r="E530" i="3"/>
  <c r="H530" i="3" s="1"/>
  <c r="F530" i="3" l="1"/>
  <c r="I530" i="3"/>
  <c r="J530" i="3"/>
  <c r="AD530" i="3" s="1"/>
  <c r="M530" i="3"/>
  <c r="N530" i="3" s="1"/>
  <c r="K530" i="3"/>
  <c r="AE530" i="3" s="1"/>
  <c r="V530" i="3" l="1"/>
  <c r="W530" i="3" s="1"/>
  <c r="A531" i="3"/>
  <c r="B531" i="3" s="1"/>
  <c r="L530" i="3"/>
  <c r="U530" i="3" l="1"/>
  <c r="Y529" i="3"/>
  <c r="Z531" i="3"/>
  <c r="AC531" i="3"/>
  <c r="AA531" i="3"/>
  <c r="P531" i="3"/>
  <c r="Q531" i="3" s="1"/>
  <c r="R531" i="3" s="1"/>
  <c r="S531" i="3" s="1"/>
  <c r="T531" i="3" l="1"/>
  <c r="AG531" i="3" s="1"/>
  <c r="AH531" i="3" l="1"/>
  <c r="D531" i="3"/>
  <c r="E531" i="3"/>
  <c r="H531" i="3" s="1"/>
  <c r="K531" i="3" l="1"/>
  <c r="AE531" i="3" s="1"/>
  <c r="F531" i="3"/>
  <c r="G531" i="3"/>
  <c r="I531" i="3" l="1"/>
  <c r="J531" i="3"/>
  <c r="AD531" i="3" s="1"/>
  <c r="M531" i="3"/>
  <c r="N531" i="3" s="1"/>
  <c r="V531" i="3"/>
  <c r="A532" i="3"/>
  <c r="B532" i="3" s="1"/>
  <c r="W531" i="3" l="1"/>
  <c r="L531" i="3"/>
  <c r="AC532" i="3"/>
  <c r="Z532" i="3"/>
  <c r="P532" i="3"/>
  <c r="Q532" i="3" s="1"/>
  <c r="R532" i="3" s="1"/>
  <c r="S532" i="3" s="1"/>
  <c r="AA532" i="3"/>
  <c r="U531" i="3" l="1"/>
  <c r="Y530" i="3"/>
  <c r="T532" i="3"/>
  <c r="AH532" i="3" s="1"/>
  <c r="D532" i="3" l="1"/>
  <c r="G532" i="3" s="1"/>
  <c r="AG532" i="3"/>
  <c r="E532" i="3"/>
  <c r="H532" i="3" s="1"/>
  <c r="K532" i="3" s="1"/>
  <c r="AE532" i="3" s="1"/>
  <c r="F532" i="3" l="1"/>
  <c r="V532" i="3"/>
  <c r="A533" i="3"/>
  <c r="B533" i="3" s="1"/>
  <c r="I532" i="3"/>
  <c r="J532" i="3"/>
  <c r="AD532" i="3" s="1"/>
  <c r="M532" i="3"/>
  <c r="N532" i="3" s="1"/>
  <c r="W532" i="3" l="1"/>
  <c r="L532" i="3"/>
  <c r="P533" i="3"/>
  <c r="Q533" i="3" s="1"/>
  <c r="R533" i="3" s="1"/>
  <c r="S533" i="3" s="1"/>
  <c r="AA533" i="3"/>
  <c r="Z533" i="3"/>
  <c r="AC533" i="3"/>
  <c r="T533" i="3" l="1"/>
  <c r="U532" i="3"/>
  <c r="Y531" i="3"/>
  <c r="E533" i="3" l="1"/>
  <c r="H533" i="3" s="1"/>
  <c r="K533" i="3" s="1"/>
  <c r="AE533" i="3" s="1"/>
  <c r="AH533" i="3"/>
  <c r="AG533" i="3"/>
  <c r="D533" i="3"/>
  <c r="F533" i="3" l="1"/>
  <c r="G533" i="3"/>
  <c r="V533" i="3"/>
  <c r="A534" i="3"/>
  <c r="B534" i="3" s="1"/>
  <c r="Z534" i="3" l="1"/>
  <c r="AC534" i="3"/>
  <c r="AA534" i="3"/>
  <c r="P534" i="3"/>
  <c r="Q534" i="3" s="1"/>
  <c r="R534" i="3" s="1"/>
  <c r="S534" i="3" s="1"/>
  <c r="I533" i="3"/>
  <c r="W533" i="3" s="1"/>
  <c r="J533" i="3"/>
  <c r="AD533" i="3" s="1"/>
  <c r="M533" i="3"/>
  <c r="N533" i="3" s="1"/>
  <c r="L533" i="3" l="1"/>
  <c r="T534" i="3"/>
  <c r="U533" i="3" l="1"/>
  <c r="D534" i="3" s="1"/>
  <c r="AG534" i="3"/>
  <c r="AH534" i="3"/>
  <c r="Y532" i="3"/>
  <c r="E534" i="3" l="1"/>
  <c r="H534" i="3" s="1"/>
  <c r="K534" i="3" s="1"/>
  <c r="AE534" i="3" s="1"/>
  <c r="G534" i="3"/>
  <c r="F534" i="3" l="1"/>
  <c r="V534" i="3"/>
  <c r="A535" i="3"/>
  <c r="B535" i="3" s="1"/>
  <c r="I534" i="3"/>
  <c r="J534" i="3"/>
  <c r="AD534" i="3" s="1"/>
  <c r="M534" i="3"/>
  <c r="N534" i="3" s="1"/>
  <c r="W534" i="3" l="1"/>
  <c r="L534" i="3"/>
  <c r="AA535" i="3"/>
  <c r="AC535" i="3"/>
  <c r="AD535" i="3"/>
  <c r="Z535" i="3"/>
  <c r="P535" i="3"/>
  <c r="Q535" i="3" s="1"/>
  <c r="R535" i="3" s="1"/>
  <c r="S535" i="3" s="1"/>
  <c r="T535" i="3" l="1"/>
  <c r="U534" i="3"/>
  <c r="Y533" i="3"/>
  <c r="D535" i="3" l="1"/>
  <c r="G535" i="3" s="1"/>
  <c r="E535" i="3"/>
  <c r="H535" i="3" s="1"/>
  <c r="K535" i="3" s="1"/>
  <c r="AE535" i="3" s="1"/>
  <c r="AG535" i="3"/>
  <c r="AH535" i="3"/>
  <c r="F535" i="3" l="1"/>
  <c r="V535" i="3"/>
  <c r="A536" i="3"/>
  <c r="B536" i="3" s="1"/>
  <c r="I535" i="3"/>
  <c r="J535" i="3"/>
  <c r="M535" i="3"/>
  <c r="N535" i="3" s="1"/>
  <c r="W535" i="3" l="1"/>
  <c r="L535" i="3"/>
  <c r="AC536" i="3"/>
  <c r="AA536" i="3"/>
  <c r="Z536" i="3"/>
  <c r="P536" i="3"/>
  <c r="Q536" i="3" s="1"/>
  <c r="R536" i="3" s="1"/>
  <c r="S536" i="3" s="1"/>
  <c r="AD536" i="3"/>
  <c r="U535" i="3" l="1"/>
  <c r="Y534" i="3"/>
  <c r="T536" i="3"/>
  <c r="AH536" i="3" s="1"/>
  <c r="AG536" i="3" l="1"/>
  <c r="E536" i="3"/>
  <c r="H536" i="3" s="1"/>
  <c r="D536" i="3"/>
  <c r="K536" i="3" l="1"/>
  <c r="AE536" i="3" s="1"/>
  <c r="F536" i="3"/>
  <c r="G536" i="3"/>
  <c r="I536" i="3" l="1"/>
  <c r="J536" i="3"/>
  <c r="M536" i="3"/>
  <c r="N536" i="3" s="1"/>
  <c r="V536" i="3"/>
  <c r="A537" i="3"/>
  <c r="B537" i="3" s="1"/>
  <c r="W536" i="3" l="1"/>
  <c r="L536" i="3"/>
  <c r="AC537" i="3"/>
  <c r="P537" i="3"/>
  <c r="Q537" i="3" s="1"/>
  <c r="R537" i="3" s="1"/>
  <c r="S537" i="3" s="1"/>
  <c r="Z537" i="3"/>
  <c r="AA537" i="3"/>
  <c r="U536" i="3" l="1"/>
  <c r="Y535" i="3"/>
  <c r="T537" i="3"/>
  <c r="AH537" i="3" s="1"/>
  <c r="AG537" i="3" l="1"/>
  <c r="E537" i="3"/>
  <c r="H537" i="3" s="1"/>
  <c r="D537" i="3"/>
  <c r="K537" i="3" l="1"/>
  <c r="AE537" i="3" s="1"/>
  <c r="F537" i="3"/>
  <c r="G537" i="3"/>
  <c r="I537" i="3" l="1"/>
  <c r="J537" i="3"/>
  <c r="AD537" i="3" s="1"/>
  <c r="M537" i="3"/>
  <c r="N537" i="3" s="1"/>
  <c r="V537" i="3"/>
  <c r="A538" i="3"/>
  <c r="B538" i="3" s="1"/>
  <c r="W537" i="3" l="1"/>
  <c r="L537" i="3"/>
  <c r="AA538" i="3"/>
  <c r="AC538" i="3"/>
  <c r="Z538" i="3"/>
  <c r="P538" i="3"/>
  <c r="Q538" i="3" s="1"/>
  <c r="R538" i="3" s="1"/>
  <c r="S538" i="3" s="1"/>
  <c r="T538" i="3" l="1"/>
  <c r="U537" i="3"/>
  <c r="Y536" i="3"/>
  <c r="D538" i="3" l="1"/>
  <c r="G538" i="3" s="1"/>
  <c r="AH538" i="3"/>
  <c r="AG538" i="3"/>
  <c r="E538" i="3"/>
  <c r="H538" i="3" s="1"/>
  <c r="F538" i="3" l="1"/>
  <c r="I538" i="3"/>
  <c r="J538" i="3"/>
  <c r="AD538" i="3" s="1"/>
  <c r="M538" i="3"/>
  <c r="N538" i="3" s="1"/>
  <c r="K538" i="3"/>
  <c r="AE538" i="3" s="1"/>
  <c r="V538" i="3" l="1"/>
  <c r="W538" i="3" s="1"/>
  <c r="A539" i="3"/>
  <c r="B539" i="3" s="1"/>
  <c r="L538" i="3"/>
  <c r="U538" i="3" l="1"/>
  <c r="Y537" i="3"/>
  <c r="Z539" i="3"/>
  <c r="P539" i="3"/>
  <c r="Q539" i="3" s="1"/>
  <c r="R539" i="3" s="1"/>
  <c r="S539" i="3" s="1"/>
  <c r="AD539" i="3"/>
  <c r="AA539" i="3"/>
  <c r="AC539" i="3"/>
  <c r="T539" i="3" l="1"/>
  <c r="AH539" i="3" s="1"/>
  <c r="AG539" i="3" l="1"/>
  <c r="E539" i="3"/>
  <c r="H539" i="3" s="1"/>
  <c r="K539" i="3" s="1"/>
  <c r="AE539" i="3" s="1"/>
  <c r="D539" i="3"/>
  <c r="G539" i="3" s="1"/>
  <c r="F539" i="3" l="1"/>
  <c r="V539" i="3"/>
  <c r="A540" i="3"/>
  <c r="B540" i="3" s="1"/>
  <c r="I539" i="3"/>
  <c r="J539" i="3"/>
  <c r="M539" i="3"/>
  <c r="N539" i="3" s="1"/>
  <c r="W539" i="3" l="1"/>
  <c r="L539" i="3"/>
  <c r="AA540" i="3"/>
  <c r="AC540" i="3"/>
  <c r="Z540" i="3"/>
  <c r="AD540" i="3"/>
  <c r="P540" i="3"/>
  <c r="Q540" i="3" s="1"/>
  <c r="R540" i="3" s="1"/>
  <c r="S540" i="3" s="1"/>
  <c r="U539" i="3" l="1"/>
  <c r="Y538" i="3"/>
  <c r="T540" i="3"/>
  <c r="AG540" i="3" s="1"/>
  <c r="E540" i="3" l="1"/>
  <c r="H540" i="3" s="1"/>
  <c r="D540" i="3"/>
  <c r="AH540" i="3"/>
  <c r="K540" i="3" l="1"/>
  <c r="AE540" i="3" s="1"/>
  <c r="F540" i="3"/>
  <c r="G540" i="3"/>
  <c r="V540" i="3" l="1"/>
  <c r="A541" i="3"/>
  <c r="B541" i="3" s="1"/>
  <c r="I540" i="3"/>
  <c r="J540" i="3"/>
  <c r="M540" i="3"/>
  <c r="N540" i="3" s="1"/>
  <c r="W540" i="3" l="1"/>
  <c r="L540" i="3"/>
  <c r="P541" i="3"/>
  <c r="Q541" i="3" s="1"/>
  <c r="R541" i="3" s="1"/>
  <c r="S541" i="3" s="1"/>
  <c r="AA541" i="3"/>
  <c r="AD541" i="3"/>
  <c r="Z541" i="3"/>
  <c r="AC541" i="3"/>
  <c r="U540" i="3" l="1"/>
  <c r="Y539" i="3"/>
  <c r="T541" i="3"/>
  <c r="AG541" i="3" s="1"/>
  <c r="AH541" i="3" l="1"/>
  <c r="E541" i="3"/>
  <c r="H541" i="3" s="1"/>
  <c r="D541" i="3"/>
  <c r="K541" i="3" l="1"/>
  <c r="AE541" i="3" s="1"/>
  <c r="F541" i="3"/>
  <c r="G541" i="3"/>
  <c r="I541" i="3" l="1"/>
  <c r="J541" i="3"/>
  <c r="M541" i="3"/>
  <c r="N541" i="3" s="1"/>
  <c r="V541" i="3"/>
  <c r="A542" i="3"/>
  <c r="B542" i="3" s="1"/>
  <c r="W541" i="3" l="1"/>
  <c r="L541" i="3"/>
  <c r="AC542" i="3"/>
  <c r="P542" i="3"/>
  <c r="Q542" i="3" s="1"/>
  <c r="R542" i="3" s="1"/>
  <c r="S542" i="3" s="1"/>
  <c r="AA542" i="3"/>
  <c r="Z542" i="3"/>
  <c r="AD542" i="3"/>
  <c r="T542" i="3" l="1"/>
  <c r="AH542" i="3" s="1"/>
  <c r="U541" i="3"/>
  <c r="Y540" i="3"/>
  <c r="E542" i="3" l="1"/>
  <c r="H542" i="3" s="1"/>
  <c r="K542" i="3" s="1"/>
  <c r="AE542" i="3" s="1"/>
  <c r="AG542" i="3"/>
  <c r="D542" i="3"/>
  <c r="F542" i="3" l="1"/>
  <c r="G542" i="3"/>
  <c r="V542" i="3"/>
  <c r="A543" i="3"/>
  <c r="B543" i="3" s="1"/>
  <c r="P543" i="3" l="1"/>
  <c r="Q543" i="3" s="1"/>
  <c r="R543" i="3" s="1"/>
  <c r="S543" i="3" s="1"/>
  <c r="AD543" i="3"/>
  <c r="Z543" i="3"/>
  <c r="AA543" i="3"/>
  <c r="AC543" i="3"/>
  <c r="I542" i="3"/>
  <c r="W542" i="3" s="1"/>
  <c r="J542" i="3"/>
  <c r="M542" i="3"/>
  <c r="N542" i="3" s="1"/>
  <c r="T543" i="3" l="1"/>
  <c r="L542" i="3"/>
  <c r="AH543" i="3" l="1"/>
  <c r="U542" i="3"/>
  <c r="E543" i="3" s="1"/>
  <c r="H543" i="3" s="1"/>
  <c r="AG543" i="3"/>
  <c r="Y541" i="3"/>
  <c r="D543" i="3" l="1"/>
  <c r="G543" i="3" s="1"/>
  <c r="K543" i="3"/>
  <c r="AE543" i="3" s="1"/>
  <c r="F543" i="3" l="1"/>
  <c r="I543" i="3"/>
  <c r="J543" i="3"/>
  <c r="M543" i="3"/>
  <c r="N543" i="3" s="1"/>
  <c r="V543" i="3"/>
  <c r="A544" i="3"/>
  <c r="B544" i="3" s="1"/>
  <c r="W543" i="3" l="1"/>
  <c r="L543" i="3"/>
  <c r="P544" i="3"/>
  <c r="Q544" i="3" s="1"/>
  <c r="R544" i="3" s="1"/>
  <c r="S544" i="3" s="1"/>
  <c r="Z544" i="3"/>
  <c r="AC544" i="3"/>
  <c r="AA544" i="3"/>
  <c r="U543" i="3" l="1"/>
  <c r="Y542" i="3"/>
  <c r="T544" i="3"/>
  <c r="AG544" i="3" s="1"/>
  <c r="E544" i="3" l="1"/>
  <c r="H544" i="3" s="1"/>
  <c r="D544" i="3"/>
  <c r="AH544" i="3"/>
  <c r="K544" i="3" l="1"/>
  <c r="AE544" i="3" s="1"/>
  <c r="F544" i="3"/>
  <c r="G544" i="3"/>
  <c r="I544" i="3" l="1"/>
  <c r="J544" i="3"/>
  <c r="AD544" i="3" s="1"/>
  <c r="M544" i="3"/>
  <c r="N544" i="3" s="1"/>
  <c r="V544" i="3"/>
  <c r="A545" i="3"/>
  <c r="B545" i="3" s="1"/>
  <c r="W544" i="3" l="1"/>
  <c r="L544" i="3"/>
  <c r="Z545" i="3"/>
  <c r="AA545" i="3"/>
  <c r="AC545" i="3"/>
  <c r="P545" i="3"/>
  <c r="Q545" i="3" s="1"/>
  <c r="R545" i="3" s="1"/>
  <c r="S545" i="3" s="1"/>
  <c r="U544" i="3" l="1"/>
  <c r="Y543" i="3"/>
  <c r="T545" i="3"/>
  <c r="AH545" i="3" s="1"/>
  <c r="E545" i="3" l="1"/>
  <c r="H545" i="3" s="1"/>
  <c r="K545" i="3" s="1"/>
  <c r="AE545" i="3" s="1"/>
  <c r="D545" i="3"/>
  <c r="AG545" i="3"/>
  <c r="V545" i="3" l="1"/>
  <c r="A546" i="3"/>
  <c r="B546" i="3" s="1"/>
  <c r="F545" i="3"/>
  <c r="G545" i="3"/>
  <c r="I545" i="3" l="1"/>
  <c r="W545" i="3" s="1"/>
  <c r="J545" i="3"/>
  <c r="AD545" i="3" s="1"/>
  <c r="M545" i="3"/>
  <c r="N545" i="3" s="1"/>
  <c r="AC546" i="3"/>
  <c r="P546" i="3"/>
  <c r="Q546" i="3" s="1"/>
  <c r="R546" i="3" s="1"/>
  <c r="S546" i="3" s="1"/>
  <c r="Z546" i="3"/>
  <c r="AA546" i="3"/>
  <c r="T546" i="3" l="1"/>
  <c r="L545" i="3"/>
  <c r="U545" i="3" l="1"/>
  <c r="D546" i="3" s="1"/>
  <c r="AG546" i="3"/>
  <c r="AH546" i="3"/>
  <c r="Y544" i="3"/>
  <c r="E546" i="3" l="1"/>
  <c r="H546" i="3" s="1"/>
  <c r="K546" i="3" s="1"/>
  <c r="AE546" i="3" s="1"/>
  <c r="G546" i="3"/>
  <c r="F546" i="3" l="1"/>
  <c r="V546" i="3"/>
  <c r="A547" i="3"/>
  <c r="B547" i="3" s="1"/>
  <c r="I546" i="3"/>
  <c r="J546" i="3"/>
  <c r="AD546" i="3" s="1"/>
  <c r="M546" i="3"/>
  <c r="N546" i="3" s="1"/>
  <c r="W546" i="3" l="1"/>
  <c r="L546" i="3"/>
  <c r="AC547" i="3"/>
  <c r="P547" i="3"/>
  <c r="Q547" i="3" s="1"/>
  <c r="R547" i="3" s="1"/>
  <c r="S547" i="3" s="1"/>
  <c r="AA547" i="3"/>
  <c r="Z547" i="3"/>
  <c r="U546" i="3" l="1"/>
  <c r="Y545" i="3"/>
  <c r="T547" i="3"/>
  <c r="AG547" i="3" s="1"/>
  <c r="E547" i="3" l="1"/>
  <c r="H547" i="3" s="1"/>
  <c r="K547" i="3" s="1"/>
  <c r="AE547" i="3" s="1"/>
  <c r="D547" i="3"/>
  <c r="G547" i="3" s="1"/>
  <c r="AH547" i="3"/>
  <c r="F547" i="3" l="1"/>
  <c r="I547" i="3"/>
  <c r="J547" i="3"/>
  <c r="AD547" i="3" s="1"/>
  <c r="M547" i="3"/>
  <c r="N547" i="3" s="1"/>
  <c r="V547" i="3"/>
  <c r="A548" i="3"/>
  <c r="B548" i="3" s="1"/>
  <c r="W547" i="3" l="1"/>
  <c r="L547" i="3"/>
  <c r="Z548" i="3"/>
  <c r="AA548" i="3"/>
  <c r="P548" i="3"/>
  <c r="Q548" i="3" s="1"/>
  <c r="R548" i="3" s="1"/>
  <c r="S548" i="3" s="1"/>
  <c r="AC548" i="3"/>
  <c r="U547" i="3" l="1"/>
  <c r="Y546" i="3"/>
  <c r="T548" i="3"/>
  <c r="E548" i="3" l="1"/>
  <c r="H548" i="3" s="1"/>
  <c r="K548" i="3" s="1"/>
  <c r="AE548" i="3" s="1"/>
  <c r="D548" i="3"/>
  <c r="AG548" i="3"/>
  <c r="AH548" i="3"/>
  <c r="V548" i="3" l="1"/>
  <c r="A549" i="3"/>
  <c r="B549" i="3" s="1"/>
  <c r="F548" i="3"/>
  <c r="G548" i="3"/>
  <c r="I548" i="3" l="1"/>
  <c r="W548" i="3" s="1"/>
  <c r="J548" i="3"/>
  <c r="AD548" i="3" s="1"/>
  <c r="M548" i="3"/>
  <c r="N548" i="3" s="1"/>
  <c r="P549" i="3"/>
  <c r="Q549" i="3" s="1"/>
  <c r="R549" i="3" s="1"/>
  <c r="S549" i="3" s="1"/>
  <c r="AC549" i="3"/>
  <c r="AA549" i="3"/>
  <c r="Z549" i="3"/>
  <c r="T549" i="3" l="1"/>
  <c r="L548" i="3"/>
  <c r="AH549" i="3" l="1"/>
  <c r="U548" i="3"/>
  <c r="E549" i="3" s="1"/>
  <c r="H549" i="3" s="1"/>
  <c r="AG549" i="3"/>
  <c r="Y547" i="3"/>
  <c r="K549" i="3" l="1"/>
  <c r="AE549" i="3" s="1"/>
  <c r="D549" i="3"/>
  <c r="V549" i="3" l="1"/>
  <c r="A550" i="3"/>
  <c r="B550" i="3" s="1"/>
  <c r="F549" i="3"/>
  <c r="G549" i="3"/>
  <c r="I549" i="3" l="1"/>
  <c r="W549" i="3" s="1"/>
  <c r="J549" i="3"/>
  <c r="AD549" i="3" s="1"/>
  <c r="M549" i="3"/>
  <c r="N549" i="3" s="1"/>
  <c r="P550" i="3"/>
  <c r="Q550" i="3" s="1"/>
  <c r="R550" i="3" s="1"/>
  <c r="S550" i="3" s="1"/>
  <c r="AA550" i="3"/>
  <c r="AC550" i="3"/>
  <c r="Z550" i="3"/>
  <c r="T550" i="3" l="1"/>
  <c r="L549" i="3"/>
  <c r="U549" i="3" l="1"/>
  <c r="D550" i="3" s="1"/>
  <c r="AH550" i="3"/>
  <c r="AG550" i="3"/>
  <c r="Y548" i="3"/>
  <c r="E550" i="3" l="1"/>
  <c r="H550" i="3" s="1"/>
  <c r="K550" i="3" s="1"/>
  <c r="AE550" i="3" s="1"/>
  <c r="G550" i="3"/>
  <c r="F550" i="3" l="1"/>
  <c r="I550" i="3"/>
  <c r="J550" i="3"/>
  <c r="AD550" i="3" s="1"/>
  <c r="M550" i="3"/>
  <c r="N550" i="3" s="1"/>
  <c r="V550" i="3"/>
  <c r="A551" i="3"/>
  <c r="B551" i="3" s="1"/>
  <c r="W550" i="3" l="1"/>
  <c r="L550" i="3"/>
  <c r="P551" i="3"/>
  <c r="Q551" i="3" s="1"/>
  <c r="R551" i="3" s="1"/>
  <c r="S551" i="3" s="1"/>
  <c r="AC551" i="3"/>
  <c r="AA551" i="3"/>
  <c r="Z551" i="3"/>
  <c r="T551" i="3" l="1"/>
  <c r="AG551" i="3" s="1"/>
  <c r="U550" i="3"/>
  <c r="Y549" i="3"/>
  <c r="D551" i="3" l="1"/>
  <c r="G551" i="3" s="1"/>
  <c r="AH551" i="3"/>
  <c r="E551" i="3"/>
  <c r="H551" i="3" s="1"/>
  <c r="F551" i="3" l="1"/>
  <c r="I551" i="3"/>
  <c r="J551" i="3"/>
  <c r="AD551" i="3" s="1"/>
  <c r="M551" i="3"/>
  <c r="N551" i="3" s="1"/>
  <c r="K551" i="3"/>
  <c r="AE551" i="3" s="1"/>
  <c r="V551" i="3" l="1"/>
  <c r="W551" i="3" s="1"/>
  <c r="A552" i="3"/>
  <c r="B552" i="3" s="1"/>
  <c r="L551" i="3"/>
  <c r="U551" i="3" l="1"/>
  <c r="Y550" i="3"/>
  <c r="AA552" i="3"/>
  <c r="P552" i="3"/>
  <c r="Q552" i="3" s="1"/>
  <c r="R552" i="3" s="1"/>
  <c r="S552" i="3" s="1"/>
  <c r="AC552" i="3"/>
  <c r="Z552" i="3"/>
  <c r="T552" i="3" l="1"/>
  <c r="D552" i="3" s="1"/>
  <c r="AG552" i="3" l="1"/>
  <c r="AH552" i="3"/>
  <c r="E552" i="3"/>
  <c r="H552" i="3" s="1"/>
  <c r="K552" i="3" s="1"/>
  <c r="AE552" i="3" s="1"/>
  <c r="G552" i="3"/>
  <c r="F552" i="3" l="1"/>
  <c r="I552" i="3"/>
  <c r="J552" i="3"/>
  <c r="AD552" i="3" s="1"/>
  <c r="M552" i="3"/>
  <c r="N552" i="3" s="1"/>
  <c r="V552" i="3"/>
  <c r="A553" i="3"/>
  <c r="B553" i="3" s="1"/>
  <c r="W552" i="3" l="1"/>
  <c r="L552" i="3"/>
  <c r="P553" i="3"/>
  <c r="Q553" i="3" s="1"/>
  <c r="R553" i="3" s="1"/>
  <c r="S553" i="3" s="1"/>
  <c r="Z553" i="3"/>
  <c r="AC553" i="3"/>
  <c r="AA553" i="3"/>
  <c r="T553" i="3" l="1"/>
  <c r="U552" i="3"/>
  <c r="Y551" i="3"/>
  <c r="D553" i="3" l="1"/>
  <c r="G553" i="3" s="1"/>
  <c r="AH553" i="3"/>
  <c r="AG553" i="3"/>
  <c r="E553" i="3"/>
  <c r="H553" i="3" s="1"/>
  <c r="K553" i="3" l="1"/>
  <c r="AE553" i="3" s="1"/>
  <c r="F553" i="3"/>
  <c r="I553" i="3"/>
  <c r="J553" i="3"/>
  <c r="AD553" i="3" s="1"/>
  <c r="M553" i="3"/>
  <c r="N553" i="3" s="1"/>
  <c r="V553" i="3" l="1"/>
  <c r="W553" i="3" s="1"/>
  <c r="A554" i="3"/>
  <c r="B554" i="3" s="1"/>
  <c r="L553" i="3"/>
  <c r="U553" i="3" l="1"/>
  <c r="Y552" i="3"/>
  <c r="AA554" i="3"/>
  <c r="AC554" i="3"/>
  <c r="P554" i="3"/>
  <c r="Q554" i="3" s="1"/>
  <c r="R554" i="3" s="1"/>
  <c r="S554" i="3" s="1"/>
  <c r="Z554" i="3"/>
  <c r="T554" i="3" l="1"/>
  <c r="AH554" i="3" s="1"/>
  <c r="E554" i="3" l="1"/>
  <c r="H554" i="3" s="1"/>
  <c r="K554" i="3" s="1"/>
  <c r="AE554" i="3" s="1"/>
  <c r="AG554" i="3"/>
  <c r="D554" i="3"/>
  <c r="V554" i="3" l="1"/>
  <c r="A555" i="3"/>
  <c r="B555" i="3" s="1"/>
  <c r="F554" i="3"/>
  <c r="G554" i="3"/>
  <c r="I554" i="3" l="1"/>
  <c r="W554" i="3" s="1"/>
  <c r="J554" i="3"/>
  <c r="AD554" i="3" s="1"/>
  <c r="M554" i="3"/>
  <c r="N554" i="3" s="1"/>
  <c r="AA555" i="3"/>
  <c r="Z555" i="3"/>
  <c r="AC555" i="3"/>
  <c r="P555" i="3"/>
  <c r="Q555" i="3" s="1"/>
  <c r="R555" i="3" s="1"/>
  <c r="S555" i="3" s="1"/>
  <c r="L554" i="3" l="1"/>
  <c r="T555" i="3"/>
  <c r="U554" i="3" l="1"/>
  <c r="E555" i="3" s="1"/>
  <c r="H555" i="3" s="1"/>
  <c r="AG555" i="3"/>
  <c r="AH555" i="3"/>
  <c r="Y553" i="3"/>
  <c r="K555" i="3" l="1"/>
  <c r="AE555" i="3" s="1"/>
  <c r="D555" i="3"/>
  <c r="F555" i="3" l="1"/>
  <c r="G555" i="3"/>
  <c r="V555" i="3"/>
  <c r="A556" i="3"/>
  <c r="B556" i="3" s="1"/>
  <c r="P556" i="3" l="1"/>
  <c r="Q556" i="3" s="1"/>
  <c r="R556" i="3" s="1"/>
  <c r="S556" i="3" s="1"/>
  <c r="AA556" i="3"/>
  <c r="Z556" i="3"/>
  <c r="AC556" i="3"/>
  <c r="I555" i="3"/>
  <c r="W555" i="3" s="1"/>
  <c r="J555" i="3"/>
  <c r="AD555" i="3" s="1"/>
  <c r="M555" i="3"/>
  <c r="N555" i="3" s="1"/>
  <c r="T556" i="3" l="1"/>
  <c r="L555" i="3"/>
  <c r="AH556" i="3" l="1"/>
  <c r="U555" i="3"/>
  <c r="D556" i="3" s="1"/>
  <c r="AG556" i="3"/>
  <c r="Y554" i="3"/>
  <c r="E556" i="3" l="1"/>
  <c r="H556" i="3" s="1"/>
  <c r="K556" i="3" s="1"/>
  <c r="AE556" i="3" s="1"/>
  <c r="G556" i="3"/>
  <c r="F556" i="3" l="1"/>
  <c r="I556" i="3"/>
  <c r="J556" i="3"/>
  <c r="AD556" i="3" s="1"/>
  <c r="M556" i="3"/>
  <c r="N556" i="3" s="1"/>
  <c r="V556" i="3"/>
  <c r="A557" i="3"/>
  <c r="B557" i="3" s="1"/>
  <c r="W556" i="3" l="1"/>
  <c r="L556" i="3"/>
  <c r="P557" i="3"/>
  <c r="Q557" i="3" s="1"/>
  <c r="R557" i="3" s="1"/>
  <c r="S557" i="3" s="1"/>
  <c r="AA557" i="3"/>
  <c r="AC557" i="3"/>
  <c r="Z557" i="3"/>
  <c r="U556" i="3" l="1"/>
  <c r="Y555" i="3"/>
  <c r="T557" i="3"/>
  <c r="AH557" i="3" s="1"/>
  <c r="D557" i="3" l="1"/>
  <c r="G557" i="3" s="1"/>
  <c r="AG557" i="3"/>
  <c r="E557" i="3"/>
  <c r="H557" i="3" s="1"/>
  <c r="K557" i="3" s="1"/>
  <c r="AE557" i="3" s="1"/>
  <c r="F557" i="3" l="1"/>
  <c r="I557" i="3"/>
  <c r="J557" i="3"/>
  <c r="AD557" i="3" s="1"/>
  <c r="M557" i="3"/>
  <c r="N557" i="3" s="1"/>
  <c r="V557" i="3"/>
  <c r="A558" i="3"/>
  <c r="B558" i="3" s="1"/>
  <c r="W557" i="3" l="1"/>
  <c r="L557" i="3"/>
  <c r="AA558" i="3"/>
  <c r="P558" i="3"/>
  <c r="Q558" i="3" s="1"/>
  <c r="R558" i="3" s="1"/>
  <c r="S558" i="3" s="1"/>
  <c r="Z558" i="3"/>
  <c r="AC558" i="3"/>
  <c r="T558" i="3" l="1"/>
  <c r="AG558" i="3" s="1"/>
  <c r="U557" i="3"/>
  <c r="Y556" i="3"/>
  <c r="E558" i="3" l="1"/>
  <c r="H558" i="3" s="1"/>
  <c r="AH558" i="3"/>
  <c r="D558" i="3"/>
  <c r="F558" i="3" l="1"/>
  <c r="G558" i="3"/>
  <c r="K558" i="3"/>
  <c r="AE558" i="3" s="1"/>
  <c r="I558" i="3" l="1"/>
  <c r="J558" i="3"/>
  <c r="AD558" i="3" s="1"/>
  <c r="M558" i="3"/>
  <c r="N558" i="3" s="1"/>
  <c r="V558" i="3"/>
  <c r="A559" i="3"/>
  <c r="B559" i="3" s="1"/>
  <c r="W558" i="3" l="1"/>
  <c r="L558" i="3"/>
  <c r="AC559" i="3"/>
  <c r="P559" i="3"/>
  <c r="Q559" i="3" s="1"/>
  <c r="R559" i="3" s="1"/>
  <c r="S559" i="3" s="1"/>
  <c r="AA559" i="3"/>
  <c r="Z559" i="3"/>
  <c r="T559" i="3" l="1"/>
  <c r="U558" i="3"/>
  <c r="Y557" i="3"/>
  <c r="E559" i="3" l="1"/>
  <c r="H559" i="3" s="1"/>
  <c r="K559" i="3" s="1"/>
  <c r="AE559" i="3" s="1"/>
  <c r="AH559" i="3"/>
  <c r="AG559" i="3"/>
  <c r="D559" i="3"/>
  <c r="V559" i="3" l="1"/>
  <c r="A560" i="3"/>
  <c r="B560" i="3" s="1"/>
  <c r="F559" i="3"/>
  <c r="G559" i="3"/>
  <c r="I559" i="3" l="1"/>
  <c r="W559" i="3" s="1"/>
  <c r="J559" i="3"/>
  <c r="AD559" i="3" s="1"/>
  <c r="M559" i="3"/>
  <c r="N559" i="3" s="1"/>
  <c r="Z560" i="3"/>
  <c r="AC560" i="3"/>
  <c r="AA560" i="3"/>
  <c r="P560" i="3"/>
  <c r="Q560" i="3" s="1"/>
  <c r="R560" i="3" s="1"/>
  <c r="S560" i="3" s="1"/>
  <c r="T560" i="3" l="1"/>
  <c r="L559" i="3"/>
  <c r="AG560" i="3" l="1"/>
  <c r="U559" i="3"/>
  <c r="D560" i="3" s="1"/>
  <c r="AH560" i="3"/>
  <c r="Y558" i="3"/>
  <c r="E560" i="3" l="1"/>
  <c r="H560" i="3" s="1"/>
  <c r="K560" i="3" s="1"/>
  <c r="AE560" i="3" s="1"/>
  <c r="G560" i="3"/>
  <c r="F560" i="3" l="1"/>
  <c r="V560" i="3"/>
  <c r="A561" i="3"/>
  <c r="B561" i="3" s="1"/>
  <c r="I560" i="3"/>
  <c r="J560" i="3"/>
  <c r="AD560" i="3" s="1"/>
  <c r="M560" i="3"/>
  <c r="N560" i="3" s="1"/>
  <c r="W560" i="3" l="1"/>
  <c r="L560" i="3"/>
  <c r="AA561" i="3"/>
  <c r="P561" i="3"/>
  <c r="Q561" i="3" s="1"/>
  <c r="R561" i="3" s="1"/>
  <c r="S561" i="3" s="1"/>
  <c r="Z561" i="3"/>
  <c r="AC561" i="3"/>
  <c r="U560" i="3" l="1"/>
  <c r="Y559" i="3"/>
  <c r="T561" i="3"/>
  <c r="E561" i="3" l="1"/>
  <c r="H561" i="3" s="1"/>
  <c r="K561" i="3" s="1"/>
  <c r="AE561" i="3" s="1"/>
  <c r="D561" i="3"/>
  <c r="AH561" i="3"/>
  <c r="AG561" i="3"/>
  <c r="F561" i="3" l="1"/>
  <c r="G561" i="3"/>
  <c r="M561" i="3" s="1"/>
  <c r="N561" i="3" s="1"/>
  <c r="V561" i="3"/>
  <c r="A562" i="3"/>
  <c r="B562" i="3" s="1"/>
  <c r="I561" i="3" l="1"/>
  <c r="W561" i="3" s="1"/>
  <c r="J561" i="3"/>
  <c r="Z562" i="3"/>
  <c r="AA562" i="3"/>
  <c r="P562" i="3"/>
  <c r="Q562" i="3" s="1"/>
  <c r="R562" i="3" s="1"/>
  <c r="S562" i="3" s="1"/>
  <c r="AC562" i="3"/>
  <c r="L561" i="3" l="1"/>
  <c r="U561" i="3" s="1"/>
  <c r="AD561" i="3"/>
  <c r="T562" i="3"/>
  <c r="AH562" i="3" l="1"/>
  <c r="Y560" i="3"/>
  <c r="AG562" i="3"/>
  <c r="E562" i="3"/>
  <c r="H562" i="3" s="1"/>
  <c r="K562" i="3" s="1"/>
  <c r="AE562" i="3" s="1"/>
  <c r="D562" i="3"/>
  <c r="F562" i="3" l="1"/>
  <c r="G562" i="3"/>
  <c r="J562" i="3" s="1"/>
  <c r="AD562" i="3" s="1"/>
  <c r="V562" i="3"/>
  <c r="A563" i="3"/>
  <c r="B563" i="3" s="1"/>
  <c r="M562" i="3" l="1"/>
  <c r="N562" i="3" s="1"/>
  <c r="I562" i="3"/>
  <c r="W562" i="3" s="1"/>
  <c r="L562" i="3"/>
  <c r="Z563" i="3"/>
  <c r="P563" i="3"/>
  <c r="Q563" i="3" s="1"/>
  <c r="R563" i="3" s="1"/>
  <c r="S563" i="3" s="1"/>
  <c r="AC563" i="3"/>
  <c r="AA563" i="3"/>
  <c r="U562" i="3" l="1"/>
  <c r="Y561" i="3"/>
  <c r="T563" i="3"/>
  <c r="AH563" i="3" s="1"/>
  <c r="AG563" i="3" l="1"/>
  <c r="D563" i="3"/>
  <c r="E563" i="3"/>
  <c r="H563" i="3" s="1"/>
  <c r="K563" i="3" s="1"/>
  <c r="AE563" i="3" s="1"/>
  <c r="F563" i="3" l="1"/>
  <c r="G563" i="3"/>
  <c r="M563" i="3" s="1"/>
  <c r="N563" i="3" s="1"/>
  <c r="V563" i="3"/>
  <c r="A564" i="3"/>
  <c r="B564" i="3" s="1"/>
  <c r="I563" i="3" l="1"/>
  <c r="W563" i="3" s="1"/>
  <c r="J563" i="3"/>
  <c r="Z564" i="3"/>
  <c r="P564" i="3"/>
  <c r="Q564" i="3" s="1"/>
  <c r="R564" i="3" s="1"/>
  <c r="S564" i="3" s="1"/>
  <c r="AC564" i="3"/>
  <c r="AA564" i="3"/>
  <c r="L563" i="3" l="1"/>
  <c r="U563" i="3" s="1"/>
  <c r="AD563" i="3"/>
  <c r="T564" i="3"/>
  <c r="AH564" i="3" s="1"/>
  <c r="Y562" i="3" l="1"/>
  <c r="D564" i="3"/>
  <c r="E564" i="3"/>
  <c r="H564" i="3" s="1"/>
  <c r="AG564" i="3"/>
  <c r="K564" i="3" l="1"/>
  <c r="AE564" i="3" s="1"/>
  <c r="F564" i="3"/>
  <c r="G564" i="3"/>
  <c r="V564" i="3" l="1"/>
  <c r="A565" i="3"/>
  <c r="B565" i="3" s="1"/>
  <c r="I564" i="3"/>
  <c r="J564" i="3"/>
  <c r="AD564" i="3" s="1"/>
  <c r="M564" i="3"/>
  <c r="N564" i="3" s="1"/>
  <c r="W564" i="3" l="1"/>
  <c r="L564" i="3"/>
  <c r="Z565" i="3"/>
  <c r="AC565" i="3"/>
  <c r="P565" i="3"/>
  <c r="Q565" i="3" s="1"/>
  <c r="R565" i="3" s="1"/>
  <c r="S565" i="3" s="1"/>
  <c r="AA565" i="3"/>
  <c r="U564" i="3" l="1"/>
  <c r="Y563" i="3"/>
  <c r="T565" i="3"/>
  <c r="E565" i="3" l="1"/>
  <c r="H565" i="3" s="1"/>
  <c r="K565" i="3" s="1"/>
  <c r="AE565" i="3" s="1"/>
  <c r="D565" i="3"/>
  <c r="AG565" i="3"/>
  <c r="AH565" i="3"/>
  <c r="V565" i="3" l="1"/>
  <c r="A566" i="3"/>
  <c r="B566" i="3" s="1"/>
  <c r="F565" i="3"/>
  <c r="G565" i="3"/>
  <c r="I565" i="3" l="1"/>
  <c r="W565" i="3" s="1"/>
  <c r="J565" i="3"/>
  <c r="AD565" i="3" s="1"/>
  <c r="M565" i="3"/>
  <c r="N565" i="3" s="1"/>
  <c r="Z566" i="3"/>
  <c r="AA566" i="3"/>
  <c r="P566" i="3"/>
  <c r="Q566" i="3" s="1"/>
  <c r="R566" i="3" s="1"/>
  <c r="S566" i="3" s="1"/>
  <c r="AC566" i="3"/>
  <c r="L565" i="3" l="1"/>
  <c r="T566" i="3"/>
  <c r="AG566" i="3" l="1"/>
  <c r="AH566" i="3"/>
  <c r="U565" i="3"/>
  <c r="D566" i="3" s="1"/>
  <c r="Y564" i="3"/>
  <c r="G566" i="3" l="1"/>
  <c r="E566" i="3"/>
  <c r="H566" i="3" s="1"/>
  <c r="F566" i="3" l="1"/>
  <c r="I566" i="3"/>
  <c r="J566" i="3"/>
  <c r="AD566" i="3" s="1"/>
  <c r="M566" i="3"/>
  <c r="N566" i="3" s="1"/>
  <c r="K566" i="3"/>
  <c r="AE566" i="3" s="1"/>
  <c r="V566" i="3" l="1"/>
  <c r="W566" i="3" s="1"/>
  <c r="A567" i="3"/>
  <c r="B567" i="3" s="1"/>
  <c r="L566" i="3"/>
  <c r="U566" i="3" l="1"/>
  <c r="Y565" i="3"/>
  <c r="P567" i="3"/>
  <c r="Q567" i="3" s="1"/>
  <c r="R567" i="3" s="1"/>
  <c r="S567" i="3" s="1"/>
  <c r="AA567" i="3"/>
  <c r="Z567" i="3"/>
  <c r="AC567" i="3"/>
  <c r="T567" i="3" l="1"/>
  <c r="AG567" i="3" s="1"/>
  <c r="AH567" i="3" l="1"/>
  <c r="E567" i="3"/>
  <c r="H567" i="3" s="1"/>
  <c r="K567" i="3" s="1"/>
  <c r="AE567" i="3" s="1"/>
  <c r="D567" i="3"/>
  <c r="G567" i="3" s="1"/>
  <c r="F567" i="3" l="1"/>
  <c r="I567" i="3"/>
  <c r="J567" i="3"/>
  <c r="AD567" i="3" s="1"/>
  <c r="M567" i="3"/>
  <c r="N567" i="3" s="1"/>
  <c r="V567" i="3"/>
  <c r="A568" i="3"/>
  <c r="B568" i="3" s="1"/>
  <c r="W567" i="3" l="1"/>
  <c r="L567" i="3"/>
  <c r="AC568" i="3"/>
  <c r="P568" i="3"/>
  <c r="Q568" i="3" s="1"/>
  <c r="R568" i="3" s="1"/>
  <c r="S568" i="3" s="1"/>
  <c r="AA568" i="3"/>
  <c r="Z568" i="3"/>
  <c r="U567" i="3" l="1"/>
  <c r="Y566" i="3"/>
  <c r="T568" i="3"/>
  <c r="AG568" i="3" s="1"/>
  <c r="D568" i="3" l="1"/>
  <c r="G568" i="3" s="1"/>
  <c r="E568" i="3"/>
  <c r="H568" i="3" s="1"/>
  <c r="K568" i="3" s="1"/>
  <c r="AE568" i="3" s="1"/>
  <c r="AH568" i="3"/>
  <c r="F568" i="3" l="1"/>
  <c r="V568" i="3"/>
  <c r="A569" i="3"/>
  <c r="B569" i="3" s="1"/>
  <c r="I568" i="3"/>
  <c r="J568" i="3"/>
  <c r="AD568" i="3" s="1"/>
  <c r="M568" i="3"/>
  <c r="N568" i="3" s="1"/>
  <c r="L568" i="3" l="1"/>
  <c r="W568" i="3"/>
  <c r="AA569" i="3"/>
  <c r="P569" i="3"/>
  <c r="Q569" i="3" s="1"/>
  <c r="R569" i="3" s="1"/>
  <c r="S569" i="3" s="1"/>
  <c r="AC569" i="3"/>
  <c r="Z569" i="3"/>
  <c r="T569" i="3" l="1"/>
  <c r="AH569" i="3" s="1"/>
  <c r="U568" i="3"/>
  <c r="Y567" i="3"/>
  <c r="D569" i="3" l="1"/>
  <c r="G569" i="3" s="1"/>
  <c r="AG569" i="3"/>
  <c r="E569" i="3"/>
  <c r="H569" i="3" s="1"/>
  <c r="F569" i="3" l="1"/>
  <c r="I569" i="3"/>
  <c r="J569" i="3"/>
  <c r="AD569" i="3" s="1"/>
  <c r="M569" i="3"/>
  <c r="N569" i="3" s="1"/>
  <c r="K569" i="3"/>
  <c r="AE569" i="3" s="1"/>
  <c r="L569" i="3" l="1"/>
  <c r="V569" i="3"/>
  <c r="W569" i="3" s="1"/>
  <c r="A570" i="3"/>
  <c r="B570" i="3" s="1"/>
  <c r="AC570" i="3" l="1"/>
  <c r="P570" i="3"/>
  <c r="Q570" i="3" s="1"/>
  <c r="R570" i="3" s="1"/>
  <c r="S570" i="3" s="1"/>
  <c r="Z570" i="3"/>
  <c r="AA570" i="3"/>
  <c r="U569" i="3"/>
  <c r="Y568" i="3"/>
  <c r="T570" i="3" l="1"/>
  <c r="D570" i="3" l="1"/>
  <c r="E570" i="3"/>
  <c r="H570" i="3" s="1"/>
  <c r="AG570" i="3"/>
  <c r="AH570" i="3"/>
  <c r="F570" i="3" l="1"/>
  <c r="G570" i="3"/>
  <c r="K570" i="3"/>
  <c r="AE570" i="3" s="1"/>
  <c r="V570" i="3" l="1"/>
  <c r="A571" i="3"/>
  <c r="B571" i="3" s="1"/>
  <c r="I570" i="3"/>
  <c r="J570" i="3"/>
  <c r="AD570" i="3" s="1"/>
  <c r="M570" i="3"/>
  <c r="N570" i="3" s="1"/>
  <c r="W570" i="3" l="1"/>
  <c r="L570" i="3"/>
  <c r="P571" i="3"/>
  <c r="Q571" i="3" s="1"/>
  <c r="R571" i="3" s="1"/>
  <c r="S571" i="3" s="1"/>
  <c r="AA571" i="3"/>
  <c r="Z571" i="3"/>
  <c r="AC571" i="3"/>
  <c r="U570" i="3" l="1"/>
  <c r="Y569" i="3"/>
  <c r="T571" i="3"/>
  <c r="D571" i="3" l="1"/>
  <c r="G571" i="3" s="1"/>
  <c r="AG571" i="3"/>
  <c r="AH571" i="3"/>
  <c r="E571" i="3"/>
  <c r="H571" i="3" s="1"/>
  <c r="K571" i="3" s="1"/>
  <c r="AE571" i="3" s="1"/>
  <c r="F571" i="3" l="1"/>
  <c r="V571" i="3"/>
  <c r="A572" i="3"/>
  <c r="B572" i="3" s="1"/>
  <c r="I571" i="3"/>
  <c r="J571" i="3"/>
  <c r="AD571" i="3" s="1"/>
  <c r="M571" i="3"/>
  <c r="N571" i="3" s="1"/>
  <c r="W571" i="3" l="1"/>
  <c r="L571" i="3"/>
  <c r="AC572" i="3"/>
  <c r="P572" i="3"/>
  <c r="Q572" i="3" s="1"/>
  <c r="R572" i="3" s="1"/>
  <c r="S572" i="3" s="1"/>
  <c r="AA572" i="3"/>
  <c r="Z572" i="3"/>
  <c r="T572" i="3" l="1"/>
  <c r="AH572" i="3" s="1"/>
  <c r="U571" i="3"/>
  <c r="Y570" i="3"/>
  <c r="E572" i="3" l="1"/>
  <c r="H572" i="3" s="1"/>
  <c r="AG572" i="3"/>
  <c r="D572" i="3"/>
  <c r="F572" i="3" l="1"/>
  <c r="G572" i="3"/>
  <c r="K572" i="3"/>
  <c r="AE572" i="3" s="1"/>
  <c r="V572" i="3" l="1"/>
  <c r="A573" i="3"/>
  <c r="B573" i="3" s="1"/>
  <c r="I572" i="3"/>
  <c r="J572" i="3"/>
  <c r="AD572" i="3" s="1"/>
  <c r="M572" i="3"/>
  <c r="N572" i="3" s="1"/>
  <c r="W572" i="3" l="1"/>
  <c r="L572" i="3"/>
  <c r="P573" i="3"/>
  <c r="Q573" i="3" s="1"/>
  <c r="R573" i="3" s="1"/>
  <c r="S573" i="3" s="1"/>
  <c r="Z573" i="3"/>
  <c r="AC573" i="3"/>
  <c r="AA573" i="3"/>
  <c r="U572" i="3" l="1"/>
  <c r="Y571" i="3"/>
  <c r="T573" i="3"/>
  <c r="E573" i="3" l="1"/>
  <c r="H573" i="3" s="1"/>
  <c r="K573" i="3" s="1"/>
  <c r="AE573" i="3" s="1"/>
  <c r="D573" i="3"/>
  <c r="AH573" i="3"/>
  <c r="AG573" i="3"/>
  <c r="F573" i="3" l="1"/>
  <c r="G573" i="3"/>
  <c r="I573" i="3" s="1"/>
  <c r="V573" i="3"/>
  <c r="A574" i="3"/>
  <c r="B574" i="3" s="1"/>
  <c r="J573" i="3" l="1"/>
  <c r="M573" i="3"/>
  <c r="N573" i="3" s="1"/>
  <c r="W573" i="3"/>
  <c r="AA574" i="3"/>
  <c r="Z574" i="3"/>
  <c r="P574" i="3"/>
  <c r="Q574" i="3" s="1"/>
  <c r="R574" i="3" s="1"/>
  <c r="S574" i="3" s="1"/>
  <c r="AC574" i="3"/>
  <c r="L573" i="3" l="1"/>
  <c r="U573" i="3" s="1"/>
  <c r="AD573" i="3"/>
  <c r="T574" i="3"/>
  <c r="AH574" i="3" l="1"/>
  <c r="Y572" i="3"/>
  <c r="D574" i="3"/>
  <c r="G574" i="3" s="1"/>
  <c r="AG574" i="3"/>
  <c r="E574" i="3"/>
  <c r="H574" i="3" s="1"/>
  <c r="K574" i="3" l="1"/>
  <c r="AE574" i="3" s="1"/>
  <c r="I574" i="3"/>
  <c r="J574" i="3"/>
  <c r="AD574" i="3" s="1"/>
  <c r="M574" i="3"/>
  <c r="N574" i="3" s="1"/>
  <c r="F574" i="3"/>
  <c r="V574" i="3" l="1"/>
  <c r="W574" i="3" s="1"/>
  <c r="A575" i="3"/>
  <c r="B575" i="3" s="1"/>
  <c r="L574" i="3"/>
  <c r="U574" i="3" l="1"/>
  <c r="Y573" i="3"/>
  <c r="P575" i="3"/>
  <c r="Q575" i="3" s="1"/>
  <c r="R575" i="3" s="1"/>
  <c r="S575" i="3" s="1"/>
  <c r="Z575" i="3"/>
  <c r="AC575" i="3"/>
  <c r="AA575" i="3"/>
  <c r="T575" i="3" l="1"/>
  <c r="AH575" i="3" s="1"/>
  <c r="AG575" i="3" l="1"/>
  <c r="E575" i="3"/>
  <c r="H575" i="3" s="1"/>
  <c r="D575" i="3"/>
  <c r="K575" i="3" l="1"/>
  <c r="AE575" i="3" s="1"/>
  <c r="F575" i="3"/>
  <c r="G575" i="3"/>
  <c r="V575" i="3" l="1"/>
  <c r="A576" i="3"/>
  <c r="B576" i="3" s="1"/>
  <c r="I575" i="3"/>
  <c r="J575" i="3"/>
  <c r="AD575" i="3" s="1"/>
  <c r="M575" i="3"/>
  <c r="N575" i="3" s="1"/>
  <c r="W575" i="3" l="1"/>
  <c r="L575" i="3"/>
  <c r="AA576" i="3"/>
  <c r="P576" i="3"/>
  <c r="Q576" i="3" s="1"/>
  <c r="R576" i="3" s="1"/>
  <c r="S576" i="3" s="1"/>
  <c r="Z576" i="3"/>
  <c r="AC576" i="3"/>
  <c r="U575" i="3" l="1"/>
  <c r="Y574" i="3"/>
  <c r="T576" i="3"/>
  <c r="E576" i="3" l="1"/>
  <c r="H576" i="3" s="1"/>
  <c r="K576" i="3" s="1"/>
  <c r="AE576" i="3" s="1"/>
  <c r="AH576" i="3"/>
  <c r="D576" i="3"/>
  <c r="G576" i="3" s="1"/>
  <c r="AG576" i="3"/>
  <c r="F576" i="3" l="1"/>
  <c r="V576" i="3"/>
  <c r="A577" i="3"/>
  <c r="B577" i="3" s="1"/>
  <c r="I576" i="3"/>
  <c r="J576" i="3"/>
  <c r="AD576" i="3" s="1"/>
  <c r="M576" i="3"/>
  <c r="N576" i="3" s="1"/>
  <c r="W576" i="3" l="1"/>
  <c r="L576" i="3"/>
  <c r="P577" i="3"/>
  <c r="Q577" i="3" s="1"/>
  <c r="R577" i="3" s="1"/>
  <c r="S577" i="3" s="1"/>
  <c r="AC577" i="3"/>
  <c r="AA577" i="3"/>
  <c r="Z577" i="3"/>
  <c r="U576" i="3" l="1"/>
  <c r="Y575" i="3"/>
  <c r="T577" i="3"/>
  <c r="AH577" i="3" s="1"/>
  <c r="E577" i="3" l="1"/>
  <c r="H577" i="3" s="1"/>
  <c r="K577" i="3" s="1"/>
  <c r="AE577" i="3" s="1"/>
  <c r="AG577" i="3"/>
  <c r="D577" i="3"/>
  <c r="F577" i="3" l="1"/>
  <c r="G577" i="3"/>
  <c r="J577" i="3" s="1"/>
  <c r="AD577" i="3" s="1"/>
  <c r="V577" i="3"/>
  <c r="A578" i="3"/>
  <c r="B578" i="3" s="1"/>
  <c r="M577" i="3" l="1"/>
  <c r="N577" i="3" s="1"/>
  <c r="I577" i="3"/>
  <c r="W577" i="3" s="1"/>
  <c r="L577" i="3"/>
  <c r="AC578" i="3"/>
  <c r="P578" i="3"/>
  <c r="Q578" i="3" s="1"/>
  <c r="R578" i="3" s="1"/>
  <c r="S578" i="3" s="1"/>
  <c r="Z578" i="3"/>
  <c r="AA578" i="3"/>
  <c r="U577" i="3" l="1"/>
  <c r="Y576" i="3"/>
  <c r="T578" i="3"/>
  <c r="AG578" i="3" s="1"/>
  <c r="D578" i="3" l="1"/>
  <c r="G578" i="3" s="1"/>
  <c r="AH578" i="3"/>
  <c r="E578" i="3"/>
  <c r="H578" i="3" s="1"/>
  <c r="K578" i="3" s="1"/>
  <c r="AE578" i="3" s="1"/>
  <c r="F578" i="3" l="1"/>
  <c r="I578" i="3"/>
  <c r="J578" i="3"/>
  <c r="AD578" i="3" s="1"/>
  <c r="M578" i="3"/>
  <c r="N578" i="3" s="1"/>
  <c r="V578" i="3"/>
  <c r="A579" i="3"/>
  <c r="B579" i="3" s="1"/>
  <c r="W578" i="3" l="1"/>
  <c r="L578" i="3"/>
  <c r="AC579" i="3"/>
  <c r="Z579" i="3"/>
  <c r="P579" i="3"/>
  <c r="Q579" i="3" s="1"/>
  <c r="R579" i="3" s="1"/>
  <c r="S579" i="3" s="1"/>
  <c r="AA579" i="3"/>
  <c r="U578" i="3" l="1"/>
  <c r="Y577" i="3"/>
  <c r="T579" i="3"/>
  <c r="AG579" i="3" s="1"/>
  <c r="E579" i="3" l="1"/>
  <c r="H579" i="3" s="1"/>
  <c r="K579" i="3" s="1"/>
  <c r="AE579" i="3" s="1"/>
  <c r="AH579" i="3"/>
  <c r="D579" i="3"/>
  <c r="F579" i="3" l="1"/>
  <c r="G579" i="3"/>
  <c r="M579" i="3" s="1"/>
  <c r="N579" i="3" s="1"/>
  <c r="V579" i="3"/>
  <c r="A580" i="3"/>
  <c r="B580" i="3" s="1"/>
  <c r="I579" i="3" l="1"/>
  <c r="W579" i="3" s="1"/>
  <c r="J579" i="3"/>
  <c r="P580" i="3"/>
  <c r="Q580" i="3" s="1"/>
  <c r="R580" i="3" s="1"/>
  <c r="S580" i="3" s="1"/>
  <c r="AA580" i="3"/>
  <c r="AC580" i="3"/>
  <c r="Z580" i="3"/>
  <c r="L579" i="3" l="1"/>
  <c r="Y578" i="3" s="1"/>
  <c r="AD579" i="3"/>
  <c r="T580" i="3"/>
  <c r="AH580" i="3" l="1"/>
  <c r="U579" i="3"/>
  <c r="E580" i="3" s="1"/>
  <c r="H580" i="3" s="1"/>
  <c r="AG580" i="3"/>
  <c r="D580" i="3" l="1"/>
  <c r="G580" i="3" s="1"/>
  <c r="K580" i="3"/>
  <c r="AE580" i="3" s="1"/>
  <c r="F580" i="3" l="1"/>
  <c r="I580" i="3"/>
  <c r="J580" i="3"/>
  <c r="AD580" i="3" s="1"/>
  <c r="M580" i="3"/>
  <c r="N580" i="3" s="1"/>
  <c r="V580" i="3"/>
  <c r="A581" i="3"/>
  <c r="B581" i="3" s="1"/>
  <c r="W580" i="3" l="1"/>
  <c r="P581" i="3"/>
  <c r="Q581" i="3" s="1"/>
  <c r="R581" i="3" s="1"/>
  <c r="S581" i="3" s="1"/>
  <c r="Z581" i="3"/>
  <c r="AA581" i="3"/>
  <c r="AC581" i="3"/>
  <c r="L580" i="3"/>
  <c r="T581" i="3" l="1"/>
  <c r="AH581" i="3" s="1"/>
  <c r="U580" i="3"/>
  <c r="Y579" i="3"/>
  <c r="D581" i="3" l="1"/>
  <c r="G581" i="3" s="1"/>
  <c r="AG581" i="3"/>
  <c r="E581" i="3"/>
  <c r="H581" i="3" s="1"/>
  <c r="I581" i="3" l="1"/>
  <c r="J581" i="3"/>
  <c r="AD581" i="3" s="1"/>
  <c r="M581" i="3"/>
  <c r="N581" i="3" s="1"/>
  <c r="F581" i="3"/>
  <c r="K581" i="3"/>
  <c r="AE581" i="3" s="1"/>
  <c r="L581" i="3" l="1"/>
  <c r="V581" i="3"/>
  <c r="W581" i="3" s="1"/>
  <c r="A582" i="3"/>
  <c r="B582" i="3" s="1"/>
  <c r="P582" i="3" l="1"/>
  <c r="Q582" i="3" s="1"/>
  <c r="R582" i="3" s="1"/>
  <c r="S582" i="3" s="1"/>
  <c r="Z582" i="3"/>
  <c r="AC582" i="3"/>
  <c r="AA582" i="3"/>
  <c r="U581" i="3"/>
  <c r="Y580" i="3"/>
  <c r="T582" i="3" l="1"/>
  <c r="AH582" i="3" s="1"/>
  <c r="E582" i="3" l="1"/>
  <c r="H582" i="3" s="1"/>
  <c r="K582" i="3" s="1"/>
  <c r="AE582" i="3" s="1"/>
  <c r="AG582" i="3"/>
  <c r="D582" i="3"/>
  <c r="V582" i="3" l="1"/>
  <c r="A583" i="3"/>
  <c r="B583" i="3" s="1"/>
  <c r="F582" i="3"/>
  <c r="G582" i="3"/>
  <c r="I582" i="3" l="1"/>
  <c r="W582" i="3" s="1"/>
  <c r="J582" i="3"/>
  <c r="AD582" i="3" s="1"/>
  <c r="M582" i="3"/>
  <c r="N582" i="3" s="1"/>
  <c r="AA583" i="3"/>
  <c r="Z583" i="3"/>
  <c r="P583" i="3"/>
  <c r="Q583" i="3" s="1"/>
  <c r="R583" i="3" s="1"/>
  <c r="S583" i="3" s="1"/>
  <c r="AC583" i="3"/>
  <c r="T583" i="3" l="1"/>
  <c r="L582" i="3"/>
  <c r="U582" i="3" l="1"/>
  <c r="E583" i="3" s="1"/>
  <c r="H583" i="3" s="1"/>
  <c r="AG583" i="3"/>
  <c r="AH583" i="3"/>
  <c r="Y581" i="3"/>
  <c r="D583" i="3" l="1"/>
  <c r="G583" i="3" s="1"/>
  <c r="K583" i="3"/>
  <c r="AE583" i="3" s="1"/>
  <c r="F583" i="3" l="1"/>
  <c r="V583" i="3"/>
  <c r="A584" i="3"/>
  <c r="B584" i="3" s="1"/>
  <c r="I583" i="3"/>
  <c r="J583" i="3"/>
  <c r="AD583" i="3" s="1"/>
  <c r="M583" i="3"/>
  <c r="N583" i="3" s="1"/>
  <c r="W583" i="3" l="1"/>
  <c r="L583" i="3"/>
  <c r="AC584" i="3"/>
  <c r="P584" i="3"/>
  <c r="Q584" i="3" s="1"/>
  <c r="R584" i="3" s="1"/>
  <c r="S584" i="3" s="1"/>
  <c r="AA584" i="3"/>
  <c r="Z584" i="3"/>
  <c r="U583" i="3" l="1"/>
  <c r="Y582" i="3"/>
  <c r="T584" i="3"/>
  <c r="AG584" i="3" s="1"/>
  <c r="E584" i="3" l="1"/>
  <c r="H584" i="3" s="1"/>
  <c r="K584" i="3" s="1"/>
  <c r="AE584" i="3" s="1"/>
  <c r="AH584" i="3"/>
  <c r="D584" i="3"/>
  <c r="V584" i="3" l="1"/>
  <c r="A585" i="3"/>
  <c r="B585" i="3" s="1"/>
  <c r="F584" i="3"/>
  <c r="G584" i="3"/>
  <c r="Z585" i="3" l="1"/>
  <c r="AA585" i="3"/>
  <c r="P585" i="3"/>
  <c r="Q585" i="3" s="1"/>
  <c r="R585" i="3" s="1"/>
  <c r="S585" i="3" s="1"/>
  <c r="AD585" i="3"/>
  <c r="AC585" i="3"/>
  <c r="I584" i="3"/>
  <c r="W584" i="3" s="1"/>
  <c r="J584" i="3"/>
  <c r="AD584" i="3" s="1"/>
  <c r="M584" i="3"/>
  <c r="N584" i="3" s="1"/>
  <c r="T585" i="3" l="1"/>
  <c r="L584" i="3"/>
  <c r="AG585" i="3" l="1"/>
  <c r="U584" i="3"/>
  <c r="D585" i="3" s="1"/>
  <c r="AH585" i="3"/>
  <c r="Y583" i="3"/>
  <c r="G585" i="3" l="1"/>
  <c r="E585" i="3"/>
  <c r="H585" i="3" s="1"/>
  <c r="F585" i="3" l="1"/>
  <c r="I585" i="3"/>
  <c r="J585" i="3"/>
  <c r="M585" i="3"/>
  <c r="N585" i="3" s="1"/>
  <c r="K585" i="3"/>
  <c r="AE585" i="3" s="1"/>
  <c r="V585" i="3" l="1"/>
  <c r="W585" i="3" s="1"/>
  <c r="A586" i="3"/>
  <c r="B586" i="3" s="1"/>
  <c r="L585" i="3"/>
  <c r="U585" i="3" l="1"/>
  <c r="Y584" i="3"/>
  <c r="P586" i="3"/>
  <c r="Q586" i="3" s="1"/>
  <c r="R586" i="3" s="1"/>
  <c r="S586" i="3" s="1"/>
  <c r="AA586" i="3"/>
  <c r="Z586" i="3"/>
  <c r="AD586" i="3"/>
  <c r="AC586" i="3"/>
  <c r="T586" i="3" l="1"/>
  <c r="E586" i="3" s="1"/>
  <c r="H586" i="3" s="1"/>
  <c r="AH586" i="3" l="1"/>
  <c r="K586" i="3"/>
  <c r="AE586" i="3" s="1"/>
  <c r="AG586" i="3"/>
  <c r="D586" i="3"/>
  <c r="F586" i="3" l="1"/>
  <c r="G586" i="3"/>
  <c r="V586" i="3"/>
  <c r="A587" i="3"/>
  <c r="B587" i="3" s="1"/>
  <c r="AA587" i="3" l="1"/>
  <c r="Z587" i="3"/>
  <c r="AC587" i="3"/>
  <c r="P587" i="3"/>
  <c r="Q587" i="3" s="1"/>
  <c r="R587" i="3" s="1"/>
  <c r="S587" i="3" s="1"/>
  <c r="I586" i="3"/>
  <c r="W586" i="3" s="1"/>
  <c r="J586" i="3"/>
  <c r="M586" i="3"/>
  <c r="N586" i="3" s="1"/>
  <c r="T587" i="3" l="1"/>
  <c r="L586" i="3"/>
  <c r="AH587" i="3" l="1"/>
  <c r="U586" i="3"/>
  <c r="D587" i="3" s="1"/>
  <c r="AG587" i="3"/>
  <c r="Y585" i="3"/>
  <c r="G587" i="3" l="1"/>
  <c r="E587" i="3"/>
  <c r="H587" i="3" s="1"/>
  <c r="F587" i="3" l="1"/>
  <c r="K587" i="3"/>
  <c r="AE587" i="3" s="1"/>
  <c r="I587" i="3"/>
  <c r="J587" i="3"/>
  <c r="AD587" i="3" s="1"/>
  <c r="M587" i="3"/>
  <c r="N587" i="3" s="1"/>
  <c r="L587" i="3" l="1"/>
  <c r="V587" i="3"/>
  <c r="W587" i="3" s="1"/>
  <c r="A588" i="3"/>
  <c r="B588" i="3" s="1"/>
  <c r="U587" i="3" l="1"/>
  <c r="Y586" i="3"/>
  <c r="P588" i="3"/>
  <c r="Q588" i="3" s="1"/>
  <c r="R588" i="3" s="1"/>
  <c r="S588" i="3" s="1"/>
  <c r="Z588" i="3"/>
  <c r="AC588" i="3"/>
  <c r="AA588" i="3"/>
  <c r="T588" i="3" l="1"/>
  <c r="AH588" i="3" s="1"/>
  <c r="E588" i="3" l="1"/>
  <c r="H588" i="3" s="1"/>
  <c r="K588" i="3" s="1"/>
  <c r="AE588" i="3" s="1"/>
  <c r="AG588" i="3"/>
  <c r="D588" i="3"/>
  <c r="G588" i="3" s="1"/>
  <c r="F588" i="3" l="1"/>
  <c r="I588" i="3"/>
  <c r="J588" i="3"/>
  <c r="AD588" i="3" s="1"/>
  <c r="M588" i="3"/>
  <c r="N588" i="3" s="1"/>
  <c r="V588" i="3"/>
  <c r="A589" i="3"/>
  <c r="B589" i="3" s="1"/>
  <c r="W588" i="3" l="1"/>
  <c r="L588" i="3"/>
  <c r="AA589" i="3"/>
  <c r="Z589" i="3"/>
  <c r="AC589" i="3"/>
  <c r="P589" i="3"/>
  <c r="Q589" i="3" s="1"/>
  <c r="R589" i="3" s="1"/>
  <c r="S589" i="3" s="1"/>
  <c r="AD589" i="3"/>
  <c r="T589" i="3" l="1"/>
  <c r="AG589" i="3" s="1"/>
  <c r="U588" i="3"/>
  <c r="Y587" i="3"/>
  <c r="AH589" i="3" l="1"/>
  <c r="D589" i="3"/>
  <c r="E589" i="3"/>
  <c r="H589" i="3" s="1"/>
  <c r="F589" i="3" l="1"/>
  <c r="G589" i="3"/>
  <c r="K589" i="3"/>
  <c r="AE589" i="3" s="1"/>
  <c r="I589" i="3" l="1"/>
  <c r="J589" i="3"/>
  <c r="M589" i="3"/>
  <c r="N589" i="3" s="1"/>
  <c r="V589" i="3"/>
  <c r="A590" i="3"/>
  <c r="B590" i="3" s="1"/>
  <c r="W589" i="3" l="1"/>
  <c r="L589" i="3"/>
  <c r="P590" i="3"/>
  <c r="Q590" i="3" s="1"/>
  <c r="R590" i="3" s="1"/>
  <c r="S590" i="3" s="1"/>
  <c r="AC590" i="3"/>
  <c r="AA590" i="3"/>
  <c r="Z590" i="3"/>
  <c r="AD590" i="3"/>
  <c r="U589" i="3" l="1"/>
  <c r="Y588" i="3"/>
  <c r="T590" i="3"/>
  <c r="AH590" i="3" s="1"/>
  <c r="D590" i="3" l="1"/>
  <c r="G590" i="3" s="1"/>
  <c r="E590" i="3"/>
  <c r="H590" i="3" s="1"/>
  <c r="K590" i="3" s="1"/>
  <c r="AE590" i="3" s="1"/>
  <c r="AG590" i="3"/>
  <c r="F590" i="3" l="1"/>
  <c r="V590" i="3"/>
  <c r="A591" i="3"/>
  <c r="B591" i="3" s="1"/>
  <c r="I590" i="3"/>
  <c r="J590" i="3"/>
  <c r="M590" i="3"/>
  <c r="N590" i="3" s="1"/>
  <c r="W590" i="3" l="1"/>
  <c r="L590" i="3"/>
  <c r="AC591" i="3"/>
  <c r="P591" i="3"/>
  <c r="Q591" i="3" s="1"/>
  <c r="R591" i="3" s="1"/>
  <c r="S591" i="3" s="1"/>
  <c r="Z591" i="3"/>
  <c r="AA591" i="3"/>
  <c r="AD591" i="3"/>
  <c r="U590" i="3" l="1"/>
  <c r="Y589" i="3"/>
  <c r="T591" i="3"/>
  <c r="AG591" i="3" s="1"/>
  <c r="D591" i="3" l="1"/>
  <c r="G591" i="3" s="1"/>
  <c r="E591" i="3"/>
  <c r="H591" i="3" s="1"/>
  <c r="K591" i="3" s="1"/>
  <c r="AE591" i="3" s="1"/>
  <c r="AH591" i="3"/>
  <c r="F591" i="3" l="1"/>
  <c r="I591" i="3"/>
  <c r="J591" i="3"/>
  <c r="M591" i="3"/>
  <c r="N591" i="3" s="1"/>
  <c r="V591" i="3"/>
  <c r="A592" i="3"/>
  <c r="B592" i="3" s="1"/>
  <c r="W591" i="3" l="1"/>
  <c r="L591" i="3"/>
  <c r="AA592" i="3"/>
  <c r="AC592" i="3"/>
  <c r="Z592" i="3"/>
  <c r="AD592" i="3"/>
  <c r="P592" i="3"/>
  <c r="Q592" i="3" s="1"/>
  <c r="R592" i="3" s="1"/>
  <c r="S592" i="3" s="1"/>
  <c r="U591" i="3" l="1"/>
  <c r="Y590" i="3"/>
  <c r="T592" i="3"/>
  <c r="D592" i="3" l="1"/>
  <c r="G592" i="3" s="1"/>
  <c r="AH592" i="3"/>
  <c r="AG592" i="3"/>
  <c r="E592" i="3"/>
  <c r="H592" i="3" s="1"/>
  <c r="K592" i="3" s="1"/>
  <c r="AE592" i="3" s="1"/>
  <c r="F592" i="3" l="1"/>
  <c r="I592" i="3"/>
  <c r="J592" i="3"/>
  <c r="M592" i="3"/>
  <c r="N592" i="3" s="1"/>
  <c r="V592" i="3"/>
  <c r="A593" i="3"/>
  <c r="B593" i="3" s="1"/>
  <c r="W592" i="3" l="1"/>
  <c r="L592" i="3"/>
  <c r="Z593" i="3"/>
  <c r="P593" i="3"/>
  <c r="Q593" i="3" s="1"/>
  <c r="R593" i="3" s="1"/>
  <c r="S593" i="3" s="1"/>
  <c r="AD593" i="3"/>
  <c r="AA593" i="3"/>
  <c r="AC593" i="3"/>
  <c r="U592" i="3" l="1"/>
  <c r="Y591" i="3"/>
  <c r="T593" i="3"/>
  <c r="E593" i="3" l="1"/>
  <c r="H593" i="3" s="1"/>
  <c r="K593" i="3" s="1"/>
  <c r="AE593" i="3" s="1"/>
  <c r="D593" i="3"/>
  <c r="G593" i="3" s="1"/>
  <c r="AH593" i="3"/>
  <c r="AG593" i="3"/>
  <c r="F593" i="3" l="1"/>
  <c r="I593" i="3"/>
  <c r="J593" i="3"/>
  <c r="M593" i="3"/>
  <c r="N593" i="3" s="1"/>
  <c r="V593" i="3"/>
  <c r="A594" i="3"/>
  <c r="B594" i="3" s="1"/>
  <c r="W593" i="3" l="1"/>
  <c r="L593" i="3"/>
  <c r="Z594" i="3"/>
  <c r="AA594" i="3"/>
  <c r="P594" i="3"/>
  <c r="Q594" i="3" s="1"/>
  <c r="R594" i="3" s="1"/>
  <c r="S594" i="3" s="1"/>
  <c r="AC594" i="3"/>
  <c r="U593" i="3" l="1"/>
  <c r="Y592" i="3"/>
  <c r="T594" i="3"/>
  <c r="AG594" i="3" s="1"/>
  <c r="AH594" i="3" l="1"/>
  <c r="E594" i="3"/>
  <c r="H594" i="3" s="1"/>
  <c r="K594" i="3" s="1"/>
  <c r="AE594" i="3" s="1"/>
  <c r="D594" i="3"/>
  <c r="V594" i="3" l="1"/>
  <c r="A595" i="3"/>
  <c r="B595" i="3" s="1"/>
  <c r="F594" i="3"/>
  <c r="G594" i="3"/>
  <c r="I594" i="3" l="1"/>
  <c r="W594" i="3" s="1"/>
  <c r="J594" i="3"/>
  <c r="AD594" i="3" s="1"/>
  <c r="M594" i="3"/>
  <c r="N594" i="3" s="1"/>
  <c r="AC595" i="3"/>
  <c r="AA595" i="3"/>
  <c r="P595" i="3"/>
  <c r="Q595" i="3" s="1"/>
  <c r="R595" i="3" s="1"/>
  <c r="S595" i="3" s="1"/>
  <c r="Z595" i="3"/>
  <c r="T595" i="3" l="1"/>
  <c r="L594" i="3"/>
  <c r="AH595" i="3" l="1"/>
  <c r="U594" i="3"/>
  <c r="E595" i="3" s="1"/>
  <c r="H595" i="3" s="1"/>
  <c r="AG595" i="3"/>
  <c r="Y593" i="3"/>
  <c r="D595" i="3" l="1"/>
  <c r="G595" i="3" s="1"/>
  <c r="K595" i="3"/>
  <c r="AE595" i="3" s="1"/>
  <c r="F595" i="3" l="1"/>
  <c r="V595" i="3"/>
  <c r="A596" i="3"/>
  <c r="B596" i="3" s="1"/>
  <c r="I595" i="3"/>
  <c r="J595" i="3"/>
  <c r="AD595" i="3" s="1"/>
  <c r="M595" i="3"/>
  <c r="N595" i="3" s="1"/>
  <c r="W595" i="3" l="1"/>
  <c r="L595" i="3"/>
  <c r="P596" i="3"/>
  <c r="Q596" i="3" s="1"/>
  <c r="R596" i="3" s="1"/>
  <c r="S596" i="3" s="1"/>
  <c r="AA596" i="3"/>
  <c r="AC596" i="3"/>
  <c r="Z596" i="3"/>
  <c r="T596" i="3" l="1"/>
  <c r="AG596" i="3" s="1"/>
  <c r="U595" i="3"/>
  <c r="Y594" i="3"/>
  <c r="D596" i="3" l="1"/>
  <c r="E596" i="3"/>
  <c r="H596" i="3" s="1"/>
  <c r="AH596" i="3"/>
  <c r="F596" i="3" l="1"/>
  <c r="G596" i="3"/>
  <c r="K596" i="3"/>
  <c r="AE596" i="3" s="1"/>
  <c r="V596" i="3" l="1"/>
  <c r="A597" i="3"/>
  <c r="B597" i="3" s="1"/>
  <c r="I596" i="3"/>
  <c r="J596" i="3"/>
  <c r="AD596" i="3" s="1"/>
  <c r="M596" i="3"/>
  <c r="N596" i="3" s="1"/>
  <c r="W596" i="3" l="1"/>
  <c r="L596" i="3"/>
  <c r="Z597" i="3"/>
  <c r="P597" i="3"/>
  <c r="Q597" i="3" s="1"/>
  <c r="R597" i="3" s="1"/>
  <c r="S597" i="3" s="1"/>
  <c r="AA597" i="3"/>
  <c r="AC597" i="3"/>
  <c r="U596" i="3" l="1"/>
  <c r="Y595" i="3"/>
  <c r="T597" i="3"/>
  <c r="E597" i="3" l="1"/>
  <c r="H597" i="3" s="1"/>
  <c r="K597" i="3" s="1"/>
  <c r="AE597" i="3" s="1"/>
  <c r="AH597" i="3"/>
  <c r="AG597" i="3"/>
  <c r="D597" i="3"/>
  <c r="G597" i="3" s="1"/>
  <c r="F597" i="3" l="1"/>
  <c r="I597" i="3"/>
  <c r="J597" i="3"/>
  <c r="AD597" i="3" s="1"/>
  <c r="M597" i="3"/>
  <c r="N597" i="3" s="1"/>
  <c r="V597" i="3"/>
  <c r="A598" i="3"/>
  <c r="B598" i="3" s="1"/>
  <c r="W597" i="3" l="1"/>
  <c r="L597" i="3"/>
  <c r="AC598" i="3"/>
  <c r="P598" i="3"/>
  <c r="Q598" i="3" s="1"/>
  <c r="R598" i="3" s="1"/>
  <c r="S598" i="3" s="1"/>
  <c r="Z598" i="3"/>
  <c r="AA598" i="3"/>
  <c r="U597" i="3" l="1"/>
  <c r="Y596" i="3"/>
  <c r="T598" i="3"/>
  <c r="AG598" i="3" s="1"/>
  <c r="AH598" i="3" l="1"/>
  <c r="E598" i="3"/>
  <c r="H598" i="3" s="1"/>
  <c r="K598" i="3" s="1"/>
  <c r="AE598" i="3" s="1"/>
  <c r="D598" i="3"/>
  <c r="V598" i="3" l="1"/>
  <c r="A599" i="3"/>
  <c r="B599" i="3" s="1"/>
  <c r="F598" i="3"/>
  <c r="G598" i="3"/>
  <c r="I598" i="3" l="1"/>
  <c r="W598" i="3" s="1"/>
  <c r="J598" i="3"/>
  <c r="AD598" i="3" s="1"/>
  <c r="M598" i="3"/>
  <c r="N598" i="3" s="1"/>
  <c r="AC599" i="3"/>
  <c r="AA599" i="3"/>
  <c r="P599" i="3"/>
  <c r="Q599" i="3" s="1"/>
  <c r="R599" i="3" s="1"/>
  <c r="S599" i="3" s="1"/>
  <c r="Z599" i="3"/>
  <c r="T599" i="3" l="1"/>
  <c r="L598" i="3"/>
  <c r="U598" i="3" l="1"/>
  <c r="D599" i="3" s="1"/>
  <c r="AG599" i="3"/>
  <c r="AH599" i="3"/>
  <c r="Y597" i="3"/>
  <c r="G599" i="3" l="1"/>
  <c r="E599" i="3"/>
  <c r="H599" i="3" s="1"/>
  <c r="I599" i="3" l="1"/>
  <c r="J599" i="3"/>
  <c r="AD599" i="3" s="1"/>
  <c r="M599" i="3"/>
  <c r="N599" i="3" s="1"/>
  <c r="K599" i="3"/>
  <c r="AE599" i="3" s="1"/>
  <c r="F599" i="3"/>
  <c r="V599" i="3" l="1"/>
  <c r="W599" i="3" s="1"/>
  <c r="A600" i="3"/>
  <c r="B600" i="3" s="1"/>
  <c r="L599" i="3"/>
  <c r="U599" i="3" l="1"/>
  <c r="Y598" i="3"/>
  <c r="AC600" i="3"/>
  <c r="P600" i="3"/>
  <c r="Q600" i="3" s="1"/>
  <c r="R600" i="3" s="1"/>
  <c r="S600" i="3" s="1"/>
  <c r="Z600" i="3"/>
  <c r="AA600" i="3"/>
  <c r="T600" i="3" l="1"/>
  <c r="E600" i="3" s="1"/>
  <c r="H600" i="3" s="1"/>
  <c r="AH600" i="3" l="1"/>
  <c r="K600" i="3"/>
  <c r="AE600" i="3" s="1"/>
  <c r="AG600" i="3"/>
  <c r="D600" i="3"/>
  <c r="V600" i="3" l="1"/>
  <c r="A601" i="3"/>
  <c r="B601" i="3" s="1"/>
  <c r="F600" i="3"/>
  <c r="G600" i="3"/>
  <c r="I600" i="3" l="1"/>
  <c r="W600" i="3" s="1"/>
  <c r="J600" i="3"/>
  <c r="AD600" i="3" s="1"/>
  <c r="M600" i="3"/>
  <c r="N600" i="3" s="1"/>
  <c r="P601" i="3"/>
  <c r="Q601" i="3" s="1"/>
  <c r="R601" i="3" s="1"/>
  <c r="S601" i="3" s="1"/>
  <c r="AA601" i="3"/>
  <c r="AC601" i="3"/>
  <c r="Z601" i="3"/>
  <c r="T601" i="3" l="1"/>
  <c r="L600" i="3"/>
  <c r="AH601" i="3" l="1"/>
  <c r="U600" i="3"/>
  <c r="D601" i="3" s="1"/>
  <c r="AG601" i="3"/>
  <c r="Y599" i="3"/>
  <c r="E601" i="3" l="1"/>
  <c r="H601" i="3" s="1"/>
  <c r="K601" i="3" s="1"/>
  <c r="AE601" i="3" s="1"/>
  <c r="G601" i="3"/>
  <c r="F601" i="3" l="1"/>
  <c r="I601" i="3"/>
  <c r="J601" i="3"/>
  <c r="AD601" i="3" s="1"/>
  <c r="M601" i="3"/>
  <c r="N601" i="3" s="1"/>
  <c r="V601" i="3"/>
  <c r="A602" i="3"/>
  <c r="B602" i="3" s="1"/>
  <c r="W601" i="3" l="1"/>
  <c r="L601" i="3"/>
  <c r="P602" i="3"/>
  <c r="Q602" i="3" s="1"/>
  <c r="R602" i="3" s="1"/>
  <c r="S602" i="3" s="1"/>
  <c r="Z602" i="3"/>
  <c r="AC602" i="3"/>
  <c r="AA602" i="3"/>
  <c r="U601" i="3" l="1"/>
  <c r="Y600" i="3"/>
  <c r="T602" i="3"/>
  <c r="AG602" i="3" s="1"/>
  <c r="D602" i="3" l="1"/>
  <c r="E602" i="3"/>
  <c r="H602" i="3" s="1"/>
  <c r="AH602" i="3"/>
  <c r="K602" i="3" l="1"/>
  <c r="AE602" i="3" s="1"/>
  <c r="F602" i="3"/>
  <c r="G602" i="3"/>
  <c r="I602" i="3" l="1"/>
  <c r="J602" i="3"/>
  <c r="AD602" i="3" s="1"/>
  <c r="M602" i="3"/>
  <c r="N602" i="3" s="1"/>
  <c r="V602" i="3"/>
  <c r="A603" i="3"/>
  <c r="B603" i="3" s="1"/>
  <c r="W602" i="3" l="1"/>
  <c r="L602" i="3"/>
  <c r="AA603" i="3"/>
  <c r="AC603" i="3"/>
  <c r="Z603" i="3"/>
  <c r="P603" i="3"/>
  <c r="Q603" i="3" s="1"/>
  <c r="R603" i="3" s="1"/>
  <c r="S603" i="3" s="1"/>
  <c r="U602" i="3" l="1"/>
  <c r="Y601" i="3"/>
  <c r="T603" i="3"/>
  <c r="AG603" i="3" s="1"/>
  <c r="AH603" i="3" l="1"/>
  <c r="D603" i="3"/>
  <c r="G603" i="3" s="1"/>
  <c r="E603" i="3"/>
  <c r="H603" i="3" s="1"/>
  <c r="K603" i="3" s="1"/>
  <c r="AE603" i="3" s="1"/>
  <c r="F603" i="3" l="1"/>
  <c r="I603" i="3"/>
  <c r="J603" i="3"/>
  <c r="AD603" i="3" s="1"/>
  <c r="M603" i="3"/>
  <c r="N603" i="3" s="1"/>
  <c r="V603" i="3"/>
  <c r="A604" i="3"/>
  <c r="B604" i="3" s="1"/>
  <c r="W603" i="3" l="1"/>
  <c r="L603" i="3"/>
  <c r="AC604" i="3"/>
  <c r="Z604" i="3"/>
  <c r="AA604" i="3"/>
  <c r="P604" i="3"/>
  <c r="Q604" i="3" s="1"/>
  <c r="R604" i="3" s="1"/>
  <c r="S604" i="3" s="1"/>
  <c r="U603" i="3" l="1"/>
  <c r="Y602" i="3"/>
  <c r="T604" i="3"/>
  <c r="AH604" i="3" s="1"/>
  <c r="D604" i="3" l="1"/>
  <c r="E604" i="3"/>
  <c r="H604" i="3" s="1"/>
  <c r="AG604" i="3"/>
  <c r="F604" i="3" l="1"/>
  <c r="G604" i="3"/>
  <c r="K604" i="3"/>
  <c r="AE604" i="3" s="1"/>
  <c r="V604" i="3" l="1"/>
  <c r="A605" i="3"/>
  <c r="B605" i="3" s="1"/>
  <c r="I604" i="3"/>
  <c r="J604" i="3"/>
  <c r="AD604" i="3" s="1"/>
  <c r="M604" i="3"/>
  <c r="N604" i="3" s="1"/>
  <c r="W604" i="3" l="1"/>
  <c r="L604" i="3"/>
  <c r="P605" i="3"/>
  <c r="Q605" i="3" s="1"/>
  <c r="R605" i="3" s="1"/>
  <c r="S605" i="3" s="1"/>
  <c r="Z605" i="3"/>
  <c r="AA605" i="3"/>
  <c r="AD605" i="3"/>
  <c r="AC605" i="3"/>
  <c r="U604" i="3" l="1"/>
  <c r="Y603" i="3"/>
  <c r="T605" i="3"/>
  <c r="AG605" i="3" s="1"/>
  <c r="AH605" i="3" l="1"/>
  <c r="D605" i="3"/>
  <c r="E605" i="3"/>
  <c r="H605" i="3" s="1"/>
  <c r="K605" i="3" s="1"/>
  <c r="AE605" i="3" s="1"/>
  <c r="F605" i="3" l="1"/>
  <c r="G605" i="3"/>
  <c r="M605" i="3" s="1"/>
  <c r="N605" i="3" s="1"/>
  <c r="V605" i="3"/>
  <c r="A606" i="3"/>
  <c r="B606" i="3" s="1"/>
  <c r="I605" i="3" l="1"/>
  <c r="W605" i="3" s="1"/>
  <c r="J605" i="3"/>
  <c r="L605" i="3" s="1"/>
  <c r="P606" i="3"/>
  <c r="Q606" i="3" s="1"/>
  <c r="R606" i="3" s="1"/>
  <c r="S606" i="3" s="1"/>
  <c r="AC606" i="3"/>
  <c r="AD606" i="3"/>
  <c r="AA606" i="3"/>
  <c r="Z606" i="3"/>
  <c r="U605" i="3" l="1"/>
  <c r="Y604" i="3"/>
  <c r="T606" i="3"/>
  <c r="AG606" i="3" s="1"/>
  <c r="E606" i="3" l="1"/>
  <c r="H606" i="3" s="1"/>
  <c r="AH606" i="3"/>
  <c r="D606" i="3"/>
  <c r="F606" i="3" l="1"/>
  <c r="G606" i="3"/>
  <c r="K606" i="3"/>
  <c r="AE606" i="3" s="1"/>
  <c r="I606" i="3" l="1"/>
  <c r="J606" i="3"/>
  <c r="M606" i="3"/>
  <c r="N606" i="3" s="1"/>
  <c r="V606" i="3"/>
  <c r="A607" i="3"/>
  <c r="B607" i="3" s="1"/>
  <c r="W606" i="3" l="1"/>
  <c r="L606" i="3"/>
  <c r="Z607" i="3"/>
  <c r="AC607" i="3"/>
  <c r="P607" i="3"/>
  <c r="Q607" i="3" s="1"/>
  <c r="R607" i="3" s="1"/>
  <c r="S607" i="3" s="1"/>
  <c r="AA607" i="3"/>
  <c r="U606" i="3" l="1"/>
  <c r="Y605" i="3"/>
  <c r="T607" i="3"/>
  <c r="AH607" i="3" s="1"/>
  <c r="E607" i="3" l="1"/>
  <c r="H607" i="3" s="1"/>
  <c r="K607" i="3" s="1"/>
  <c r="AE607" i="3" s="1"/>
  <c r="D607" i="3"/>
  <c r="AG607" i="3"/>
  <c r="V607" i="3" l="1"/>
  <c r="A608" i="3"/>
  <c r="B608" i="3" s="1"/>
  <c r="F607" i="3"/>
  <c r="G607" i="3"/>
  <c r="I607" i="3" l="1"/>
  <c r="W607" i="3" s="1"/>
  <c r="J607" i="3"/>
  <c r="AD607" i="3" s="1"/>
  <c r="M607" i="3"/>
  <c r="N607" i="3" s="1"/>
  <c r="AA608" i="3"/>
  <c r="P608" i="3"/>
  <c r="Q608" i="3" s="1"/>
  <c r="R608" i="3" s="1"/>
  <c r="S608" i="3" s="1"/>
  <c r="Z608" i="3"/>
  <c r="AC608" i="3"/>
  <c r="T608" i="3" l="1"/>
  <c r="L607" i="3"/>
  <c r="AH608" i="3" l="1"/>
  <c r="AG608" i="3"/>
  <c r="U607" i="3"/>
  <c r="E608" i="3" s="1"/>
  <c r="H608" i="3" s="1"/>
  <c r="Y606" i="3"/>
  <c r="D608" i="3" l="1"/>
  <c r="G608" i="3" s="1"/>
  <c r="K608" i="3"/>
  <c r="AE608" i="3" s="1"/>
  <c r="F608" i="3" l="1"/>
  <c r="I608" i="3"/>
  <c r="J608" i="3"/>
  <c r="AD608" i="3" s="1"/>
  <c r="M608" i="3"/>
  <c r="N608" i="3" s="1"/>
  <c r="V608" i="3"/>
  <c r="A609" i="3"/>
  <c r="B609" i="3" s="1"/>
  <c r="L608" i="3" l="1"/>
  <c r="W608" i="3"/>
  <c r="Z609" i="3"/>
  <c r="P609" i="3"/>
  <c r="Q609" i="3" s="1"/>
  <c r="R609" i="3" s="1"/>
  <c r="S609" i="3" s="1"/>
  <c r="AC609" i="3"/>
  <c r="AA609" i="3"/>
  <c r="AD609" i="3"/>
  <c r="U608" i="3" l="1"/>
  <c r="Y607" i="3"/>
  <c r="T609" i="3"/>
  <c r="AG609" i="3" s="1"/>
  <c r="E609" i="3" l="1"/>
  <c r="H609" i="3" s="1"/>
  <c r="D609" i="3"/>
  <c r="AH609" i="3"/>
  <c r="K609" i="3" l="1"/>
  <c r="AE609" i="3" s="1"/>
  <c r="F609" i="3"/>
  <c r="G609" i="3"/>
  <c r="I609" i="3" l="1"/>
  <c r="J609" i="3"/>
  <c r="M609" i="3"/>
  <c r="N609" i="3" s="1"/>
  <c r="V609" i="3"/>
  <c r="A610" i="3"/>
  <c r="B610" i="3" s="1"/>
  <c r="L609" i="3" l="1"/>
  <c r="W609" i="3"/>
  <c r="AA610" i="3"/>
  <c r="P610" i="3"/>
  <c r="Q610" i="3" s="1"/>
  <c r="R610" i="3" s="1"/>
  <c r="S610" i="3" s="1"/>
  <c r="Z610" i="3"/>
  <c r="AC610" i="3"/>
  <c r="AD610" i="3"/>
  <c r="U609" i="3" l="1"/>
  <c r="Y608" i="3"/>
  <c r="T610" i="3"/>
  <c r="AG610" i="3" s="1"/>
  <c r="AH610" i="3" l="1"/>
  <c r="D610" i="3"/>
  <c r="G610" i="3" s="1"/>
  <c r="E610" i="3"/>
  <c r="H610" i="3" s="1"/>
  <c r="K610" i="3" s="1"/>
  <c r="AE610" i="3" s="1"/>
  <c r="F610" i="3" l="1"/>
  <c r="I610" i="3"/>
  <c r="J610" i="3"/>
  <c r="M610" i="3"/>
  <c r="N610" i="3" s="1"/>
  <c r="V610" i="3"/>
  <c r="A611" i="3"/>
  <c r="B611" i="3" s="1"/>
  <c r="W610" i="3" l="1"/>
  <c r="L610" i="3"/>
  <c r="AA611" i="3"/>
  <c r="P611" i="3"/>
  <c r="Q611" i="3" s="1"/>
  <c r="R611" i="3" s="1"/>
  <c r="S611" i="3" s="1"/>
  <c r="AC611" i="3"/>
  <c r="AD611" i="3"/>
  <c r="Z611" i="3"/>
  <c r="T611" i="3" l="1"/>
  <c r="U610" i="3"/>
  <c r="Y609" i="3"/>
  <c r="E611" i="3" l="1"/>
  <c r="H611" i="3" s="1"/>
  <c r="K611" i="3" s="1"/>
  <c r="AE611" i="3" s="1"/>
  <c r="AH611" i="3"/>
  <c r="AG611" i="3"/>
  <c r="D611" i="3"/>
  <c r="V611" i="3" l="1"/>
  <c r="A612" i="3"/>
  <c r="B612" i="3" s="1"/>
  <c r="F611" i="3"/>
  <c r="G611" i="3"/>
  <c r="I611" i="3" l="1"/>
  <c r="W611" i="3" s="1"/>
  <c r="J611" i="3"/>
  <c r="M611" i="3"/>
  <c r="N611" i="3" s="1"/>
  <c r="Z612" i="3"/>
  <c r="P612" i="3"/>
  <c r="Q612" i="3" s="1"/>
  <c r="R612" i="3" s="1"/>
  <c r="S612" i="3" s="1"/>
  <c r="AD612" i="3"/>
  <c r="AC612" i="3"/>
  <c r="AA612" i="3"/>
  <c r="T612" i="3" l="1"/>
  <c r="L611" i="3"/>
  <c r="U611" i="3" l="1"/>
  <c r="E612" i="3" s="1"/>
  <c r="H612" i="3" s="1"/>
  <c r="AH612" i="3"/>
  <c r="AG612" i="3"/>
  <c r="Y610" i="3"/>
  <c r="D612" i="3" l="1"/>
  <c r="G612" i="3" s="1"/>
  <c r="K612" i="3"/>
  <c r="AE612" i="3" s="1"/>
  <c r="F612" i="3" l="1"/>
  <c r="V612" i="3"/>
  <c r="A613" i="3"/>
  <c r="B613" i="3" s="1"/>
  <c r="I612" i="3"/>
  <c r="J612" i="3"/>
  <c r="M612" i="3"/>
  <c r="N612" i="3" s="1"/>
  <c r="W612" i="3" l="1"/>
  <c r="L612" i="3"/>
  <c r="P613" i="3"/>
  <c r="Q613" i="3" s="1"/>
  <c r="R613" i="3" s="1"/>
  <c r="S613" i="3" s="1"/>
  <c r="AD613" i="3"/>
  <c r="AA613" i="3"/>
  <c r="Z613" i="3"/>
  <c r="AC613" i="3"/>
  <c r="U612" i="3" l="1"/>
  <c r="Y611" i="3"/>
  <c r="T613" i="3"/>
  <c r="AG613" i="3" s="1"/>
  <c r="D613" i="3" l="1"/>
  <c r="AH613" i="3"/>
  <c r="E613" i="3"/>
  <c r="H613" i="3" s="1"/>
  <c r="F613" i="3" l="1"/>
  <c r="G613" i="3"/>
  <c r="K613" i="3"/>
  <c r="AE613" i="3" s="1"/>
  <c r="V613" i="3" l="1"/>
  <c r="A614" i="3"/>
  <c r="B614" i="3" s="1"/>
  <c r="I613" i="3"/>
  <c r="J613" i="3"/>
  <c r="M613" i="3"/>
  <c r="N613" i="3" s="1"/>
  <c r="W613" i="3" l="1"/>
  <c r="L613" i="3"/>
  <c r="AC614" i="3"/>
  <c r="AA614" i="3"/>
  <c r="Z614" i="3"/>
  <c r="P614" i="3"/>
  <c r="Q614" i="3" s="1"/>
  <c r="R614" i="3" s="1"/>
  <c r="S614" i="3" s="1"/>
  <c r="U613" i="3" l="1"/>
  <c r="Y612" i="3"/>
  <c r="T614" i="3"/>
  <c r="AG614" i="3" s="1"/>
  <c r="D614" i="3" l="1"/>
  <c r="G614" i="3" s="1"/>
  <c r="E614" i="3"/>
  <c r="H614" i="3" s="1"/>
  <c r="K614" i="3" s="1"/>
  <c r="AE614" i="3" s="1"/>
  <c r="AH614" i="3"/>
  <c r="F614" i="3" l="1"/>
  <c r="I614" i="3"/>
  <c r="J614" i="3"/>
  <c r="AD614" i="3" s="1"/>
  <c r="M614" i="3"/>
  <c r="N614" i="3" s="1"/>
  <c r="V614" i="3"/>
  <c r="A615" i="3"/>
  <c r="B615" i="3" s="1"/>
  <c r="L614" i="3" l="1"/>
  <c r="W614" i="3"/>
  <c r="P615" i="3"/>
  <c r="Q615" i="3" s="1"/>
  <c r="R615" i="3" s="1"/>
  <c r="S615" i="3" s="1"/>
  <c r="AC615" i="3"/>
  <c r="Z615" i="3"/>
  <c r="AA615" i="3"/>
  <c r="AD615" i="3"/>
  <c r="U614" i="3" l="1"/>
  <c r="Y613" i="3"/>
  <c r="T615" i="3"/>
  <c r="AH615" i="3" s="1"/>
  <c r="E615" i="3" l="1"/>
  <c r="H615" i="3" s="1"/>
  <c r="K615" i="3" s="1"/>
  <c r="AE615" i="3" s="1"/>
  <c r="AG615" i="3"/>
  <c r="D615" i="3"/>
  <c r="F615" i="3" l="1"/>
  <c r="G615" i="3"/>
  <c r="V615" i="3"/>
  <c r="A616" i="3"/>
  <c r="B616" i="3" s="1"/>
  <c r="AD616" i="3" l="1"/>
  <c r="P616" i="3"/>
  <c r="Q616" i="3" s="1"/>
  <c r="R616" i="3" s="1"/>
  <c r="S616" i="3" s="1"/>
  <c r="Z616" i="3"/>
  <c r="AC616" i="3"/>
  <c r="AA616" i="3"/>
  <c r="I615" i="3"/>
  <c r="W615" i="3" s="1"/>
  <c r="J615" i="3"/>
  <c r="M615" i="3"/>
  <c r="N615" i="3" s="1"/>
  <c r="L615" i="3" l="1"/>
  <c r="T616" i="3"/>
  <c r="U615" i="3" l="1"/>
  <c r="D616" i="3" s="1"/>
  <c r="AH616" i="3"/>
  <c r="AG616" i="3"/>
  <c r="Y614" i="3"/>
  <c r="E616" i="3" l="1"/>
  <c r="H616" i="3" s="1"/>
  <c r="K616" i="3" s="1"/>
  <c r="AE616" i="3" s="1"/>
  <c r="G616" i="3"/>
  <c r="F616" i="3" l="1"/>
  <c r="I616" i="3"/>
  <c r="J616" i="3"/>
  <c r="M616" i="3"/>
  <c r="N616" i="3" s="1"/>
  <c r="V616" i="3"/>
  <c r="A617" i="3"/>
  <c r="B617" i="3" s="1"/>
  <c r="W616" i="3" l="1"/>
  <c r="L616" i="3"/>
  <c r="Z617" i="3"/>
  <c r="AC617" i="3"/>
  <c r="P617" i="3"/>
  <c r="Q617" i="3" s="1"/>
  <c r="R617" i="3" s="1"/>
  <c r="S617" i="3" s="1"/>
  <c r="AA617" i="3"/>
  <c r="U616" i="3" l="1"/>
  <c r="Y615" i="3"/>
  <c r="T617" i="3"/>
  <c r="AG617" i="3" s="1"/>
  <c r="D617" i="3" l="1"/>
  <c r="G617" i="3" s="1"/>
  <c r="E617" i="3"/>
  <c r="H617" i="3" s="1"/>
  <c r="K617" i="3" s="1"/>
  <c r="AE617" i="3" s="1"/>
  <c r="AH617" i="3"/>
  <c r="F617" i="3" l="1"/>
  <c r="I617" i="3"/>
  <c r="J617" i="3"/>
  <c r="AD617" i="3" s="1"/>
  <c r="M617" i="3"/>
  <c r="N617" i="3" s="1"/>
  <c r="V617" i="3"/>
  <c r="A618" i="3"/>
  <c r="B618" i="3" s="1"/>
  <c r="W617" i="3" l="1"/>
  <c r="L617" i="3"/>
  <c r="P618" i="3"/>
  <c r="Q618" i="3" s="1"/>
  <c r="R618" i="3" s="1"/>
  <c r="S618" i="3" s="1"/>
  <c r="Z618" i="3"/>
  <c r="AC618" i="3"/>
  <c r="AA618" i="3"/>
  <c r="U617" i="3" l="1"/>
  <c r="Y616" i="3"/>
  <c r="T618" i="3"/>
  <c r="E618" i="3" l="1"/>
  <c r="H618" i="3" s="1"/>
  <c r="K618" i="3" s="1"/>
  <c r="AE618" i="3" s="1"/>
  <c r="AG618" i="3"/>
  <c r="D618" i="3"/>
  <c r="AH618" i="3"/>
  <c r="F618" i="3" l="1"/>
  <c r="G618" i="3"/>
  <c r="V618" i="3"/>
  <c r="A619" i="3"/>
  <c r="B619" i="3" s="1"/>
  <c r="P619" i="3" l="1"/>
  <c r="Q619" i="3" s="1"/>
  <c r="R619" i="3" s="1"/>
  <c r="S619" i="3" s="1"/>
  <c r="AD619" i="3"/>
  <c r="AA619" i="3"/>
  <c r="AC619" i="3"/>
  <c r="Z619" i="3"/>
  <c r="I618" i="3"/>
  <c r="W618" i="3" s="1"/>
  <c r="J618" i="3"/>
  <c r="AD618" i="3" s="1"/>
  <c r="M618" i="3"/>
  <c r="N618" i="3" s="1"/>
  <c r="T619" i="3" l="1"/>
  <c r="L618" i="3"/>
  <c r="AH619" i="3" l="1"/>
  <c r="AG619" i="3"/>
  <c r="U618" i="3"/>
  <c r="D619" i="3" s="1"/>
  <c r="Y617" i="3"/>
  <c r="E619" i="3" l="1"/>
  <c r="H619" i="3" s="1"/>
  <c r="K619" i="3" s="1"/>
  <c r="AE619" i="3" s="1"/>
  <c r="G619" i="3"/>
  <c r="F619" i="3" l="1"/>
  <c r="I619" i="3"/>
  <c r="J619" i="3"/>
  <c r="M619" i="3"/>
  <c r="N619" i="3" s="1"/>
  <c r="V619" i="3"/>
  <c r="A620" i="3"/>
  <c r="B620" i="3" s="1"/>
  <c r="W619" i="3" l="1"/>
  <c r="L619" i="3"/>
  <c r="AC620" i="3"/>
  <c r="AD620" i="3"/>
  <c r="P620" i="3"/>
  <c r="Q620" i="3" s="1"/>
  <c r="R620" i="3" s="1"/>
  <c r="S620" i="3" s="1"/>
  <c r="AA620" i="3"/>
  <c r="Z620" i="3"/>
  <c r="T620" i="3" l="1"/>
  <c r="AH620" i="3" s="1"/>
  <c r="U619" i="3"/>
  <c r="Y618" i="3"/>
  <c r="E620" i="3" l="1"/>
  <c r="H620" i="3" s="1"/>
  <c r="K620" i="3" s="1"/>
  <c r="AE620" i="3" s="1"/>
  <c r="D620" i="3"/>
  <c r="G620" i="3" s="1"/>
  <c r="AG620" i="3"/>
  <c r="F620" i="3" l="1"/>
  <c r="I620" i="3"/>
  <c r="J620" i="3"/>
  <c r="M620" i="3"/>
  <c r="N620" i="3" s="1"/>
  <c r="V620" i="3"/>
  <c r="A621" i="3"/>
  <c r="B621" i="3" s="1"/>
  <c r="W620" i="3" l="1"/>
  <c r="L620" i="3"/>
  <c r="AD621" i="3"/>
  <c r="AC621" i="3"/>
  <c r="AA621" i="3"/>
  <c r="P621" i="3"/>
  <c r="Q621" i="3" s="1"/>
  <c r="R621" i="3" s="1"/>
  <c r="S621" i="3" s="1"/>
  <c r="Z621" i="3"/>
  <c r="U620" i="3" l="1"/>
  <c r="Y619" i="3"/>
  <c r="T621" i="3"/>
  <c r="D621" i="3" l="1"/>
  <c r="G621" i="3" s="1"/>
  <c r="AH621" i="3"/>
  <c r="E621" i="3"/>
  <c r="H621" i="3" s="1"/>
  <c r="AG621" i="3"/>
  <c r="F621" i="3" l="1"/>
  <c r="I621" i="3"/>
  <c r="J621" i="3"/>
  <c r="M621" i="3"/>
  <c r="N621" i="3" s="1"/>
  <c r="K621" i="3"/>
  <c r="AE621" i="3" s="1"/>
  <c r="V621" i="3" l="1"/>
  <c r="W621" i="3" s="1"/>
  <c r="A622" i="3"/>
  <c r="B622" i="3" s="1"/>
  <c r="L621" i="3"/>
  <c r="U621" i="3" l="1"/>
  <c r="Y620" i="3"/>
  <c r="AA622" i="3"/>
  <c r="AC622" i="3"/>
  <c r="P622" i="3"/>
  <c r="Q622" i="3" s="1"/>
  <c r="R622" i="3" s="1"/>
  <c r="S622" i="3" s="1"/>
  <c r="Z622" i="3"/>
  <c r="AD622" i="3"/>
  <c r="T622" i="3" l="1"/>
  <c r="AG622" i="3" s="1"/>
  <c r="D622" i="3" l="1"/>
  <c r="E622" i="3"/>
  <c r="H622" i="3" s="1"/>
  <c r="K622" i="3" s="1"/>
  <c r="AE622" i="3" s="1"/>
  <c r="AH622" i="3"/>
  <c r="F622" i="3" l="1"/>
  <c r="G622" i="3"/>
  <c r="I622" i="3" s="1"/>
  <c r="V622" i="3"/>
  <c r="A623" i="3"/>
  <c r="B623" i="3" s="1"/>
  <c r="M622" i="3" l="1"/>
  <c r="N622" i="3" s="1"/>
  <c r="J622" i="3"/>
  <c r="L622" i="3" s="1"/>
  <c r="W622" i="3"/>
  <c r="P623" i="3"/>
  <c r="Q623" i="3" s="1"/>
  <c r="R623" i="3" s="1"/>
  <c r="S623" i="3" s="1"/>
  <c r="Z623" i="3"/>
  <c r="AD623" i="3"/>
  <c r="AA623" i="3"/>
  <c r="AC623" i="3"/>
  <c r="U622" i="3" l="1"/>
  <c r="Y621" i="3"/>
  <c r="T623" i="3"/>
  <c r="D623" i="3" l="1"/>
  <c r="G623" i="3" s="1"/>
  <c r="AH623" i="3"/>
  <c r="AG623" i="3"/>
  <c r="E623" i="3"/>
  <c r="H623" i="3" s="1"/>
  <c r="K623" i="3" l="1"/>
  <c r="AE623" i="3" s="1"/>
  <c r="I623" i="3"/>
  <c r="J623" i="3"/>
  <c r="M623" i="3"/>
  <c r="N623" i="3" s="1"/>
  <c r="F623" i="3"/>
  <c r="L623" i="3" l="1"/>
  <c r="V623" i="3"/>
  <c r="W623" i="3" s="1"/>
  <c r="A624" i="3"/>
  <c r="B624" i="3" s="1"/>
  <c r="U623" i="3" l="1"/>
  <c r="Y622" i="3"/>
  <c r="AA624" i="3"/>
  <c r="Z624" i="3"/>
  <c r="AC624" i="3"/>
  <c r="P624" i="3"/>
  <c r="Q624" i="3" s="1"/>
  <c r="R624" i="3" s="1"/>
  <c r="S624" i="3" s="1"/>
  <c r="T624" i="3" l="1"/>
  <c r="D624" i="3" s="1"/>
  <c r="AG624" i="3" l="1"/>
  <c r="AH624" i="3"/>
  <c r="E624" i="3"/>
  <c r="H624" i="3" s="1"/>
  <c r="K624" i="3" s="1"/>
  <c r="AE624" i="3" s="1"/>
  <c r="G624" i="3"/>
  <c r="F624" i="3" l="1"/>
  <c r="I624" i="3"/>
  <c r="J624" i="3"/>
  <c r="AD624" i="3" s="1"/>
  <c r="M624" i="3"/>
  <c r="N624" i="3" s="1"/>
  <c r="V624" i="3"/>
  <c r="A625" i="3"/>
  <c r="B625" i="3" s="1"/>
  <c r="W624" i="3" l="1"/>
  <c r="L624" i="3"/>
  <c r="P625" i="3"/>
  <c r="Q625" i="3" s="1"/>
  <c r="R625" i="3" s="1"/>
  <c r="S625" i="3" s="1"/>
  <c r="AA625" i="3"/>
  <c r="Z625" i="3"/>
  <c r="AC625" i="3"/>
  <c r="U624" i="3" l="1"/>
  <c r="Y623" i="3"/>
  <c r="T625" i="3"/>
  <c r="D625" i="3" l="1"/>
  <c r="G625" i="3" s="1"/>
  <c r="E625" i="3"/>
  <c r="H625" i="3" s="1"/>
  <c r="AH625" i="3"/>
  <c r="AG625" i="3"/>
  <c r="F625" i="3" l="1"/>
  <c r="I625" i="3"/>
  <c r="J625" i="3"/>
  <c r="AD625" i="3" s="1"/>
  <c r="M625" i="3"/>
  <c r="N625" i="3" s="1"/>
  <c r="K625" i="3"/>
  <c r="AE625" i="3" s="1"/>
  <c r="V625" i="3" l="1"/>
  <c r="W625" i="3" s="1"/>
  <c r="A626" i="3"/>
  <c r="B626" i="3" s="1"/>
  <c r="L625" i="3"/>
  <c r="U625" i="3" l="1"/>
  <c r="Y624" i="3"/>
  <c r="Z626" i="3"/>
  <c r="AC626" i="3"/>
  <c r="P626" i="3"/>
  <c r="Q626" i="3" s="1"/>
  <c r="R626" i="3" s="1"/>
  <c r="S626" i="3" s="1"/>
  <c r="AA626" i="3"/>
  <c r="T626" i="3" l="1"/>
  <c r="E626" i="3" s="1"/>
  <c r="H626" i="3" s="1"/>
  <c r="AG626" i="3" l="1"/>
  <c r="K626" i="3"/>
  <c r="AE626" i="3" s="1"/>
  <c r="D626" i="3"/>
  <c r="AH626" i="3"/>
  <c r="V626" i="3" l="1"/>
  <c r="A627" i="3"/>
  <c r="B627" i="3" s="1"/>
  <c r="F626" i="3"/>
  <c r="G626" i="3"/>
  <c r="I626" i="3" l="1"/>
  <c r="W626" i="3" s="1"/>
  <c r="J626" i="3"/>
  <c r="AD626" i="3" s="1"/>
  <c r="M626" i="3"/>
  <c r="N626" i="3" s="1"/>
  <c r="Z627" i="3"/>
  <c r="P627" i="3"/>
  <c r="Q627" i="3" s="1"/>
  <c r="R627" i="3" s="1"/>
  <c r="S627" i="3" s="1"/>
  <c r="AC627" i="3"/>
  <c r="AA627" i="3"/>
  <c r="L626" i="3" l="1"/>
  <c r="T627" i="3"/>
  <c r="AG627" i="3" l="1"/>
  <c r="U626" i="3"/>
  <c r="D627" i="3" s="1"/>
  <c r="AH627" i="3"/>
  <c r="Y625" i="3"/>
  <c r="G627" i="3" l="1"/>
  <c r="E627" i="3"/>
  <c r="H627" i="3" s="1"/>
  <c r="K627" i="3" l="1"/>
  <c r="AE627" i="3" s="1"/>
  <c r="I627" i="3"/>
  <c r="J627" i="3"/>
  <c r="AD627" i="3" s="1"/>
  <c r="M627" i="3"/>
  <c r="N627" i="3" s="1"/>
  <c r="F627" i="3"/>
  <c r="L627" i="3" l="1"/>
  <c r="V627" i="3"/>
  <c r="W627" i="3" s="1"/>
  <c r="A628" i="3"/>
  <c r="B628" i="3" s="1"/>
  <c r="Z628" i="3" l="1"/>
  <c r="AA628" i="3"/>
  <c r="P628" i="3"/>
  <c r="Q628" i="3" s="1"/>
  <c r="R628" i="3" s="1"/>
  <c r="S628" i="3" s="1"/>
  <c r="AC628" i="3"/>
  <c r="U627" i="3"/>
  <c r="Y626" i="3"/>
  <c r="T628" i="3" l="1"/>
  <c r="D628" i="3" l="1"/>
  <c r="E628" i="3"/>
  <c r="H628" i="3" s="1"/>
  <c r="AG628" i="3"/>
  <c r="AH628" i="3"/>
  <c r="F628" i="3" l="1"/>
  <c r="G628" i="3"/>
  <c r="K628" i="3"/>
  <c r="AE628" i="3" s="1"/>
  <c r="I628" i="3" l="1"/>
  <c r="J628" i="3"/>
  <c r="AD628" i="3" s="1"/>
  <c r="M628" i="3"/>
  <c r="N628" i="3" s="1"/>
  <c r="V628" i="3"/>
  <c r="A629" i="3"/>
  <c r="B629" i="3" s="1"/>
  <c r="W628" i="3" l="1"/>
  <c r="L628" i="3"/>
  <c r="AC629" i="3"/>
  <c r="AA629" i="3"/>
  <c r="P629" i="3"/>
  <c r="Q629" i="3" s="1"/>
  <c r="R629" i="3" s="1"/>
  <c r="S629" i="3" s="1"/>
  <c r="Z629" i="3"/>
  <c r="T629" i="3" l="1"/>
  <c r="U628" i="3"/>
  <c r="Y627" i="3"/>
  <c r="E629" i="3" l="1"/>
  <c r="H629" i="3" s="1"/>
  <c r="K629" i="3" s="1"/>
  <c r="AE629" i="3" s="1"/>
  <c r="AH629" i="3"/>
  <c r="AG629" i="3"/>
  <c r="D629" i="3"/>
  <c r="F629" i="3" l="1"/>
  <c r="G629" i="3"/>
  <c r="V629" i="3"/>
  <c r="A630" i="3"/>
  <c r="B630" i="3" s="1"/>
  <c r="I629" i="3" l="1"/>
  <c r="W629" i="3" s="1"/>
  <c r="J629" i="3"/>
  <c r="AD629" i="3" s="1"/>
  <c r="M629" i="3"/>
  <c r="N629" i="3" s="1"/>
  <c r="P630" i="3"/>
  <c r="Q630" i="3" s="1"/>
  <c r="R630" i="3" s="1"/>
  <c r="S630" i="3" s="1"/>
  <c r="AC630" i="3"/>
  <c r="AA630" i="3"/>
  <c r="Z630" i="3"/>
  <c r="T630" i="3" l="1"/>
  <c r="L629" i="3"/>
  <c r="U629" i="3" l="1"/>
  <c r="D630" i="3" s="1"/>
  <c r="AH630" i="3"/>
  <c r="AG630" i="3"/>
  <c r="Y628" i="3"/>
  <c r="G630" i="3" l="1"/>
  <c r="E630" i="3"/>
  <c r="H630" i="3" s="1"/>
  <c r="F630" i="3" l="1"/>
  <c r="K630" i="3"/>
  <c r="AE630" i="3" s="1"/>
  <c r="I630" i="3"/>
  <c r="J630" i="3"/>
  <c r="AD630" i="3" s="1"/>
  <c r="M630" i="3"/>
  <c r="N630" i="3" s="1"/>
  <c r="V630" i="3" l="1"/>
  <c r="W630" i="3" s="1"/>
  <c r="A631" i="3"/>
  <c r="B631" i="3" s="1"/>
  <c r="L630" i="3"/>
  <c r="U630" i="3" l="1"/>
  <c r="Y629" i="3"/>
  <c r="P631" i="3"/>
  <c r="Q631" i="3" s="1"/>
  <c r="R631" i="3" s="1"/>
  <c r="S631" i="3" s="1"/>
  <c r="AC631" i="3"/>
  <c r="AA631" i="3"/>
  <c r="Z631" i="3"/>
  <c r="T631" i="3" l="1"/>
  <c r="D631" i="3" s="1"/>
  <c r="AH631" i="3" l="1"/>
  <c r="E631" i="3"/>
  <c r="H631" i="3" s="1"/>
  <c r="K631" i="3" s="1"/>
  <c r="AE631" i="3" s="1"/>
  <c r="G631" i="3"/>
  <c r="AG631" i="3"/>
  <c r="F631" i="3" l="1"/>
  <c r="I631" i="3"/>
  <c r="J631" i="3"/>
  <c r="AD631" i="3" s="1"/>
  <c r="M631" i="3"/>
  <c r="N631" i="3" s="1"/>
  <c r="V631" i="3"/>
  <c r="A632" i="3"/>
  <c r="B632" i="3" s="1"/>
  <c r="L631" i="3" l="1"/>
  <c r="W631" i="3"/>
  <c r="AC632" i="3"/>
  <c r="AA632" i="3"/>
  <c r="Z632" i="3"/>
  <c r="P632" i="3"/>
  <c r="Q632" i="3" s="1"/>
  <c r="R632" i="3" s="1"/>
  <c r="S632" i="3" s="1"/>
  <c r="T632" i="3" l="1"/>
  <c r="U631" i="3"/>
  <c r="Y630" i="3"/>
  <c r="D632" i="3" l="1"/>
  <c r="G632" i="3" s="1"/>
  <c r="E632" i="3"/>
  <c r="H632" i="3" s="1"/>
  <c r="K632" i="3" s="1"/>
  <c r="AE632" i="3" s="1"/>
  <c r="AG632" i="3"/>
  <c r="AH632" i="3"/>
  <c r="F632" i="3" l="1"/>
  <c r="I632" i="3"/>
  <c r="J632" i="3"/>
  <c r="AD632" i="3" s="1"/>
  <c r="M632" i="3"/>
  <c r="N632" i="3" s="1"/>
  <c r="V632" i="3"/>
  <c r="A633" i="3"/>
  <c r="B633" i="3" s="1"/>
  <c r="W632" i="3" l="1"/>
  <c r="L632" i="3"/>
  <c r="Z633" i="3"/>
  <c r="AC633" i="3"/>
  <c r="P633" i="3"/>
  <c r="Q633" i="3" s="1"/>
  <c r="R633" i="3" s="1"/>
  <c r="S633" i="3" s="1"/>
  <c r="AA633" i="3"/>
  <c r="U632" i="3" l="1"/>
  <c r="Y631" i="3"/>
  <c r="T633" i="3"/>
  <c r="AG633" i="3" s="1"/>
  <c r="D633" i="3" l="1"/>
  <c r="G633" i="3" s="1"/>
  <c r="E633" i="3"/>
  <c r="H633" i="3" s="1"/>
  <c r="K633" i="3" s="1"/>
  <c r="AE633" i="3" s="1"/>
  <c r="AH633" i="3"/>
  <c r="F633" i="3" l="1"/>
  <c r="V633" i="3"/>
  <c r="A634" i="3"/>
  <c r="B634" i="3" s="1"/>
  <c r="I633" i="3"/>
  <c r="J633" i="3"/>
  <c r="AD633" i="3" s="1"/>
  <c r="M633" i="3"/>
  <c r="N633" i="3" s="1"/>
  <c r="L633" i="3" l="1"/>
  <c r="W633" i="3"/>
  <c r="P634" i="3"/>
  <c r="Q634" i="3" s="1"/>
  <c r="R634" i="3" s="1"/>
  <c r="S634" i="3" s="1"/>
  <c r="AA634" i="3"/>
  <c r="AC634" i="3"/>
  <c r="Z634" i="3"/>
  <c r="U633" i="3" l="1"/>
  <c r="Y632" i="3"/>
  <c r="T634" i="3"/>
  <c r="AH634" i="3" s="1"/>
  <c r="E634" i="3" l="1"/>
  <c r="H634" i="3" s="1"/>
  <c r="K634" i="3" s="1"/>
  <c r="AE634" i="3" s="1"/>
  <c r="AG634" i="3"/>
  <c r="D634" i="3"/>
  <c r="F634" i="3" l="1"/>
  <c r="G634" i="3"/>
  <c r="V634" i="3"/>
  <c r="A635" i="3"/>
  <c r="B635" i="3" s="1"/>
  <c r="Z635" i="3" l="1"/>
  <c r="AA635" i="3"/>
  <c r="P635" i="3"/>
  <c r="Q635" i="3" s="1"/>
  <c r="R635" i="3" s="1"/>
  <c r="S635" i="3" s="1"/>
  <c r="AD635" i="3"/>
  <c r="AC635" i="3"/>
  <c r="I634" i="3"/>
  <c r="W634" i="3" s="1"/>
  <c r="J634" i="3"/>
  <c r="AD634" i="3" s="1"/>
  <c r="M634" i="3"/>
  <c r="N634" i="3" s="1"/>
  <c r="T635" i="3" l="1"/>
  <c r="L634" i="3"/>
  <c r="AH635" i="3" l="1"/>
  <c r="U634" i="3"/>
  <c r="D635" i="3" s="1"/>
  <c r="AG635" i="3"/>
  <c r="Y633" i="3"/>
  <c r="E635" i="3" l="1"/>
  <c r="H635" i="3" s="1"/>
  <c r="K635" i="3" s="1"/>
  <c r="AE635" i="3" s="1"/>
  <c r="G635" i="3"/>
  <c r="F635" i="3" l="1"/>
  <c r="I635" i="3"/>
  <c r="J635" i="3"/>
  <c r="M635" i="3"/>
  <c r="N635" i="3" s="1"/>
  <c r="V635" i="3"/>
  <c r="A636" i="3"/>
  <c r="B636" i="3" s="1"/>
  <c r="W635" i="3" l="1"/>
  <c r="L635" i="3"/>
  <c r="AC636" i="3"/>
  <c r="AD636" i="3"/>
  <c r="AA636" i="3"/>
  <c r="P636" i="3"/>
  <c r="Q636" i="3" s="1"/>
  <c r="R636" i="3" s="1"/>
  <c r="S636" i="3" s="1"/>
  <c r="Z636" i="3"/>
  <c r="U635" i="3" l="1"/>
  <c r="Y634" i="3"/>
  <c r="T636" i="3"/>
  <c r="AG636" i="3" s="1"/>
  <c r="AH636" i="3" l="1"/>
  <c r="D636" i="3"/>
  <c r="E636" i="3"/>
  <c r="H636" i="3" s="1"/>
  <c r="F636" i="3" l="1"/>
  <c r="G636" i="3"/>
  <c r="K636" i="3"/>
  <c r="AE636" i="3" s="1"/>
  <c r="I636" i="3" l="1"/>
  <c r="J636" i="3"/>
  <c r="M636" i="3"/>
  <c r="N636" i="3" s="1"/>
  <c r="V636" i="3"/>
  <c r="A637" i="3"/>
  <c r="B637" i="3" s="1"/>
  <c r="W636" i="3" l="1"/>
  <c r="L636" i="3"/>
  <c r="Z637" i="3"/>
  <c r="P637" i="3"/>
  <c r="Q637" i="3" s="1"/>
  <c r="R637" i="3" s="1"/>
  <c r="S637" i="3" s="1"/>
  <c r="AC637" i="3"/>
  <c r="AA637" i="3"/>
  <c r="U636" i="3" l="1"/>
  <c r="Y635" i="3"/>
  <c r="T637" i="3"/>
  <c r="AG637" i="3" s="1"/>
  <c r="D637" i="3" l="1"/>
  <c r="AH637" i="3"/>
  <c r="E637" i="3"/>
  <c r="H637" i="3" s="1"/>
  <c r="F637" i="3" l="1"/>
  <c r="G637" i="3"/>
  <c r="K637" i="3"/>
  <c r="AE637" i="3" s="1"/>
  <c r="I637" i="3" l="1"/>
  <c r="J637" i="3"/>
  <c r="AD637" i="3" s="1"/>
  <c r="M637" i="3"/>
  <c r="N637" i="3" s="1"/>
  <c r="V637" i="3"/>
  <c r="A638" i="3"/>
  <c r="B638" i="3" s="1"/>
  <c r="W637" i="3" l="1"/>
  <c r="L637" i="3"/>
  <c r="P638" i="3"/>
  <c r="Q638" i="3" s="1"/>
  <c r="R638" i="3" s="1"/>
  <c r="S638" i="3" s="1"/>
  <c r="AC638" i="3"/>
  <c r="AA638" i="3"/>
  <c r="Z638" i="3"/>
  <c r="T638" i="3" l="1"/>
  <c r="AG638" i="3" s="1"/>
  <c r="U637" i="3"/>
  <c r="Y636" i="3"/>
  <c r="D638" i="3" l="1"/>
  <c r="G638" i="3" s="1"/>
  <c r="E638" i="3"/>
  <c r="H638" i="3" s="1"/>
  <c r="AH638" i="3"/>
  <c r="F638" i="3" l="1"/>
  <c r="I638" i="3"/>
  <c r="J638" i="3"/>
  <c r="AD638" i="3" s="1"/>
  <c r="M638" i="3"/>
  <c r="N638" i="3" s="1"/>
  <c r="K638" i="3"/>
  <c r="AE638" i="3" s="1"/>
  <c r="V638" i="3" l="1"/>
  <c r="W638" i="3" s="1"/>
  <c r="A639" i="3"/>
  <c r="B639" i="3" s="1"/>
  <c r="L638" i="3"/>
  <c r="U638" i="3" l="1"/>
  <c r="Y637" i="3"/>
  <c r="AC639" i="3"/>
  <c r="P639" i="3"/>
  <c r="Q639" i="3" s="1"/>
  <c r="R639" i="3" s="1"/>
  <c r="S639" i="3" s="1"/>
  <c r="AA639" i="3"/>
  <c r="AD639" i="3"/>
  <c r="Z639" i="3"/>
  <c r="T639" i="3" l="1"/>
  <c r="D639" i="3" s="1"/>
  <c r="AG639" i="3" l="1"/>
  <c r="E639" i="3"/>
  <c r="H639" i="3" s="1"/>
  <c r="K639" i="3" s="1"/>
  <c r="AE639" i="3" s="1"/>
  <c r="AH639" i="3"/>
  <c r="G639" i="3"/>
  <c r="F639" i="3" l="1"/>
  <c r="V639" i="3"/>
  <c r="A640" i="3"/>
  <c r="B640" i="3" s="1"/>
  <c r="I639" i="3"/>
  <c r="J639" i="3"/>
  <c r="M639" i="3"/>
  <c r="N639" i="3" s="1"/>
  <c r="W639" i="3" l="1"/>
  <c r="L639" i="3"/>
  <c r="AD640" i="3"/>
  <c r="P640" i="3"/>
  <c r="Q640" i="3" s="1"/>
  <c r="R640" i="3" s="1"/>
  <c r="S640" i="3" s="1"/>
  <c r="AA640" i="3"/>
  <c r="AC640" i="3"/>
  <c r="Z640" i="3"/>
  <c r="U639" i="3" l="1"/>
  <c r="Y638" i="3"/>
  <c r="T640" i="3"/>
  <c r="E640" i="3" l="1"/>
  <c r="H640" i="3" s="1"/>
  <c r="K640" i="3" s="1"/>
  <c r="AE640" i="3" s="1"/>
  <c r="D640" i="3"/>
  <c r="AG640" i="3"/>
  <c r="AH640" i="3"/>
  <c r="F640" i="3" l="1"/>
  <c r="G640" i="3"/>
  <c r="V640" i="3"/>
  <c r="A641" i="3"/>
  <c r="B641" i="3" s="1"/>
  <c r="AC641" i="3" l="1"/>
  <c r="AA641" i="3"/>
  <c r="AD641" i="3"/>
  <c r="Z641" i="3"/>
  <c r="P641" i="3"/>
  <c r="Q641" i="3" s="1"/>
  <c r="R641" i="3" s="1"/>
  <c r="S641" i="3" s="1"/>
  <c r="I640" i="3"/>
  <c r="W640" i="3" s="1"/>
  <c r="J640" i="3"/>
  <c r="M640" i="3"/>
  <c r="N640" i="3" s="1"/>
  <c r="L640" i="3" l="1"/>
  <c r="T641" i="3"/>
  <c r="U640" i="3" l="1"/>
  <c r="E641" i="3" s="1"/>
  <c r="H641" i="3" s="1"/>
  <c r="AG641" i="3"/>
  <c r="AH641" i="3"/>
  <c r="Y639" i="3"/>
  <c r="K641" i="3" l="1"/>
  <c r="AE641" i="3" s="1"/>
  <c r="D641" i="3"/>
  <c r="V641" i="3" l="1"/>
  <c r="A642" i="3"/>
  <c r="B642" i="3" s="1"/>
  <c r="F641" i="3"/>
  <c r="G641" i="3"/>
  <c r="I641" i="3" l="1"/>
  <c r="W641" i="3" s="1"/>
  <c r="J641" i="3"/>
  <c r="M641" i="3"/>
  <c r="N641" i="3" s="1"/>
  <c r="Z642" i="3"/>
  <c r="AD642" i="3"/>
  <c r="P642" i="3"/>
  <c r="Q642" i="3" s="1"/>
  <c r="R642" i="3" s="1"/>
  <c r="S642" i="3" s="1"/>
  <c r="AC642" i="3"/>
  <c r="AA642" i="3"/>
  <c r="T642" i="3" l="1"/>
  <c r="L641" i="3"/>
  <c r="U641" i="3" l="1"/>
  <c r="D642" i="3" s="1"/>
  <c r="AG642" i="3"/>
  <c r="AH642" i="3"/>
  <c r="Y640" i="3"/>
  <c r="E642" i="3" l="1"/>
  <c r="H642" i="3" s="1"/>
  <c r="K642" i="3" s="1"/>
  <c r="AE642" i="3" s="1"/>
  <c r="G642" i="3"/>
  <c r="F642" i="3" l="1"/>
  <c r="I642" i="3"/>
  <c r="J642" i="3"/>
  <c r="M642" i="3"/>
  <c r="N642" i="3" s="1"/>
  <c r="V642" i="3"/>
  <c r="A643" i="3"/>
  <c r="B643" i="3" s="1"/>
  <c r="W642" i="3" l="1"/>
  <c r="L642" i="3"/>
  <c r="AA643" i="3"/>
  <c r="AD643" i="3"/>
  <c r="AC643" i="3"/>
  <c r="P643" i="3"/>
  <c r="Q643" i="3" s="1"/>
  <c r="R643" i="3" s="1"/>
  <c r="S643" i="3" s="1"/>
  <c r="Z643" i="3"/>
  <c r="U642" i="3" l="1"/>
  <c r="Y641" i="3"/>
  <c r="T643" i="3"/>
  <c r="AH643" i="3" s="1"/>
  <c r="AG643" i="3" l="1"/>
  <c r="E643" i="3"/>
  <c r="H643" i="3" s="1"/>
  <c r="K643" i="3" s="1"/>
  <c r="AE643" i="3" s="1"/>
  <c r="D643" i="3"/>
  <c r="F643" i="3" l="1"/>
  <c r="G643" i="3"/>
  <c r="M643" i="3" s="1"/>
  <c r="N643" i="3" s="1"/>
  <c r="V643" i="3"/>
  <c r="A644" i="3"/>
  <c r="B644" i="3" s="1"/>
  <c r="I643" i="3" l="1"/>
  <c r="W643" i="3" s="1"/>
  <c r="J643" i="3"/>
  <c r="L643" i="3" s="1"/>
  <c r="P644" i="3"/>
  <c r="Q644" i="3" s="1"/>
  <c r="R644" i="3" s="1"/>
  <c r="S644" i="3" s="1"/>
  <c r="AA644" i="3"/>
  <c r="AC644" i="3"/>
  <c r="Z644" i="3"/>
  <c r="U643" i="3" l="1"/>
  <c r="Y642" i="3"/>
  <c r="T644" i="3"/>
  <c r="AG644" i="3" s="1"/>
  <c r="AH644" i="3" l="1"/>
  <c r="D644" i="3"/>
  <c r="E644" i="3"/>
  <c r="H644" i="3" s="1"/>
  <c r="K644" i="3" l="1"/>
  <c r="AE644" i="3" s="1"/>
  <c r="F644" i="3"/>
  <c r="G644" i="3"/>
  <c r="I644" i="3" l="1"/>
  <c r="J644" i="3"/>
  <c r="AD644" i="3" s="1"/>
  <c r="M644" i="3"/>
  <c r="N644" i="3" s="1"/>
  <c r="V644" i="3"/>
  <c r="A645" i="3"/>
  <c r="B645" i="3" s="1"/>
  <c r="L644" i="3" l="1"/>
  <c r="W644" i="3"/>
  <c r="Z645" i="3"/>
  <c r="P645" i="3"/>
  <c r="Q645" i="3" s="1"/>
  <c r="R645" i="3" s="1"/>
  <c r="S645" i="3" s="1"/>
  <c r="AD645" i="3"/>
  <c r="AA645" i="3"/>
  <c r="AC645" i="3"/>
  <c r="U644" i="3" l="1"/>
  <c r="Y643" i="3"/>
  <c r="T645" i="3"/>
  <c r="AG645" i="3" s="1"/>
  <c r="D645" i="3" l="1"/>
  <c r="AH645" i="3"/>
  <c r="E645" i="3"/>
  <c r="H645" i="3" s="1"/>
  <c r="F645" i="3" l="1"/>
  <c r="G645" i="3"/>
  <c r="K645" i="3"/>
  <c r="AE645" i="3" s="1"/>
  <c r="I645" i="3" l="1"/>
  <c r="J645" i="3"/>
  <c r="M645" i="3"/>
  <c r="N645" i="3" s="1"/>
  <c r="V645" i="3"/>
  <c r="A646" i="3"/>
  <c r="B646" i="3" s="1"/>
  <c r="W645" i="3" l="1"/>
  <c r="L645" i="3"/>
  <c r="AA646" i="3"/>
  <c r="Z646" i="3"/>
  <c r="AC646" i="3"/>
  <c r="AD646" i="3"/>
  <c r="P646" i="3"/>
  <c r="Q646" i="3" s="1"/>
  <c r="R646" i="3" s="1"/>
  <c r="S646" i="3" s="1"/>
  <c r="U645" i="3" l="1"/>
  <c r="Y644" i="3"/>
  <c r="T646" i="3"/>
  <c r="AG646" i="3" s="1"/>
  <c r="E646" i="3" l="1"/>
  <c r="H646" i="3" s="1"/>
  <c r="D646" i="3"/>
  <c r="AH646" i="3"/>
  <c r="F646" i="3" l="1"/>
  <c r="G646" i="3"/>
  <c r="K646" i="3"/>
  <c r="AE646" i="3" s="1"/>
  <c r="I646" i="3" l="1"/>
  <c r="J646" i="3"/>
  <c r="M646" i="3"/>
  <c r="N646" i="3" s="1"/>
  <c r="V646" i="3"/>
  <c r="A647" i="3"/>
  <c r="B647" i="3" s="1"/>
  <c r="L646" i="3" l="1"/>
  <c r="W646" i="3"/>
  <c r="P647" i="3"/>
  <c r="Q647" i="3" s="1"/>
  <c r="R647" i="3" s="1"/>
  <c r="S647" i="3" s="1"/>
  <c r="AC647" i="3"/>
  <c r="AA647" i="3"/>
  <c r="Z647" i="3"/>
  <c r="U646" i="3" l="1"/>
  <c r="Y645" i="3"/>
  <c r="T647" i="3"/>
  <c r="AG647" i="3" s="1"/>
  <c r="E647" i="3" l="1"/>
  <c r="H647" i="3" s="1"/>
  <c r="D647" i="3"/>
  <c r="AH647" i="3"/>
  <c r="F647" i="3" l="1"/>
  <c r="G647" i="3"/>
  <c r="K647" i="3"/>
  <c r="AE647" i="3" s="1"/>
  <c r="V647" i="3" l="1"/>
  <c r="A648" i="3"/>
  <c r="B648" i="3" s="1"/>
  <c r="I647" i="3"/>
  <c r="J647" i="3"/>
  <c r="AD647" i="3" s="1"/>
  <c r="M647" i="3"/>
  <c r="N647" i="3" s="1"/>
  <c r="W647" i="3" l="1"/>
  <c r="L647" i="3"/>
  <c r="AC648" i="3"/>
  <c r="AA648" i="3"/>
  <c r="P648" i="3"/>
  <c r="Q648" i="3" s="1"/>
  <c r="R648" i="3" s="1"/>
  <c r="S648" i="3" s="1"/>
  <c r="Z648" i="3"/>
  <c r="T648" i="3" l="1"/>
  <c r="AH648" i="3" s="1"/>
  <c r="U647" i="3"/>
  <c r="Y646" i="3"/>
  <c r="D648" i="3" l="1"/>
  <c r="AG648" i="3"/>
  <c r="E648" i="3"/>
  <c r="H648" i="3" s="1"/>
  <c r="F648" i="3" l="1"/>
  <c r="G648" i="3"/>
  <c r="K648" i="3"/>
  <c r="AE648" i="3" s="1"/>
  <c r="I648" i="3" l="1"/>
  <c r="J648" i="3"/>
  <c r="AD648" i="3" s="1"/>
  <c r="M648" i="3"/>
  <c r="N648" i="3" s="1"/>
  <c r="V648" i="3"/>
  <c r="A649" i="3"/>
  <c r="B649" i="3" s="1"/>
  <c r="W648" i="3" l="1"/>
  <c r="L648" i="3"/>
  <c r="AC649" i="3"/>
  <c r="AA649" i="3"/>
  <c r="AD649" i="3"/>
  <c r="P649" i="3"/>
  <c r="Q649" i="3" s="1"/>
  <c r="R649" i="3" s="1"/>
  <c r="S649" i="3" s="1"/>
  <c r="Z649" i="3"/>
  <c r="U648" i="3" l="1"/>
  <c r="Y647" i="3"/>
  <c r="T649" i="3"/>
  <c r="E649" i="3" l="1"/>
  <c r="H649" i="3" s="1"/>
  <c r="K649" i="3" s="1"/>
  <c r="AE649" i="3" s="1"/>
  <c r="D649" i="3"/>
  <c r="AH649" i="3"/>
  <c r="AG649" i="3"/>
  <c r="V649" i="3" l="1"/>
  <c r="A650" i="3"/>
  <c r="B650" i="3" s="1"/>
  <c r="F649" i="3"/>
  <c r="G649" i="3"/>
  <c r="I649" i="3" l="1"/>
  <c r="W649" i="3" s="1"/>
  <c r="J649" i="3"/>
  <c r="M649" i="3"/>
  <c r="N649" i="3" s="1"/>
  <c r="AA650" i="3"/>
  <c r="P650" i="3"/>
  <c r="Q650" i="3" s="1"/>
  <c r="R650" i="3" s="1"/>
  <c r="S650" i="3" s="1"/>
  <c r="Z650" i="3"/>
  <c r="AD650" i="3"/>
  <c r="AC650" i="3"/>
  <c r="L649" i="3" l="1"/>
  <c r="T650" i="3"/>
  <c r="U649" i="3" l="1"/>
  <c r="E650" i="3" s="1"/>
  <c r="H650" i="3" s="1"/>
  <c r="AG650" i="3"/>
  <c r="AH650" i="3"/>
  <c r="Y648" i="3"/>
  <c r="K650" i="3" l="1"/>
  <c r="AE650" i="3" s="1"/>
  <c r="D650" i="3"/>
  <c r="V650" i="3" l="1"/>
  <c r="A651" i="3"/>
  <c r="B651" i="3" s="1"/>
  <c r="F650" i="3"/>
  <c r="G650" i="3"/>
  <c r="I650" i="3" l="1"/>
  <c r="W650" i="3" s="1"/>
  <c r="J650" i="3"/>
  <c r="M650" i="3"/>
  <c r="N650" i="3" s="1"/>
  <c r="Z651" i="3"/>
  <c r="AC651" i="3"/>
  <c r="P651" i="3"/>
  <c r="Q651" i="3" s="1"/>
  <c r="R651" i="3" s="1"/>
  <c r="S651" i="3" s="1"/>
  <c r="AA651" i="3"/>
  <c r="AD651" i="3"/>
  <c r="T651" i="3" l="1"/>
  <c r="L650" i="3"/>
  <c r="AH651" i="3" l="1"/>
  <c r="U650" i="3"/>
  <c r="E651" i="3" s="1"/>
  <c r="H651" i="3" s="1"/>
  <c r="AG651" i="3"/>
  <c r="Y649" i="3"/>
  <c r="D651" i="3" l="1"/>
  <c r="G651" i="3" s="1"/>
  <c r="K651" i="3"/>
  <c r="AE651" i="3" s="1"/>
  <c r="F651" i="3" l="1"/>
  <c r="I651" i="3"/>
  <c r="J651" i="3"/>
  <c r="M651" i="3"/>
  <c r="N651" i="3" s="1"/>
  <c r="V651" i="3"/>
  <c r="A652" i="3"/>
  <c r="B652" i="3" s="1"/>
  <c r="W651" i="3" l="1"/>
  <c r="L651" i="3"/>
  <c r="P652" i="3"/>
  <c r="Q652" i="3" s="1"/>
  <c r="R652" i="3" s="1"/>
  <c r="S652" i="3" s="1"/>
  <c r="AC652" i="3"/>
  <c r="AA652" i="3"/>
  <c r="Z652" i="3"/>
  <c r="AD652" i="3"/>
  <c r="U651" i="3" l="1"/>
  <c r="Y650" i="3"/>
  <c r="T652" i="3"/>
  <c r="E652" i="3" l="1"/>
  <c r="H652" i="3" s="1"/>
  <c r="K652" i="3" s="1"/>
  <c r="AE652" i="3" s="1"/>
  <c r="AH652" i="3"/>
  <c r="AG652" i="3"/>
  <c r="D652" i="3"/>
  <c r="G652" i="3" s="1"/>
  <c r="F652" i="3" l="1"/>
  <c r="V652" i="3"/>
  <c r="A653" i="3"/>
  <c r="B653" i="3" s="1"/>
  <c r="I652" i="3"/>
  <c r="J652" i="3"/>
  <c r="M652" i="3"/>
  <c r="N652" i="3" s="1"/>
  <c r="W652" i="3" l="1"/>
  <c r="L652" i="3"/>
  <c r="Z653" i="3"/>
  <c r="AA653" i="3"/>
  <c r="P653" i="3"/>
  <c r="Q653" i="3" s="1"/>
  <c r="R653" i="3" s="1"/>
  <c r="S653" i="3" s="1"/>
  <c r="AD653" i="3"/>
  <c r="AC653" i="3"/>
  <c r="T653" i="3" l="1"/>
  <c r="AG653" i="3" s="1"/>
  <c r="U652" i="3"/>
  <c r="Y651" i="3"/>
  <c r="AH653" i="3" l="1"/>
  <c r="E653" i="3"/>
  <c r="H653" i="3" s="1"/>
  <c r="D653" i="3"/>
  <c r="K653" i="3" l="1"/>
  <c r="AE653" i="3" s="1"/>
  <c r="F653" i="3"/>
  <c r="G653" i="3"/>
  <c r="V653" i="3" l="1"/>
  <c r="A654" i="3"/>
  <c r="B654" i="3" s="1"/>
  <c r="I653" i="3"/>
  <c r="J653" i="3"/>
  <c r="M653" i="3"/>
  <c r="N653" i="3" s="1"/>
  <c r="W653" i="3" l="1"/>
  <c r="L653" i="3"/>
  <c r="Z654" i="3"/>
  <c r="P654" i="3"/>
  <c r="Q654" i="3" s="1"/>
  <c r="R654" i="3" s="1"/>
  <c r="S654" i="3" s="1"/>
  <c r="AC654" i="3"/>
  <c r="AA654" i="3"/>
  <c r="T654" i="3" l="1"/>
  <c r="AG654" i="3" s="1"/>
  <c r="U653" i="3"/>
  <c r="Y652" i="3"/>
  <c r="AH654" i="3" l="1"/>
  <c r="E654" i="3"/>
  <c r="H654" i="3" s="1"/>
  <c r="D654" i="3"/>
  <c r="K654" i="3" l="1"/>
  <c r="AE654" i="3" s="1"/>
  <c r="F654" i="3"/>
  <c r="G654" i="3"/>
  <c r="V654" i="3" l="1"/>
  <c r="A655" i="3"/>
  <c r="B655" i="3" s="1"/>
  <c r="I654" i="3"/>
  <c r="J654" i="3"/>
  <c r="AD654" i="3" s="1"/>
  <c r="M654" i="3"/>
  <c r="N654" i="3" s="1"/>
  <c r="L654" i="3" l="1"/>
  <c r="AD655" i="3"/>
  <c r="AC655" i="3"/>
  <c r="P655" i="3"/>
  <c r="Q655" i="3" s="1"/>
  <c r="R655" i="3" s="1"/>
  <c r="S655" i="3" s="1"/>
  <c r="Z655" i="3"/>
  <c r="AA655" i="3"/>
  <c r="W654" i="3"/>
  <c r="U654" i="3" l="1"/>
  <c r="Y653" i="3"/>
  <c r="T655" i="3"/>
  <c r="AH655" i="3" s="1"/>
  <c r="AG655" i="3" l="1"/>
  <c r="D655" i="3"/>
  <c r="E655" i="3"/>
  <c r="H655" i="3" s="1"/>
  <c r="K655" i="3" l="1"/>
  <c r="AE655" i="3" s="1"/>
  <c r="F655" i="3"/>
  <c r="G655" i="3"/>
  <c r="V655" i="3" l="1"/>
  <c r="A656" i="3"/>
  <c r="B656" i="3" s="1"/>
  <c r="I655" i="3"/>
  <c r="J655" i="3"/>
  <c r="M655" i="3"/>
  <c r="N655" i="3" s="1"/>
  <c r="W655" i="3" l="1"/>
  <c r="L655" i="3"/>
  <c r="Z656" i="3"/>
  <c r="AA656" i="3"/>
  <c r="AD656" i="3"/>
  <c r="AC656" i="3"/>
  <c r="P656" i="3"/>
  <c r="Q656" i="3" s="1"/>
  <c r="R656" i="3" s="1"/>
  <c r="S656" i="3" s="1"/>
  <c r="T656" i="3" l="1"/>
  <c r="U655" i="3"/>
  <c r="Y654" i="3"/>
  <c r="E656" i="3" l="1"/>
  <c r="H656" i="3" s="1"/>
  <c r="K656" i="3" s="1"/>
  <c r="AE656" i="3" s="1"/>
  <c r="AH656" i="3"/>
  <c r="D656" i="3"/>
  <c r="AG656" i="3"/>
  <c r="F656" i="3" l="1"/>
  <c r="G656" i="3"/>
  <c r="V656" i="3"/>
  <c r="A657" i="3"/>
  <c r="B657" i="3" s="1"/>
  <c r="I656" i="3" l="1"/>
  <c r="W656" i="3" s="1"/>
  <c r="J656" i="3"/>
  <c r="M656" i="3"/>
  <c r="N656" i="3" s="1"/>
  <c r="AC657" i="3"/>
  <c r="P657" i="3"/>
  <c r="Q657" i="3" s="1"/>
  <c r="R657" i="3" s="1"/>
  <c r="S657" i="3" s="1"/>
  <c r="AA657" i="3"/>
  <c r="Z657" i="3"/>
  <c r="L656" i="3" l="1"/>
  <c r="T657" i="3"/>
  <c r="AH657" i="3" l="1"/>
  <c r="U656" i="3"/>
  <c r="E657" i="3" s="1"/>
  <c r="H657" i="3" s="1"/>
  <c r="AG657" i="3"/>
  <c r="Y655" i="3"/>
  <c r="D657" i="3" l="1"/>
  <c r="G657" i="3" s="1"/>
  <c r="K657" i="3"/>
  <c r="AE657" i="3" s="1"/>
  <c r="F657" i="3" l="1"/>
  <c r="I657" i="3"/>
  <c r="J657" i="3"/>
  <c r="AD657" i="3" s="1"/>
  <c r="M657" i="3"/>
  <c r="N657" i="3" s="1"/>
  <c r="V657" i="3"/>
  <c r="A658" i="3"/>
  <c r="B658" i="3" s="1"/>
  <c r="W657" i="3" l="1"/>
  <c r="L657" i="3"/>
  <c r="AC658" i="3"/>
  <c r="Z658" i="3"/>
  <c r="AA658" i="3"/>
  <c r="P658" i="3"/>
  <c r="Q658" i="3" s="1"/>
  <c r="R658" i="3" s="1"/>
  <c r="S658" i="3" s="1"/>
  <c r="U657" i="3" l="1"/>
  <c r="Y656" i="3"/>
  <c r="T658" i="3"/>
  <c r="AG658" i="3" s="1"/>
  <c r="E658" i="3" l="1"/>
  <c r="H658" i="3" s="1"/>
  <c r="D658" i="3"/>
  <c r="AH658" i="3"/>
  <c r="K658" i="3" l="1"/>
  <c r="AE658" i="3" s="1"/>
  <c r="F658" i="3"/>
  <c r="G658" i="3"/>
  <c r="I658" i="3" l="1"/>
  <c r="J658" i="3"/>
  <c r="AD658" i="3" s="1"/>
  <c r="M658" i="3"/>
  <c r="N658" i="3" s="1"/>
  <c r="V658" i="3"/>
  <c r="A659" i="3"/>
  <c r="B659" i="3" s="1"/>
  <c r="W658" i="3" l="1"/>
  <c r="L658" i="3"/>
  <c r="AA659" i="3"/>
  <c r="P659" i="3"/>
  <c r="Q659" i="3" s="1"/>
  <c r="R659" i="3" s="1"/>
  <c r="S659" i="3" s="1"/>
  <c r="Z659" i="3"/>
  <c r="AD659" i="3"/>
  <c r="AC659" i="3"/>
  <c r="U658" i="3" l="1"/>
  <c r="Y657" i="3"/>
  <c r="T659" i="3"/>
  <c r="AH659" i="3" s="1"/>
  <c r="E659" i="3" l="1"/>
  <c r="H659" i="3" s="1"/>
  <c r="K659" i="3" s="1"/>
  <c r="AE659" i="3" s="1"/>
  <c r="AG659" i="3"/>
  <c r="D659" i="3"/>
  <c r="G659" i="3" s="1"/>
  <c r="F659" i="3" l="1"/>
  <c r="I659" i="3"/>
  <c r="J659" i="3"/>
  <c r="M659" i="3"/>
  <c r="N659" i="3" s="1"/>
  <c r="V659" i="3"/>
  <c r="A660" i="3"/>
  <c r="B660" i="3" s="1"/>
  <c r="W659" i="3" l="1"/>
  <c r="L659" i="3"/>
  <c r="AA660" i="3"/>
  <c r="P660" i="3"/>
  <c r="Q660" i="3" s="1"/>
  <c r="R660" i="3" s="1"/>
  <c r="S660" i="3" s="1"/>
  <c r="AC660" i="3"/>
  <c r="AD660" i="3"/>
  <c r="Z660" i="3"/>
  <c r="T660" i="3" l="1"/>
  <c r="AH660" i="3" s="1"/>
  <c r="U659" i="3"/>
  <c r="Y658" i="3"/>
  <c r="AG660" i="3" l="1"/>
  <c r="D660" i="3"/>
  <c r="E660" i="3"/>
  <c r="H660" i="3" s="1"/>
  <c r="K660" i="3" l="1"/>
  <c r="AE660" i="3" s="1"/>
  <c r="F660" i="3"/>
  <c r="G660" i="3"/>
  <c r="I660" i="3" l="1"/>
  <c r="J660" i="3"/>
  <c r="M660" i="3"/>
  <c r="N660" i="3" s="1"/>
  <c r="V660" i="3"/>
  <c r="A661" i="3"/>
  <c r="B661" i="3" s="1"/>
  <c r="L660" i="3" l="1"/>
  <c r="W660" i="3"/>
  <c r="Z661" i="3"/>
  <c r="P661" i="3"/>
  <c r="Q661" i="3" s="1"/>
  <c r="R661" i="3" s="1"/>
  <c r="S661" i="3" s="1"/>
  <c r="AA661" i="3"/>
  <c r="AD661" i="3"/>
  <c r="AC661" i="3"/>
  <c r="T661" i="3" l="1"/>
  <c r="U660" i="3"/>
  <c r="Y659" i="3"/>
  <c r="E661" i="3" l="1"/>
  <c r="H661" i="3" s="1"/>
  <c r="K661" i="3" s="1"/>
  <c r="AE661" i="3" s="1"/>
  <c r="D661" i="3"/>
  <c r="AH661" i="3"/>
  <c r="AG661" i="3"/>
  <c r="V661" i="3" l="1"/>
  <c r="A662" i="3"/>
  <c r="B662" i="3" s="1"/>
  <c r="F661" i="3"/>
  <c r="G661" i="3"/>
  <c r="I661" i="3" l="1"/>
  <c r="W661" i="3" s="1"/>
  <c r="J661" i="3"/>
  <c r="M661" i="3"/>
  <c r="N661" i="3" s="1"/>
  <c r="P662" i="3"/>
  <c r="Q662" i="3" s="1"/>
  <c r="R662" i="3" s="1"/>
  <c r="S662" i="3" s="1"/>
  <c r="Z662" i="3"/>
  <c r="AD662" i="3"/>
  <c r="AA662" i="3"/>
  <c r="AC662" i="3"/>
  <c r="T662" i="3" l="1"/>
  <c r="L661" i="3"/>
  <c r="AH662" i="3" l="1"/>
  <c r="AG662" i="3"/>
  <c r="U661" i="3"/>
  <c r="E662" i="3" s="1"/>
  <c r="H662" i="3" s="1"/>
  <c r="Y660" i="3"/>
  <c r="D662" i="3" l="1"/>
  <c r="F662" i="3" s="1"/>
  <c r="K662" i="3"/>
  <c r="AE662" i="3" s="1"/>
  <c r="G662" i="3" l="1"/>
  <c r="I662" i="3" s="1"/>
  <c r="V662" i="3"/>
  <c r="A663" i="3"/>
  <c r="B663" i="3" s="1"/>
  <c r="J662" i="3" l="1"/>
  <c r="L662" i="3" s="1"/>
  <c r="M662" i="3"/>
  <c r="N662" i="3" s="1"/>
  <c r="W662" i="3"/>
  <c r="AA663" i="3"/>
  <c r="Z663" i="3"/>
  <c r="P663" i="3"/>
  <c r="Q663" i="3" s="1"/>
  <c r="R663" i="3" s="1"/>
  <c r="S663" i="3" s="1"/>
  <c r="AC663" i="3"/>
  <c r="AD663" i="3"/>
  <c r="U662" i="3" l="1"/>
  <c r="Y661" i="3"/>
  <c r="T663" i="3"/>
  <c r="E663" i="3" l="1"/>
  <c r="H663" i="3" s="1"/>
  <c r="K663" i="3" s="1"/>
  <c r="AE663" i="3" s="1"/>
  <c r="AG663" i="3"/>
  <c r="AH663" i="3"/>
  <c r="D663" i="3"/>
  <c r="F663" i="3" l="1"/>
  <c r="G663" i="3"/>
  <c r="V663" i="3"/>
  <c r="A664" i="3"/>
  <c r="B664" i="3" s="1"/>
  <c r="P664" i="3" l="1"/>
  <c r="Q664" i="3" s="1"/>
  <c r="R664" i="3" s="1"/>
  <c r="S664" i="3" s="1"/>
  <c r="AA664" i="3"/>
  <c r="AC664" i="3"/>
  <c r="Z664" i="3"/>
  <c r="I663" i="3"/>
  <c r="W663" i="3" s="1"/>
  <c r="J663" i="3"/>
  <c r="M663" i="3"/>
  <c r="N663" i="3" s="1"/>
  <c r="T664" i="3" l="1"/>
  <c r="L663" i="3"/>
  <c r="AH664" i="3" l="1"/>
  <c r="U663" i="3"/>
  <c r="E664" i="3" s="1"/>
  <c r="H664" i="3" s="1"/>
  <c r="AG664" i="3"/>
  <c r="Y662" i="3"/>
  <c r="D664" i="3" l="1"/>
  <c r="G664" i="3" s="1"/>
  <c r="K664" i="3"/>
  <c r="AE664" i="3" s="1"/>
  <c r="F664" i="3" l="1"/>
  <c r="I664" i="3"/>
  <c r="J664" i="3"/>
  <c r="AD664" i="3" s="1"/>
  <c r="M664" i="3"/>
  <c r="N664" i="3" s="1"/>
  <c r="V664" i="3"/>
  <c r="A665" i="3"/>
  <c r="B665" i="3" s="1"/>
  <c r="W664" i="3" l="1"/>
  <c r="L664" i="3"/>
  <c r="AC665" i="3"/>
  <c r="P665" i="3"/>
  <c r="Q665" i="3" s="1"/>
  <c r="R665" i="3" s="1"/>
  <c r="S665" i="3" s="1"/>
  <c r="AA665" i="3"/>
  <c r="Z665" i="3"/>
  <c r="AD665" i="3"/>
  <c r="U664" i="3" l="1"/>
  <c r="Y663" i="3"/>
  <c r="T665" i="3"/>
  <c r="D665" i="3" l="1"/>
  <c r="G665" i="3" s="1"/>
  <c r="AG665" i="3"/>
  <c r="E665" i="3"/>
  <c r="H665" i="3" s="1"/>
  <c r="AH665" i="3"/>
  <c r="F665" i="3" l="1"/>
  <c r="I665" i="3"/>
  <c r="J665" i="3"/>
  <c r="M665" i="3"/>
  <c r="N665" i="3" s="1"/>
  <c r="K665" i="3"/>
  <c r="AE665" i="3" s="1"/>
  <c r="L665" i="3" l="1"/>
  <c r="V665" i="3"/>
  <c r="W665" i="3" s="1"/>
  <c r="A666" i="3"/>
  <c r="B666" i="3" s="1"/>
  <c r="U665" i="3" l="1"/>
  <c r="Y664" i="3"/>
  <c r="AA666" i="3"/>
  <c r="AD666" i="3"/>
  <c r="P666" i="3"/>
  <c r="Q666" i="3" s="1"/>
  <c r="R666" i="3" s="1"/>
  <c r="S666" i="3" s="1"/>
  <c r="Z666" i="3"/>
  <c r="AC666" i="3"/>
  <c r="T666" i="3" l="1"/>
  <c r="D666" i="3" s="1"/>
  <c r="AG666" i="3" l="1"/>
  <c r="E666" i="3"/>
  <c r="H666" i="3" s="1"/>
  <c r="K666" i="3" s="1"/>
  <c r="AE666" i="3" s="1"/>
  <c r="AH666" i="3"/>
  <c r="G666" i="3"/>
  <c r="F666" i="3" l="1"/>
  <c r="I666" i="3"/>
  <c r="J666" i="3"/>
  <c r="M666" i="3"/>
  <c r="N666" i="3" s="1"/>
  <c r="V666" i="3"/>
  <c r="A667" i="3"/>
  <c r="B667" i="3" s="1"/>
  <c r="L666" i="3" l="1"/>
  <c r="W666" i="3"/>
  <c r="AC667" i="3"/>
  <c r="Z667" i="3"/>
  <c r="P667" i="3"/>
  <c r="Q667" i="3" s="1"/>
  <c r="R667" i="3" s="1"/>
  <c r="S667" i="3" s="1"/>
  <c r="AA667" i="3"/>
  <c r="U666" i="3" l="1"/>
  <c r="Y665" i="3"/>
  <c r="T667" i="3"/>
  <c r="AG667" i="3" s="1"/>
  <c r="D667" i="3" l="1"/>
  <c r="E667" i="3"/>
  <c r="H667" i="3" s="1"/>
  <c r="AH667" i="3"/>
  <c r="F667" i="3" l="1"/>
  <c r="G667" i="3"/>
  <c r="K667" i="3"/>
  <c r="AE667" i="3" s="1"/>
  <c r="I667" i="3" l="1"/>
  <c r="J667" i="3"/>
  <c r="AD667" i="3" s="1"/>
  <c r="M667" i="3"/>
  <c r="N667" i="3" s="1"/>
  <c r="V667" i="3"/>
  <c r="A668" i="3"/>
  <c r="B668" i="3" s="1"/>
  <c r="W667" i="3" l="1"/>
  <c r="L667" i="3"/>
  <c r="Z668" i="3"/>
  <c r="P668" i="3"/>
  <c r="Q668" i="3" s="1"/>
  <c r="R668" i="3" s="1"/>
  <c r="S668" i="3" s="1"/>
  <c r="AC668" i="3"/>
  <c r="AA668" i="3"/>
  <c r="T668" i="3" l="1"/>
  <c r="AH668" i="3" s="1"/>
  <c r="U667" i="3"/>
  <c r="Y666" i="3"/>
  <c r="D668" i="3" l="1"/>
  <c r="G668" i="3" s="1"/>
  <c r="AG668" i="3"/>
  <c r="E668" i="3"/>
  <c r="H668" i="3" s="1"/>
  <c r="F668" i="3" l="1"/>
  <c r="I668" i="3"/>
  <c r="J668" i="3"/>
  <c r="AD668" i="3" s="1"/>
  <c r="M668" i="3"/>
  <c r="N668" i="3" s="1"/>
  <c r="K668" i="3"/>
  <c r="AE668" i="3" s="1"/>
  <c r="L668" i="3" l="1"/>
  <c r="V668" i="3"/>
  <c r="W668" i="3" s="1"/>
  <c r="A669" i="3"/>
  <c r="B669" i="3" s="1"/>
  <c r="AA669" i="3" l="1"/>
  <c r="P669" i="3"/>
  <c r="Q669" i="3" s="1"/>
  <c r="R669" i="3" s="1"/>
  <c r="S669" i="3" s="1"/>
  <c r="AD669" i="3"/>
  <c r="AC669" i="3"/>
  <c r="Z669" i="3"/>
  <c r="U668" i="3"/>
  <c r="Y667" i="3"/>
  <c r="T669" i="3" l="1"/>
  <c r="AH669" i="3" l="1"/>
  <c r="AG669" i="3"/>
  <c r="D669" i="3"/>
  <c r="E669" i="3"/>
  <c r="H669" i="3" s="1"/>
  <c r="F669" i="3" l="1"/>
  <c r="G669" i="3"/>
  <c r="K669" i="3"/>
  <c r="AE669" i="3" s="1"/>
  <c r="V669" i="3" l="1"/>
  <c r="A670" i="3"/>
  <c r="B670" i="3" s="1"/>
  <c r="I669" i="3"/>
  <c r="J669" i="3"/>
  <c r="M669" i="3"/>
  <c r="N669" i="3" s="1"/>
  <c r="L669" i="3" l="1"/>
  <c r="W669" i="3"/>
  <c r="AD670" i="3"/>
  <c r="P670" i="3"/>
  <c r="Q670" i="3" s="1"/>
  <c r="R670" i="3" s="1"/>
  <c r="S670" i="3" s="1"/>
  <c r="AA670" i="3"/>
  <c r="Z670" i="3"/>
  <c r="AC670" i="3"/>
  <c r="T670" i="3" l="1"/>
  <c r="U669" i="3"/>
  <c r="Y668" i="3"/>
  <c r="E670" i="3" l="1"/>
  <c r="H670" i="3" s="1"/>
  <c r="K670" i="3" s="1"/>
  <c r="AE670" i="3" s="1"/>
  <c r="AH670" i="3"/>
  <c r="AG670" i="3"/>
  <c r="D670" i="3"/>
  <c r="V670" i="3" l="1"/>
  <c r="A671" i="3"/>
  <c r="B671" i="3" s="1"/>
  <c r="F670" i="3"/>
  <c r="G670" i="3"/>
  <c r="I670" i="3" l="1"/>
  <c r="W670" i="3" s="1"/>
  <c r="J670" i="3"/>
  <c r="M670" i="3"/>
  <c r="N670" i="3" s="1"/>
  <c r="AC671" i="3"/>
  <c r="Z671" i="3"/>
  <c r="AD671" i="3"/>
  <c r="AA671" i="3"/>
  <c r="P671" i="3"/>
  <c r="Q671" i="3" s="1"/>
  <c r="R671" i="3" s="1"/>
  <c r="S671" i="3" s="1"/>
  <c r="T671" i="3" l="1"/>
  <c r="L670" i="3"/>
  <c r="U670" i="3" l="1"/>
  <c r="E671" i="3" s="1"/>
  <c r="H671" i="3" s="1"/>
  <c r="AG671" i="3"/>
  <c r="AH671" i="3"/>
  <c r="Y669" i="3"/>
  <c r="D671" i="3" l="1"/>
  <c r="G671" i="3" s="1"/>
  <c r="K671" i="3"/>
  <c r="AE671" i="3" s="1"/>
  <c r="F671" i="3" l="1"/>
  <c r="V671" i="3"/>
  <c r="A672" i="3"/>
  <c r="B672" i="3" s="1"/>
  <c r="I671" i="3"/>
  <c r="J671" i="3"/>
  <c r="M671" i="3"/>
  <c r="N671" i="3" s="1"/>
  <c r="W671" i="3" l="1"/>
  <c r="L671" i="3"/>
  <c r="AD672" i="3"/>
  <c r="P672" i="3"/>
  <c r="Q672" i="3" s="1"/>
  <c r="R672" i="3" s="1"/>
  <c r="S672" i="3" s="1"/>
  <c r="AC672" i="3"/>
  <c r="Z672" i="3"/>
  <c r="AA672" i="3"/>
  <c r="T672" i="3" l="1"/>
  <c r="AG672" i="3" s="1"/>
  <c r="U671" i="3"/>
  <c r="Y670" i="3"/>
  <c r="E672" i="3" l="1"/>
  <c r="H672" i="3" s="1"/>
  <c r="K672" i="3" s="1"/>
  <c r="AE672" i="3" s="1"/>
  <c r="D672" i="3"/>
  <c r="AH672" i="3"/>
  <c r="F672" i="3" l="1"/>
  <c r="G672" i="3"/>
  <c r="V672" i="3"/>
  <c r="A673" i="3"/>
  <c r="B673" i="3" s="1"/>
  <c r="AC673" i="3" l="1"/>
  <c r="AA673" i="3"/>
  <c r="P673" i="3"/>
  <c r="Q673" i="3" s="1"/>
  <c r="R673" i="3" s="1"/>
  <c r="S673" i="3" s="1"/>
  <c r="AD673" i="3"/>
  <c r="Z673" i="3"/>
  <c r="I672" i="3"/>
  <c r="W672" i="3" s="1"/>
  <c r="J672" i="3"/>
  <c r="M672" i="3"/>
  <c r="N672" i="3" s="1"/>
  <c r="L672" i="3" l="1"/>
  <c r="T673" i="3"/>
  <c r="AH673" i="3" l="1"/>
  <c r="AG673" i="3"/>
  <c r="U672" i="3"/>
  <c r="E673" i="3" s="1"/>
  <c r="H673" i="3" s="1"/>
  <c r="Y671" i="3"/>
  <c r="K673" i="3" l="1"/>
  <c r="AE673" i="3" s="1"/>
  <c r="D673" i="3"/>
  <c r="V673" i="3" l="1"/>
  <c r="A674" i="3"/>
  <c r="B674" i="3" s="1"/>
  <c r="F673" i="3"/>
  <c r="G673" i="3"/>
  <c r="I673" i="3" l="1"/>
  <c r="W673" i="3" s="1"/>
  <c r="J673" i="3"/>
  <c r="M673" i="3"/>
  <c r="N673" i="3" s="1"/>
  <c r="P674" i="3"/>
  <c r="Q674" i="3" s="1"/>
  <c r="R674" i="3" s="1"/>
  <c r="S674" i="3" s="1"/>
  <c r="AA674" i="3"/>
  <c r="Z674" i="3"/>
  <c r="AC674" i="3"/>
  <c r="T674" i="3" l="1"/>
  <c r="L673" i="3"/>
  <c r="AH674" i="3" l="1"/>
  <c r="U673" i="3"/>
  <c r="E674" i="3" s="1"/>
  <c r="H674" i="3" s="1"/>
  <c r="AG674" i="3"/>
  <c r="Y672" i="3"/>
  <c r="D674" i="3" l="1"/>
  <c r="G674" i="3" s="1"/>
  <c r="K674" i="3"/>
  <c r="AE674" i="3" s="1"/>
  <c r="F674" i="3" l="1"/>
  <c r="I674" i="3"/>
  <c r="J674" i="3"/>
  <c r="AD674" i="3" s="1"/>
  <c r="M674" i="3"/>
  <c r="N674" i="3" s="1"/>
  <c r="V674" i="3"/>
  <c r="A675" i="3"/>
  <c r="B675" i="3" s="1"/>
  <c r="W674" i="3" l="1"/>
  <c r="L674" i="3"/>
  <c r="P675" i="3"/>
  <c r="Q675" i="3" s="1"/>
  <c r="R675" i="3" s="1"/>
  <c r="S675" i="3" s="1"/>
  <c r="AA675" i="3"/>
  <c r="AC675" i="3"/>
  <c r="Z675" i="3"/>
  <c r="U674" i="3" l="1"/>
  <c r="Y673" i="3"/>
  <c r="T675" i="3"/>
  <c r="AH675" i="3" s="1"/>
  <c r="AG675" i="3" l="1"/>
  <c r="D675" i="3"/>
  <c r="E675" i="3"/>
  <c r="H675" i="3" s="1"/>
  <c r="F675" i="3" l="1"/>
  <c r="G675" i="3"/>
  <c r="K675" i="3"/>
  <c r="AE675" i="3" s="1"/>
  <c r="I675" i="3" l="1"/>
  <c r="J675" i="3"/>
  <c r="AD675" i="3" s="1"/>
  <c r="M675" i="3"/>
  <c r="N675" i="3" s="1"/>
  <c r="V675" i="3"/>
  <c r="A676" i="3"/>
  <c r="B676" i="3" s="1"/>
  <c r="W675" i="3" l="1"/>
  <c r="L675" i="3"/>
  <c r="AC676" i="3"/>
  <c r="P676" i="3"/>
  <c r="Q676" i="3" s="1"/>
  <c r="R676" i="3" s="1"/>
  <c r="S676" i="3" s="1"/>
  <c r="Z676" i="3"/>
  <c r="AA676" i="3"/>
  <c r="T676" i="3" l="1"/>
  <c r="U675" i="3"/>
  <c r="Y674" i="3"/>
  <c r="E676" i="3" l="1"/>
  <c r="H676" i="3" s="1"/>
  <c r="K676" i="3" s="1"/>
  <c r="AE676" i="3" s="1"/>
  <c r="AH676" i="3"/>
  <c r="D676" i="3"/>
  <c r="G676" i="3" s="1"/>
  <c r="AG676" i="3"/>
  <c r="F676" i="3" l="1"/>
  <c r="I676" i="3"/>
  <c r="J676" i="3"/>
  <c r="AD676" i="3" s="1"/>
  <c r="M676" i="3"/>
  <c r="N676" i="3" s="1"/>
  <c r="V676" i="3"/>
  <c r="A677" i="3"/>
  <c r="B677" i="3" s="1"/>
  <c r="W676" i="3" l="1"/>
  <c r="L676" i="3"/>
  <c r="AA677" i="3"/>
  <c r="AC677" i="3"/>
  <c r="Z677" i="3"/>
  <c r="P677" i="3"/>
  <c r="Q677" i="3" s="1"/>
  <c r="R677" i="3" s="1"/>
  <c r="S677" i="3" s="1"/>
  <c r="U676" i="3" l="1"/>
  <c r="Y675" i="3"/>
  <c r="T677" i="3"/>
  <c r="AG677" i="3" s="1"/>
  <c r="D677" i="3" l="1"/>
  <c r="G677" i="3" s="1"/>
  <c r="AH677" i="3"/>
  <c r="E677" i="3"/>
  <c r="H677" i="3" s="1"/>
  <c r="F677" i="3" l="1"/>
  <c r="I677" i="3"/>
  <c r="J677" i="3"/>
  <c r="AD677" i="3" s="1"/>
  <c r="M677" i="3"/>
  <c r="N677" i="3" s="1"/>
  <c r="K677" i="3"/>
  <c r="AE677" i="3" s="1"/>
  <c r="V677" i="3" l="1"/>
  <c r="W677" i="3" s="1"/>
  <c r="A678" i="3"/>
  <c r="B678" i="3" s="1"/>
  <c r="L677" i="3"/>
  <c r="U677" i="3" l="1"/>
  <c r="Y676" i="3"/>
  <c r="P678" i="3"/>
  <c r="Q678" i="3" s="1"/>
  <c r="R678" i="3" s="1"/>
  <c r="S678" i="3" s="1"/>
  <c r="Z678" i="3"/>
  <c r="AC678" i="3"/>
  <c r="AA678" i="3"/>
  <c r="T678" i="3" l="1"/>
  <c r="AH678" i="3" s="1"/>
  <c r="E678" i="3" l="1"/>
  <c r="H678" i="3" s="1"/>
  <c r="K678" i="3" s="1"/>
  <c r="AE678" i="3" s="1"/>
  <c r="D678" i="3"/>
  <c r="AG678" i="3"/>
  <c r="F678" i="3" l="1"/>
  <c r="G678" i="3"/>
  <c r="J678" i="3" s="1"/>
  <c r="AD678" i="3" s="1"/>
  <c r="V678" i="3"/>
  <c r="A679" i="3"/>
  <c r="B679" i="3" s="1"/>
  <c r="M678" i="3" l="1"/>
  <c r="N678" i="3" s="1"/>
  <c r="I678" i="3"/>
  <c r="W678" i="3" s="1"/>
  <c r="L678" i="3"/>
  <c r="P679" i="3"/>
  <c r="Q679" i="3" s="1"/>
  <c r="R679" i="3" s="1"/>
  <c r="S679" i="3" s="1"/>
  <c r="AA679" i="3"/>
  <c r="Z679" i="3"/>
  <c r="AC679" i="3"/>
  <c r="T679" i="3" l="1"/>
  <c r="U678" i="3"/>
  <c r="Y677" i="3"/>
  <c r="E679" i="3" l="1"/>
  <c r="H679" i="3" s="1"/>
  <c r="K679" i="3" s="1"/>
  <c r="AE679" i="3" s="1"/>
  <c r="AH679" i="3"/>
  <c r="AG679" i="3"/>
  <c r="D679" i="3"/>
  <c r="F679" i="3" l="1"/>
  <c r="G679" i="3"/>
  <c r="V679" i="3"/>
  <c r="A680" i="3"/>
  <c r="B680" i="3" s="1"/>
  <c r="AC680" i="3" l="1"/>
  <c r="P680" i="3"/>
  <c r="Q680" i="3" s="1"/>
  <c r="R680" i="3" s="1"/>
  <c r="S680" i="3" s="1"/>
  <c r="AA680" i="3"/>
  <c r="Z680" i="3"/>
  <c r="I679" i="3"/>
  <c r="W679" i="3" s="1"/>
  <c r="J679" i="3"/>
  <c r="AD679" i="3" s="1"/>
  <c r="M679" i="3"/>
  <c r="N679" i="3" s="1"/>
  <c r="L679" i="3" l="1"/>
  <c r="T680" i="3"/>
  <c r="AH680" i="3" l="1"/>
  <c r="U679" i="3"/>
  <c r="E680" i="3" s="1"/>
  <c r="H680" i="3" s="1"/>
  <c r="AG680" i="3"/>
  <c r="Y678" i="3"/>
  <c r="D680" i="3" l="1"/>
  <c r="G680" i="3" s="1"/>
  <c r="K680" i="3"/>
  <c r="AE680" i="3" s="1"/>
  <c r="F680" i="3" l="1"/>
  <c r="I680" i="3"/>
  <c r="J680" i="3"/>
  <c r="AD680" i="3" s="1"/>
  <c r="M680" i="3"/>
  <c r="N680" i="3" s="1"/>
  <c r="V680" i="3"/>
  <c r="A681" i="3"/>
  <c r="B681" i="3" s="1"/>
  <c r="W680" i="3" l="1"/>
  <c r="L680" i="3"/>
  <c r="AA681" i="3"/>
  <c r="P681" i="3"/>
  <c r="Q681" i="3" s="1"/>
  <c r="R681" i="3" s="1"/>
  <c r="S681" i="3" s="1"/>
  <c r="Z681" i="3"/>
  <c r="AC681" i="3"/>
  <c r="U680" i="3" l="1"/>
  <c r="Y679" i="3"/>
  <c r="T681" i="3"/>
  <c r="E681" i="3" l="1"/>
  <c r="H681" i="3" s="1"/>
  <c r="K681" i="3" s="1"/>
  <c r="AE681" i="3" s="1"/>
  <c r="AG681" i="3"/>
  <c r="AH681" i="3"/>
  <c r="D681" i="3"/>
  <c r="F681" i="3" l="1"/>
  <c r="G681" i="3"/>
  <c r="V681" i="3"/>
  <c r="A682" i="3"/>
  <c r="B682" i="3" s="1"/>
  <c r="Z682" i="3" l="1"/>
  <c r="P682" i="3"/>
  <c r="Q682" i="3" s="1"/>
  <c r="R682" i="3" s="1"/>
  <c r="S682" i="3" s="1"/>
  <c r="AC682" i="3"/>
  <c r="AA682" i="3"/>
  <c r="I681" i="3"/>
  <c r="W681" i="3" s="1"/>
  <c r="J681" i="3"/>
  <c r="AD681" i="3" s="1"/>
  <c r="M681" i="3"/>
  <c r="N681" i="3" s="1"/>
  <c r="L681" i="3" l="1"/>
  <c r="T682" i="3"/>
  <c r="U681" i="3" l="1"/>
  <c r="E682" i="3" s="1"/>
  <c r="H682" i="3" s="1"/>
  <c r="AG682" i="3"/>
  <c r="AH682" i="3"/>
  <c r="Y680" i="3"/>
  <c r="D682" i="3" l="1"/>
  <c r="G682" i="3" s="1"/>
  <c r="K682" i="3"/>
  <c r="AE682" i="3" s="1"/>
  <c r="F682" i="3" l="1"/>
  <c r="V682" i="3"/>
  <c r="A683" i="3"/>
  <c r="B683" i="3" s="1"/>
  <c r="I682" i="3"/>
  <c r="J682" i="3"/>
  <c r="AD682" i="3" s="1"/>
  <c r="M682" i="3"/>
  <c r="N682" i="3" s="1"/>
  <c r="W682" i="3" l="1"/>
  <c r="L682" i="3"/>
  <c r="P683" i="3"/>
  <c r="Q683" i="3" s="1"/>
  <c r="R683" i="3" s="1"/>
  <c r="S683" i="3" s="1"/>
  <c r="AC683" i="3"/>
  <c r="AA683" i="3"/>
  <c r="Z683" i="3"/>
  <c r="U682" i="3" l="1"/>
  <c r="Y681" i="3"/>
  <c r="T683" i="3"/>
  <c r="E683" i="3" l="1"/>
  <c r="H683" i="3" s="1"/>
  <c r="K683" i="3" s="1"/>
  <c r="AE683" i="3" s="1"/>
  <c r="AH683" i="3"/>
  <c r="AG683" i="3"/>
  <c r="D683" i="3"/>
  <c r="F683" i="3" l="1"/>
  <c r="G683" i="3"/>
  <c r="V683" i="3"/>
  <c r="A684" i="3"/>
  <c r="B684" i="3" s="1"/>
  <c r="Z684" i="3" l="1"/>
  <c r="AA684" i="3"/>
  <c r="AC684" i="3"/>
  <c r="P684" i="3"/>
  <c r="Q684" i="3" s="1"/>
  <c r="R684" i="3" s="1"/>
  <c r="S684" i="3" s="1"/>
  <c r="I683" i="3"/>
  <c r="W683" i="3" s="1"/>
  <c r="J683" i="3"/>
  <c r="AD683" i="3" s="1"/>
  <c r="M683" i="3"/>
  <c r="N683" i="3" s="1"/>
  <c r="T684" i="3" l="1"/>
  <c r="L683" i="3"/>
  <c r="AH684" i="3" l="1"/>
  <c r="AG684" i="3"/>
  <c r="U683" i="3"/>
  <c r="D684" i="3" s="1"/>
  <c r="Y682" i="3"/>
  <c r="E684" i="3" l="1"/>
  <c r="H684" i="3" s="1"/>
  <c r="K684" i="3" s="1"/>
  <c r="AE684" i="3" s="1"/>
  <c r="G684" i="3"/>
  <c r="F684" i="3" l="1"/>
  <c r="V684" i="3"/>
  <c r="A685" i="3"/>
  <c r="B685" i="3" s="1"/>
  <c r="I684" i="3"/>
  <c r="J684" i="3"/>
  <c r="AD684" i="3" s="1"/>
  <c r="M684" i="3"/>
  <c r="N684" i="3" s="1"/>
  <c r="W684" i="3" l="1"/>
  <c r="L684" i="3"/>
  <c r="P685" i="3"/>
  <c r="Q685" i="3" s="1"/>
  <c r="R685" i="3" s="1"/>
  <c r="S685" i="3" s="1"/>
  <c r="Z685" i="3"/>
  <c r="AC685" i="3"/>
  <c r="AD685" i="3"/>
  <c r="AA685" i="3"/>
  <c r="U684" i="3" l="1"/>
  <c r="Y683" i="3"/>
  <c r="T685" i="3"/>
  <c r="AG685" i="3" s="1"/>
  <c r="D685" i="3" l="1"/>
  <c r="G685" i="3" s="1"/>
  <c r="E685" i="3"/>
  <c r="H685" i="3" s="1"/>
  <c r="AH685" i="3"/>
  <c r="F685" i="3" l="1"/>
  <c r="I685" i="3"/>
  <c r="J685" i="3"/>
  <c r="M685" i="3"/>
  <c r="N685" i="3" s="1"/>
  <c r="K685" i="3"/>
  <c r="AE685" i="3" s="1"/>
  <c r="V685" i="3" l="1"/>
  <c r="W685" i="3" s="1"/>
  <c r="A686" i="3"/>
  <c r="B686" i="3" s="1"/>
  <c r="L685" i="3"/>
  <c r="U685" i="3" l="1"/>
  <c r="Y684" i="3"/>
  <c r="AA686" i="3"/>
  <c r="AC686" i="3"/>
  <c r="AD686" i="3"/>
  <c r="P686" i="3"/>
  <c r="Q686" i="3" s="1"/>
  <c r="R686" i="3" s="1"/>
  <c r="S686" i="3" s="1"/>
  <c r="Z686" i="3"/>
  <c r="T686" i="3" l="1"/>
  <c r="D686" i="3" s="1"/>
  <c r="E686" i="3" l="1"/>
  <c r="H686" i="3" s="1"/>
  <c r="K686" i="3" s="1"/>
  <c r="AE686" i="3" s="1"/>
  <c r="AG686" i="3"/>
  <c r="AH686" i="3"/>
  <c r="G686" i="3"/>
  <c r="F686" i="3" l="1"/>
  <c r="V686" i="3"/>
  <c r="A687" i="3"/>
  <c r="B687" i="3" s="1"/>
  <c r="I686" i="3"/>
  <c r="J686" i="3"/>
  <c r="M686" i="3"/>
  <c r="N686" i="3" s="1"/>
  <c r="L686" i="3" l="1"/>
  <c r="W686" i="3"/>
  <c r="Z687" i="3"/>
  <c r="P687" i="3"/>
  <c r="Q687" i="3" s="1"/>
  <c r="R687" i="3" s="1"/>
  <c r="S687" i="3" s="1"/>
  <c r="AA687" i="3"/>
  <c r="AC687" i="3"/>
  <c r="U686" i="3" l="1"/>
  <c r="Y685" i="3"/>
  <c r="T687" i="3"/>
  <c r="AG687" i="3" s="1"/>
  <c r="AH687" i="3" l="1"/>
  <c r="D687" i="3"/>
  <c r="G687" i="3" s="1"/>
  <c r="E687" i="3"/>
  <c r="H687" i="3" s="1"/>
  <c r="K687" i="3" s="1"/>
  <c r="AE687" i="3" s="1"/>
  <c r="F687" i="3" l="1"/>
  <c r="I687" i="3"/>
  <c r="J687" i="3"/>
  <c r="AD687" i="3" s="1"/>
  <c r="M687" i="3"/>
  <c r="N687" i="3" s="1"/>
  <c r="V687" i="3"/>
  <c r="A688" i="3"/>
  <c r="B688" i="3" s="1"/>
  <c r="W687" i="3" l="1"/>
  <c r="L687" i="3"/>
  <c r="AC688" i="3"/>
  <c r="AA688" i="3"/>
  <c r="P688" i="3"/>
  <c r="Q688" i="3" s="1"/>
  <c r="R688" i="3" s="1"/>
  <c r="S688" i="3" s="1"/>
  <c r="Z688" i="3"/>
  <c r="U687" i="3" l="1"/>
  <c r="Y686" i="3"/>
  <c r="T688" i="3"/>
  <c r="AG688" i="3" s="1"/>
  <c r="E688" i="3" l="1"/>
  <c r="H688" i="3" s="1"/>
  <c r="K688" i="3" s="1"/>
  <c r="AE688" i="3" s="1"/>
  <c r="AH688" i="3"/>
  <c r="D688" i="3"/>
  <c r="F688" i="3" l="1"/>
  <c r="G688" i="3"/>
  <c r="V688" i="3"/>
  <c r="A689" i="3"/>
  <c r="B689" i="3" s="1"/>
  <c r="AA689" i="3" l="1"/>
  <c r="P689" i="3"/>
  <c r="Q689" i="3" s="1"/>
  <c r="R689" i="3" s="1"/>
  <c r="S689" i="3" s="1"/>
  <c r="Z689" i="3"/>
  <c r="AD689" i="3"/>
  <c r="AC689" i="3"/>
  <c r="I688" i="3"/>
  <c r="W688" i="3" s="1"/>
  <c r="J688" i="3"/>
  <c r="AD688" i="3" s="1"/>
  <c r="M688" i="3"/>
  <c r="N688" i="3" s="1"/>
  <c r="T689" i="3" l="1"/>
  <c r="L688" i="3"/>
  <c r="U688" i="3" l="1"/>
  <c r="D689" i="3" s="1"/>
  <c r="AG689" i="3"/>
  <c r="AH689" i="3"/>
  <c r="Y687" i="3"/>
  <c r="E689" i="3" l="1"/>
  <c r="H689" i="3" s="1"/>
  <c r="K689" i="3" s="1"/>
  <c r="AE689" i="3" s="1"/>
  <c r="G689" i="3"/>
  <c r="F689" i="3" l="1"/>
  <c r="I689" i="3"/>
  <c r="J689" i="3"/>
  <c r="M689" i="3"/>
  <c r="N689" i="3" s="1"/>
  <c r="V689" i="3"/>
  <c r="A690" i="3"/>
  <c r="B690" i="3" s="1"/>
  <c r="W689" i="3" l="1"/>
  <c r="L689" i="3"/>
  <c r="AA690" i="3"/>
  <c r="AC690" i="3"/>
  <c r="P690" i="3"/>
  <c r="Q690" i="3" s="1"/>
  <c r="R690" i="3" s="1"/>
  <c r="S690" i="3" s="1"/>
  <c r="AD690" i="3"/>
  <c r="Z690" i="3"/>
  <c r="U689" i="3" l="1"/>
  <c r="Y688" i="3"/>
  <c r="T690" i="3"/>
  <c r="AH690" i="3" s="1"/>
  <c r="D690" i="3" l="1"/>
  <c r="G690" i="3" s="1"/>
  <c r="E690" i="3"/>
  <c r="H690" i="3" s="1"/>
  <c r="K690" i="3" s="1"/>
  <c r="AE690" i="3" s="1"/>
  <c r="AG690" i="3"/>
  <c r="F690" i="3" l="1"/>
  <c r="I690" i="3"/>
  <c r="J690" i="3"/>
  <c r="M690" i="3"/>
  <c r="N690" i="3" s="1"/>
  <c r="V690" i="3"/>
  <c r="A691" i="3"/>
  <c r="B691" i="3" s="1"/>
  <c r="W690" i="3" l="1"/>
  <c r="L690" i="3"/>
  <c r="AA691" i="3"/>
  <c r="Z691" i="3"/>
  <c r="P691" i="3"/>
  <c r="Q691" i="3" s="1"/>
  <c r="R691" i="3" s="1"/>
  <c r="S691" i="3" s="1"/>
  <c r="AD691" i="3"/>
  <c r="AC691" i="3"/>
  <c r="T691" i="3" l="1"/>
  <c r="U690" i="3"/>
  <c r="Y689" i="3"/>
  <c r="D691" i="3" l="1"/>
  <c r="G691" i="3" s="1"/>
  <c r="AH691" i="3"/>
  <c r="E691" i="3"/>
  <c r="H691" i="3" s="1"/>
  <c r="AG691" i="3"/>
  <c r="F691" i="3" l="1"/>
  <c r="I691" i="3"/>
  <c r="J691" i="3"/>
  <c r="M691" i="3"/>
  <c r="N691" i="3" s="1"/>
  <c r="K691" i="3"/>
  <c r="AE691" i="3" s="1"/>
  <c r="V691" i="3" l="1"/>
  <c r="W691" i="3" s="1"/>
  <c r="A692" i="3"/>
  <c r="B692" i="3" s="1"/>
  <c r="L691" i="3"/>
  <c r="U691" i="3" l="1"/>
  <c r="Y690" i="3"/>
  <c r="AC692" i="3"/>
  <c r="AD692" i="3"/>
  <c r="AA692" i="3"/>
  <c r="Z692" i="3"/>
  <c r="P692" i="3"/>
  <c r="Q692" i="3" s="1"/>
  <c r="R692" i="3" s="1"/>
  <c r="S692" i="3" s="1"/>
  <c r="T692" i="3" l="1"/>
  <c r="E692" i="3" s="1"/>
  <c r="H692" i="3" s="1"/>
  <c r="D692" i="3" l="1"/>
  <c r="G692" i="3" s="1"/>
  <c r="AH692" i="3"/>
  <c r="K692" i="3"/>
  <c r="AE692" i="3" s="1"/>
  <c r="AG692" i="3"/>
  <c r="F692" i="3" l="1"/>
  <c r="I692" i="3"/>
  <c r="J692" i="3"/>
  <c r="M692" i="3"/>
  <c r="N692" i="3" s="1"/>
  <c r="V692" i="3"/>
  <c r="A693" i="3"/>
  <c r="B693" i="3" s="1"/>
  <c r="W692" i="3" l="1"/>
  <c r="L692" i="3"/>
  <c r="AC693" i="3"/>
  <c r="AA693" i="3"/>
  <c r="AD693" i="3"/>
  <c r="P693" i="3"/>
  <c r="Q693" i="3" s="1"/>
  <c r="R693" i="3" s="1"/>
  <c r="S693" i="3" s="1"/>
  <c r="Z693" i="3"/>
  <c r="U692" i="3" l="1"/>
  <c r="Y691" i="3"/>
  <c r="T693" i="3"/>
  <c r="AG693" i="3" s="1"/>
  <c r="D693" i="3" l="1"/>
  <c r="G693" i="3" s="1"/>
  <c r="E693" i="3"/>
  <c r="H693" i="3" s="1"/>
  <c r="K693" i="3" s="1"/>
  <c r="AE693" i="3" s="1"/>
  <c r="AH693" i="3"/>
  <c r="F693" i="3" l="1"/>
  <c r="V693" i="3"/>
  <c r="A694" i="3"/>
  <c r="B694" i="3" s="1"/>
  <c r="I693" i="3"/>
  <c r="J693" i="3"/>
  <c r="M693" i="3"/>
  <c r="N693" i="3" s="1"/>
  <c r="W693" i="3" l="1"/>
  <c r="L693" i="3"/>
  <c r="AA694" i="3"/>
  <c r="AC694" i="3"/>
  <c r="P694" i="3"/>
  <c r="Q694" i="3" s="1"/>
  <c r="R694" i="3" s="1"/>
  <c r="S694" i="3" s="1"/>
  <c r="Z694" i="3"/>
  <c r="U693" i="3" l="1"/>
  <c r="Y692" i="3"/>
  <c r="T694" i="3"/>
  <c r="AG694" i="3" s="1"/>
  <c r="E694" i="3" l="1"/>
  <c r="H694" i="3" s="1"/>
  <c r="K694" i="3" s="1"/>
  <c r="AE694" i="3" s="1"/>
  <c r="AH694" i="3"/>
  <c r="D694" i="3"/>
  <c r="G694" i="3" s="1"/>
  <c r="F694" i="3" l="1"/>
  <c r="I694" i="3"/>
  <c r="J694" i="3"/>
  <c r="AD694" i="3" s="1"/>
  <c r="M694" i="3"/>
  <c r="N694" i="3" s="1"/>
  <c r="V694" i="3"/>
  <c r="A695" i="3"/>
  <c r="B695" i="3" s="1"/>
  <c r="W694" i="3" l="1"/>
  <c r="L694" i="3"/>
  <c r="Z695" i="3"/>
  <c r="P695" i="3"/>
  <c r="Q695" i="3" s="1"/>
  <c r="R695" i="3" s="1"/>
  <c r="S695" i="3" s="1"/>
  <c r="AC695" i="3"/>
  <c r="AA695" i="3"/>
  <c r="U694" i="3" l="1"/>
  <c r="Y693" i="3"/>
  <c r="T695" i="3"/>
  <c r="E695" i="3" l="1"/>
  <c r="H695" i="3" s="1"/>
  <c r="K695" i="3" s="1"/>
  <c r="AE695" i="3" s="1"/>
  <c r="D695" i="3"/>
  <c r="AG695" i="3"/>
  <c r="AH695" i="3"/>
  <c r="V695" i="3" l="1"/>
  <c r="A696" i="3"/>
  <c r="B696" i="3" s="1"/>
  <c r="F695" i="3"/>
  <c r="G695" i="3"/>
  <c r="I695" i="3" l="1"/>
  <c r="W695" i="3" s="1"/>
  <c r="J695" i="3"/>
  <c r="AD695" i="3" s="1"/>
  <c r="M695" i="3"/>
  <c r="N695" i="3" s="1"/>
  <c r="AA696" i="3"/>
  <c r="Z696" i="3"/>
  <c r="P696" i="3"/>
  <c r="Q696" i="3" s="1"/>
  <c r="R696" i="3" s="1"/>
  <c r="S696" i="3" s="1"/>
  <c r="AC696" i="3"/>
  <c r="T696" i="3" l="1"/>
  <c r="L695" i="3"/>
  <c r="AH696" i="3" l="1"/>
  <c r="U695" i="3"/>
  <c r="D696" i="3" s="1"/>
  <c r="AG696" i="3"/>
  <c r="Y694" i="3"/>
  <c r="E696" i="3" l="1"/>
  <c r="H696" i="3" s="1"/>
  <c r="K696" i="3" s="1"/>
  <c r="AE696" i="3" s="1"/>
  <c r="G696" i="3"/>
  <c r="F696" i="3" l="1"/>
  <c r="V696" i="3"/>
  <c r="A697" i="3"/>
  <c r="B697" i="3" s="1"/>
  <c r="I696" i="3"/>
  <c r="J696" i="3"/>
  <c r="AD696" i="3" s="1"/>
  <c r="M696" i="3"/>
  <c r="N696" i="3" s="1"/>
  <c r="W696" i="3" l="1"/>
  <c r="P697" i="3"/>
  <c r="Q697" i="3" s="1"/>
  <c r="R697" i="3" s="1"/>
  <c r="S697" i="3" s="1"/>
  <c r="Z697" i="3"/>
  <c r="AA697" i="3"/>
  <c r="AC697" i="3"/>
  <c r="L696" i="3"/>
  <c r="U696" i="3" l="1"/>
  <c r="Y695" i="3"/>
  <c r="T697" i="3"/>
  <c r="E697" i="3" l="1"/>
  <c r="H697" i="3" s="1"/>
  <c r="K697" i="3" s="1"/>
  <c r="AE697" i="3" s="1"/>
  <c r="D697" i="3"/>
  <c r="AH697" i="3"/>
  <c r="AG697" i="3"/>
  <c r="F697" i="3" l="1"/>
  <c r="G697" i="3"/>
  <c r="M697" i="3" s="1"/>
  <c r="N697" i="3" s="1"/>
  <c r="V697" i="3"/>
  <c r="A698" i="3"/>
  <c r="B698" i="3" s="1"/>
  <c r="I697" i="3" l="1"/>
  <c r="W697" i="3" s="1"/>
  <c r="J697" i="3"/>
  <c r="AA698" i="3"/>
  <c r="Z698" i="3"/>
  <c r="AC698" i="3"/>
  <c r="P698" i="3"/>
  <c r="Q698" i="3" s="1"/>
  <c r="R698" i="3" s="1"/>
  <c r="S698" i="3" s="1"/>
  <c r="L697" i="3" l="1"/>
  <c r="U697" i="3" s="1"/>
  <c r="AD697" i="3"/>
  <c r="T698" i="3"/>
  <c r="Y696" i="3" l="1"/>
  <c r="AG698" i="3"/>
  <c r="E698" i="3"/>
  <c r="H698" i="3" s="1"/>
  <c r="K698" i="3" s="1"/>
  <c r="AE698" i="3" s="1"/>
  <c r="AH698" i="3"/>
  <c r="D698" i="3"/>
  <c r="F698" i="3" l="1"/>
  <c r="G698" i="3"/>
  <c r="J698" i="3" s="1"/>
  <c r="AD698" i="3" s="1"/>
  <c r="V698" i="3"/>
  <c r="A699" i="3"/>
  <c r="B699" i="3" s="1"/>
  <c r="M698" i="3" l="1"/>
  <c r="N698" i="3" s="1"/>
  <c r="I698" i="3"/>
  <c r="W698" i="3" s="1"/>
  <c r="L698" i="3"/>
  <c r="Z699" i="3"/>
  <c r="P699" i="3"/>
  <c r="Q699" i="3" s="1"/>
  <c r="R699" i="3" s="1"/>
  <c r="S699" i="3" s="1"/>
  <c r="AA699" i="3"/>
  <c r="AC699" i="3"/>
  <c r="T699" i="3" l="1"/>
  <c r="U698" i="3"/>
  <c r="Y697" i="3"/>
  <c r="D699" i="3" l="1"/>
  <c r="G699" i="3" s="1"/>
  <c r="AG699" i="3"/>
  <c r="AH699" i="3"/>
  <c r="E699" i="3"/>
  <c r="H699" i="3" s="1"/>
  <c r="K699" i="3" l="1"/>
  <c r="AE699" i="3" s="1"/>
  <c r="I699" i="3"/>
  <c r="J699" i="3"/>
  <c r="AD699" i="3" s="1"/>
  <c r="M699" i="3"/>
  <c r="N699" i="3" s="1"/>
  <c r="F699" i="3"/>
  <c r="L699" i="3" l="1"/>
  <c r="V699" i="3"/>
  <c r="W699" i="3" s="1"/>
  <c r="A700" i="3"/>
  <c r="B700" i="3" s="1"/>
  <c r="U699" i="3" l="1"/>
  <c r="Y698" i="3"/>
  <c r="Z700" i="3"/>
  <c r="P700" i="3"/>
  <c r="Q700" i="3" s="1"/>
  <c r="R700" i="3" s="1"/>
  <c r="S700" i="3" s="1"/>
  <c r="AC700" i="3"/>
  <c r="AA700" i="3"/>
  <c r="T700" i="3" l="1"/>
  <c r="D700" i="3" s="1"/>
  <c r="AH700" i="3" l="1"/>
  <c r="AG700" i="3"/>
  <c r="E700" i="3"/>
  <c r="H700" i="3" s="1"/>
  <c r="K700" i="3" s="1"/>
  <c r="AE700" i="3" s="1"/>
  <c r="G700" i="3"/>
  <c r="F700" i="3" l="1"/>
  <c r="I700" i="3"/>
  <c r="J700" i="3"/>
  <c r="AD700" i="3" s="1"/>
  <c r="M700" i="3"/>
  <c r="N700" i="3" s="1"/>
  <c r="V700" i="3"/>
  <c r="A701" i="3"/>
  <c r="B701" i="3" s="1"/>
  <c r="W700" i="3" l="1"/>
  <c r="L700" i="3"/>
  <c r="AC701" i="3"/>
  <c r="AA701" i="3"/>
  <c r="Z701" i="3"/>
  <c r="P701" i="3"/>
  <c r="Q701" i="3" s="1"/>
  <c r="R701" i="3" s="1"/>
  <c r="S701" i="3" s="1"/>
  <c r="U700" i="3" l="1"/>
  <c r="Y699" i="3"/>
  <c r="T701" i="3"/>
  <c r="AG701" i="3" s="1"/>
  <c r="AH701" i="3" l="1"/>
  <c r="E701" i="3"/>
  <c r="H701" i="3" s="1"/>
  <c r="D701" i="3"/>
  <c r="F701" i="3" l="1"/>
  <c r="G701" i="3"/>
  <c r="K701" i="3"/>
  <c r="AE701" i="3" s="1"/>
  <c r="I701" i="3" l="1"/>
  <c r="J701" i="3"/>
  <c r="AD701" i="3" s="1"/>
  <c r="M701" i="3"/>
  <c r="N701" i="3" s="1"/>
  <c r="V701" i="3"/>
  <c r="A702" i="3"/>
  <c r="B702" i="3" s="1"/>
  <c r="W701" i="3" l="1"/>
  <c r="L701" i="3"/>
  <c r="AC702" i="3"/>
  <c r="P702" i="3"/>
  <c r="Q702" i="3" s="1"/>
  <c r="R702" i="3" s="1"/>
  <c r="S702" i="3" s="1"/>
  <c r="Z702" i="3"/>
  <c r="AA702" i="3"/>
  <c r="U701" i="3" l="1"/>
  <c r="Y700" i="3"/>
  <c r="T702" i="3"/>
  <c r="AH702" i="3" s="1"/>
  <c r="D702" i="3" l="1"/>
  <c r="G702" i="3" s="1"/>
  <c r="E702" i="3"/>
  <c r="H702" i="3" s="1"/>
  <c r="K702" i="3" s="1"/>
  <c r="AE702" i="3" s="1"/>
  <c r="AG702" i="3"/>
  <c r="F702" i="3" l="1"/>
  <c r="V702" i="3"/>
  <c r="A703" i="3"/>
  <c r="B703" i="3" s="1"/>
  <c r="I702" i="3"/>
  <c r="J702" i="3"/>
  <c r="AD702" i="3" s="1"/>
  <c r="M702" i="3"/>
  <c r="N702" i="3" s="1"/>
  <c r="W702" i="3" l="1"/>
  <c r="L702" i="3"/>
  <c r="AC703" i="3"/>
  <c r="P703" i="3"/>
  <c r="Q703" i="3" s="1"/>
  <c r="R703" i="3" s="1"/>
  <c r="S703" i="3" s="1"/>
  <c r="AA703" i="3"/>
  <c r="Z703" i="3"/>
  <c r="T703" i="3" l="1"/>
  <c r="AH703" i="3" s="1"/>
  <c r="U702" i="3"/>
  <c r="Y701" i="3"/>
  <c r="E703" i="3" l="1"/>
  <c r="H703" i="3" s="1"/>
  <c r="K703" i="3" s="1"/>
  <c r="AE703" i="3" s="1"/>
  <c r="AG703" i="3"/>
  <c r="D703" i="3"/>
  <c r="F703" i="3" l="1"/>
  <c r="G703" i="3"/>
  <c r="V703" i="3"/>
  <c r="A704" i="3"/>
  <c r="B704" i="3" s="1"/>
  <c r="P704" i="3" l="1"/>
  <c r="Q704" i="3" s="1"/>
  <c r="R704" i="3" s="1"/>
  <c r="S704" i="3" s="1"/>
  <c r="AC704" i="3"/>
  <c r="Z704" i="3"/>
  <c r="AA704" i="3"/>
  <c r="I703" i="3"/>
  <c r="W703" i="3" s="1"/>
  <c r="J703" i="3"/>
  <c r="AD703" i="3" s="1"/>
  <c r="M703" i="3"/>
  <c r="N703" i="3" s="1"/>
  <c r="T704" i="3" l="1"/>
  <c r="L703" i="3"/>
  <c r="U703" i="3" l="1"/>
  <c r="D704" i="3" s="1"/>
  <c r="AG704" i="3"/>
  <c r="AH704" i="3"/>
  <c r="Y702" i="3"/>
  <c r="G704" i="3" l="1"/>
  <c r="E704" i="3"/>
  <c r="H704" i="3" s="1"/>
  <c r="F704" i="3" l="1"/>
  <c r="I704" i="3"/>
  <c r="J704" i="3"/>
  <c r="AD704" i="3" s="1"/>
  <c r="M704" i="3"/>
  <c r="N704" i="3" s="1"/>
  <c r="K704" i="3"/>
  <c r="AE704" i="3" s="1"/>
  <c r="V704" i="3" l="1"/>
  <c r="W704" i="3" s="1"/>
  <c r="A705" i="3"/>
  <c r="B705" i="3" s="1"/>
  <c r="L704" i="3"/>
  <c r="U704" i="3" l="1"/>
  <c r="Y703" i="3"/>
  <c r="Z705" i="3"/>
  <c r="P705" i="3"/>
  <c r="Q705" i="3" s="1"/>
  <c r="R705" i="3" s="1"/>
  <c r="S705" i="3" s="1"/>
  <c r="AC705" i="3"/>
  <c r="AA705" i="3"/>
  <c r="T705" i="3" l="1"/>
  <c r="AH705" i="3" s="1"/>
  <c r="AG705" i="3" l="1"/>
  <c r="D705" i="3"/>
  <c r="E705" i="3"/>
  <c r="H705" i="3" s="1"/>
  <c r="F705" i="3" l="1"/>
  <c r="G705" i="3"/>
  <c r="K705" i="3"/>
  <c r="AE705" i="3" s="1"/>
  <c r="I705" i="3" l="1"/>
  <c r="J705" i="3"/>
  <c r="AD705" i="3" s="1"/>
  <c r="M705" i="3"/>
  <c r="N705" i="3" s="1"/>
  <c r="V705" i="3"/>
  <c r="A706" i="3"/>
  <c r="B706" i="3" s="1"/>
  <c r="W705" i="3" l="1"/>
  <c r="L705" i="3"/>
  <c r="P706" i="3"/>
  <c r="Q706" i="3" s="1"/>
  <c r="R706" i="3" s="1"/>
  <c r="S706" i="3" s="1"/>
  <c r="AA706" i="3"/>
  <c r="AC706" i="3"/>
  <c r="Z706" i="3"/>
  <c r="U705" i="3" l="1"/>
  <c r="Y704" i="3"/>
  <c r="T706" i="3"/>
  <c r="AH706" i="3" s="1"/>
  <c r="E706" i="3" l="1"/>
  <c r="H706" i="3" s="1"/>
  <c r="D706" i="3"/>
  <c r="AG706" i="3"/>
  <c r="K706" i="3" l="1"/>
  <c r="AE706" i="3" s="1"/>
  <c r="F706" i="3"/>
  <c r="G706" i="3"/>
  <c r="I706" i="3" l="1"/>
  <c r="J706" i="3"/>
  <c r="AD706" i="3" s="1"/>
  <c r="M706" i="3"/>
  <c r="N706" i="3" s="1"/>
  <c r="V706" i="3"/>
  <c r="A707" i="3"/>
  <c r="B707" i="3" s="1"/>
  <c r="W706" i="3" l="1"/>
  <c r="P707" i="3"/>
  <c r="Q707" i="3" s="1"/>
  <c r="R707" i="3" s="1"/>
  <c r="S707" i="3" s="1"/>
  <c r="Z707" i="3"/>
  <c r="AC707" i="3"/>
  <c r="AA707" i="3"/>
  <c r="L706" i="3"/>
  <c r="T707" i="3" l="1"/>
  <c r="AG707" i="3" s="1"/>
  <c r="U706" i="3"/>
  <c r="Y705" i="3"/>
  <c r="E707" i="3" l="1"/>
  <c r="H707" i="3" s="1"/>
  <c r="K707" i="3" s="1"/>
  <c r="AE707" i="3" s="1"/>
  <c r="D707" i="3"/>
  <c r="AH707" i="3"/>
  <c r="V707" i="3" l="1"/>
  <c r="A708" i="3"/>
  <c r="B708" i="3" s="1"/>
  <c r="F707" i="3"/>
  <c r="G707" i="3"/>
  <c r="I707" i="3" l="1"/>
  <c r="W707" i="3" s="1"/>
  <c r="J707" i="3"/>
  <c r="AD707" i="3" s="1"/>
  <c r="M707" i="3"/>
  <c r="N707" i="3" s="1"/>
  <c r="P708" i="3"/>
  <c r="Q708" i="3" s="1"/>
  <c r="R708" i="3" s="1"/>
  <c r="S708" i="3" s="1"/>
  <c r="AC708" i="3"/>
  <c r="Z708" i="3"/>
  <c r="AA708" i="3"/>
  <c r="T708" i="3" l="1"/>
  <c r="L707" i="3"/>
  <c r="U707" i="3" l="1"/>
  <c r="D708" i="3" s="1"/>
  <c r="AG708" i="3"/>
  <c r="AH708" i="3"/>
  <c r="Y706" i="3"/>
  <c r="E708" i="3" l="1"/>
  <c r="H708" i="3" s="1"/>
  <c r="K708" i="3" s="1"/>
  <c r="AE708" i="3" s="1"/>
  <c r="G708" i="3"/>
  <c r="F708" i="3" l="1"/>
  <c r="I708" i="3"/>
  <c r="J708" i="3"/>
  <c r="AD708" i="3" s="1"/>
  <c r="M708" i="3"/>
  <c r="N708" i="3" s="1"/>
  <c r="V708" i="3"/>
  <c r="A709" i="3"/>
  <c r="B709" i="3" s="1"/>
  <c r="W708" i="3" l="1"/>
  <c r="L708" i="3"/>
  <c r="Z709" i="3"/>
  <c r="AA709" i="3"/>
  <c r="P709" i="3"/>
  <c r="Q709" i="3" s="1"/>
  <c r="R709" i="3" s="1"/>
  <c r="S709" i="3" s="1"/>
  <c r="AC709" i="3"/>
  <c r="U708" i="3" l="1"/>
  <c r="Y707" i="3"/>
  <c r="T709" i="3"/>
  <c r="AG709" i="3" s="1"/>
  <c r="AH709" i="3" l="1"/>
  <c r="E709" i="3"/>
  <c r="H709" i="3" s="1"/>
  <c r="D709" i="3"/>
  <c r="F709" i="3" l="1"/>
  <c r="G709" i="3"/>
  <c r="K709" i="3"/>
  <c r="AE709" i="3" s="1"/>
  <c r="V709" i="3" l="1"/>
  <c r="A710" i="3"/>
  <c r="B710" i="3" s="1"/>
  <c r="I709" i="3"/>
  <c r="J709" i="3"/>
  <c r="AD709" i="3" s="1"/>
  <c r="M709" i="3"/>
  <c r="N709" i="3" s="1"/>
  <c r="W709" i="3" l="1"/>
  <c r="L709" i="3"/>
  <c r="AC710" i="3"/>
  <c r="Z710" i="3"/>
  <c r="AA710" i="3"/>
  <c r="P710" i="3"/>
  <c r="Q710" i="3" s="1"/>
  <c r="R710" i="3" s="1"/>
  <c r="S710" i="3" s="1"/>
  <c r="U709" i="3" l="1"/>
  <c r="Y708" i="3"/>
  <c r="T710" i="3"/>
  <c r="AH710" i="3" s="1"/>
  <c r="D710" i="3" l="1"/>
  <c r="E710" i="3"/>
  <c r="H710" i="3" s="1"/>
  <c r="AG710" i="3"/>
  <c r="F710" i="3" l="1"/>
  <c r="G710" i="3"/>
  <c r="K710" i="3"/>
  <c r="AE710" i="3" s="1"/>
  <c r="I710" i="3" l="1"/>
  <c r="J710" i="3"/>
  <c r="AD710" i="3" s="1"/>
  <c r="M710" i="3"/>
  <c r="N710" i="3" s="1"/>
  <c r="V710" i="3"/>
  <c r="A711" i="3"/>
  <c r="B711" i="3" s="1"/>
  <c r="W710" i="3" l="1"/>
  <c r="L710" i="3"/>
  <c r="AA711" i="3"/>
  <c r="AC711" i="3"/>
  <c r="Z711" i="3"/>
  <c r="P711" i="3"/>
  <c r="Q711" i="3" s="1"/>
  <c r="R711" i="3" s="1"/>
  <c r="S711" i="3" s="1"/>
  <c r="T711" i="3" l="1"/>
  <c r="U710" i="3"/>
  <c r="Y709" i="3"/>
  <c r="D711" i="3" l="1"/>
  <c r="G711" i="3" s="1"/>
  <c r="E711" i="3"/>
  <c r="H711" i="3" s="1"/>
  <c r="AH711" i="3"/>
  <c r="AG711" i="3"/>
  <c r="F711" i="3" l="1"/>
  <c r="K711" i="3"/>
  <c r="AE711" i="3" s="1"/>
  <c r="I711" i="3"/>
  <c r="J711" i="3"/>
  <c r="AD711" i="3" s="1"/>
  <c r="M711" i="3"/>
  <c r="N711" i="3" s="1"/>
  <c r="L711" i="3" l="1"/>
  <c r="V711" i="3"/>
  <c r="W711" i="3" s="1"/>
  <c r="A712" i="3"/>
  <c r="B712" i="3" s="1"/>
  <c r="AC712" i="3" l="1"/>
  <c r="P712" i="3"/>
  <c r="Q712" i="3" s="1"/>
  <c r="R712" i="3" s="1"/>
  <c r="S712" i="3" s="1"/>
  <c r="AA712" i="3"/>
  <c r="Z712" i="3"/>
  <c r="U711" i="3"/>
  <c r="Y710" i="3"/>
  <c r="T712" i="3" l="1"/>
  <c r="AG712" i="3" l="1"/>
  <c r="D712" i="3"/>
  <c r="E712" i="3"/>
  <c r="H712" i="3" s="1"/>
  <c r="AH712" i="3"/>
  <c r="K712" i="3" l="1"/>
  <c r="AE712" i="3" s="1"/>
  <c r="F712" i="3"/>
  <c r="G712" i="3"/>
  <c r="V712" i="3" l="1"/>
  <c r="A713" i="3"/>
  <c r="B713" i="3" s="1"/>
  <c r="I712" i="3"/>
  <c r="J712" i="3"/>
  <c r="AD712" i="3" s="1"/>
  <c r="M712" i="3"/>
  <c r="N712" i="3" s="1"/>
  <c r="W712" i="3" l="1"/>
  <c r="L712" i="3"/>
  <c r="Z713" i="3"/>
  <c r="P713" i="3"/>
  <c r="Q713" i="3" s="1"/>
  <c r="R713" i="3" s="1"/>
  <c r="S713" i="3" s="1"/>
  <c r="AC713" i="3"/>
  <c r="AA713" i="3"/>
  <c r="T713" i="3" l="1"/>
  <c r="AH713" i="3" s="1"/>
  <c r="U712" i="3"/>
  <c r="Y711" i="3"/>
  <c r="D713" i="3" l="1"/>
  <c r="AG713" i="3"/>
  <c r="E713" i="3"/>
  <c r="H713" i="3" s="1"/>
  <c r="F713" i="3" l="1"/>
  <c r="G713" i="3"/>
  <c r="M713" i="3" s="1"/>
  <c r="N713" i="3" s="1"/>
  <c r="K713" i="3"/>
  <c r="AE713" i="3" s="1"/>
  <c r="I713" i="3" l="1"/>
  <c r="J713" i="3"/>
  <c r="V713" i="3"/>
  <c r="A714" i="3"/>
  <c r="B714" i="3" s="1"/>
  <c r="L713" i="3" l="1"/>
  <c r="AD713" i="3"/>
  <c r="W713" i="3"/>
  <c r="U713" i="3"/>
  <c r="Y712" i="3"/>
  <c r="AA714" i="3"/>
  <c r="P714" i="3"/>
  <c r="Q714" i="3" s="1"/>
  <c r="R714" i="3" s="1"/>
  <c r="S714" i="3" s="1"/>
  <c r="Z714" i="3"/>
  <c r="AC714" i="3"/>
  <c r="T714" i="3" l="1"/>
  <c r="AH714" i="3" s="1"/>
  <c r="D714" i="3" l="1"/>
  <c r="G714" i="3" s="1"/>
  <c r="E714" i="3"/>
  <c r="H714" i="3" s="1"/>
  <c r="K714" i="3" s="1"/>
  <c r="AE714" i="3" s="1"/>
  <c r="AG714" i="3"/>
  <c r="F714" i="3" l="1"/>
  <c r="V714" i="3"/>
  <c r="A715" i="3"/>
  <c r="B715" i="3" s="1"/>
  <c r="I714" i="3"/>
  <c r="J714" i="3"/>
  <c r="AD714" i="3" s="1"/>
  <c r="M714" i="3"/>
  <c r="N714" i="3" s="1"/>
  <c r="L714" i="3" l="1"/>
  <c r="W714" i="3"/>
  <c r="AC715" i="3"/>
  <c r="P715" i="3"/>
  <c r="Q715" i="3" s="1"/>
  <c r="R715" i="3" s="1"/>
  <c r="S715" i="3" s="1"/>
  <c r="Z715" i="3"/>
  <c r="AA715" i="3"/>
  <c r="U714" i="3" l="1"/>
  <c r="Y713" i="3"/>
  <c r="T715" i="3"/>
  <c r="AG715" i="3" s="1"/>
  <c r="AH715" i="3" l="1"/>
  <c r="D715" i="3"/>
  <c r="G715" i="3" s="1"/>
  <c r="E715" i="3"/>
  <c r="H715" i="3" s="1"/>
  <c r="F715" i="3" l="1"/>
  <c r="I715" i="3"/>
  <c r="J715" i="3"/>
  <c r="AD715" i="3" s="1"/>
  <c r="M715" i="3"/>
  <c r="N715" i="3" s="1"/>
  <c r="K715" i="3"/>
  <c r="AE715" i="3" s="1"/>
  <c r="V715" i="3" l="1"/>
  <c r="W715" i="3" s="1"/>
  <c r="A716" i="3"/>
  <c r="B716" i="3" s="1"/>
  <c r="L715" i="3"/>
  <c r="U715" i="3" l="1"/>
  <c r="Y714" i="3"/>
  <c r="AC716" i="3"/>
  <c r="Z716" i="3"/>
  <c r="P716" i="3"/>
  <c r="Q716" i="3" s="1"/>
  <c r="R716" i="3" s="1"/>
  <c r="S716" i="3" s="1"/>
  <c r="AA716" i="3"/>
  <c r="T716" i="3" l="1"/>
  <c r="D716" i="3" s="1"/>
  <c r="E716" i="3" l="1"/>
  <c r="H716" i="3" s="1"/>
  <c r="K716" i="3" s="1"/>
  <c r="AE716" i="3" s="1"/>
  <c r="AH716" i="3"/>
  <c r="AG716" i="3"/>
  <c r="G716" i="3"/>
  <c r="F716" i="3" l="1"/>
  <c r="I716" i="3"/>
  <c r="J716" i="3"/>
  <c r="AD716" i="3" s="1"/>
  <c r="M716" i="3"/>
  <c r="N716" i="3" s="1"/>
  <c r="V716" i="3"/>
  <c r="A717" i="3"/>
  <c r="B717" i="3" s="1"/>
  <c r="W716" i="3" l="1"/>
  <c r="L716" i="3"/>
  <c r="AC717" i="3"/>
  <c r="P717" i="3"/>
  <c r="Q717" i="3" s="1"/>
  <c r="R717" i="3" s="1"/>
  <c r="S717" i="3" s="1"/>
  <c r="Z717" i="3"/>
  <c r="AA717" i="3"/>
  <c r="U716" i="3" l="1"/>
  <c r="Y715" i="3"/>
  <c r="T717" i="3"/>
  <c r="AG717" i="3" s="1"/>
  <c r="E717" i="3" l="1"/>
  <c r="H717" i="3" s="1"/>
  <c r="K717" i="3" s="1"/>
  <c r="AE717" i="3" s="1"/>
  <c r="AH717" i="3"/>
  <c r="D717" i="3"/>
  <c r="V717" i="3" l="1"/>
  <c r="A718" i="3"/>
  <c r="B718" i="3" s="1"/>
  <c r="F717" i="3"/>
  <c r="G717" i="3"/>
  <c r="I717" i="3" l="1"/>
  <c r="W717" i="3" s="1"/>
  <c r="J717" i="3"/>
  <c r="AD717" i="3" s="1"/>
  <c r="M717" i="3"/>
  <c r="N717" i="3" s="1"/>
  <c r="P718" i="3"/>
  <c r="Q718" i="3" s="1"/>
  <c r="R718" i="3" s="1"/>
  <c r="S718" i="3" s="1"/>
  <c r="AC718" i="3"/>
  <c r="Z718" i="3"/>
  <c r="AA718" i="3"/>
  <c r="L717" i="3" l="1"/>
  <c r="T718" i="3"/>
  <c r="U717" i="3" l="1"/>
  <c r="E718" i="3" s="1"/>
  <c r="H718" i="3" s="1"/>
  <c r="AH718" i="3"/>
  <c r="AG718" i="3"/>
  <c r="Y716" i="3"/>
  <c r="K718" i="3" l="1"/>
  <c r="AE718" i="3" s="1"/>
  <c r="D718" i="3"/>
  <c r="V718" i="3" l="1"/>
  <c r="A719" i="3"/>
  <c r="B719" i="3" s="1"/>
  <c r="F718" i="3"/>
  <c r="G718" i="3"/>
  <c r="I718" i="3" l="1"/>
  <c r="W718" i="3" s="1"/>
  <c r="J718" i="3"/>
  <c r="AD718" i="3" s="1"/>
  <c r="M718" i="3"/>
  <c r="N718" i="3" s="1"/>
  <c r="Z719" i="3"/>
  <c r="P719" i="3"/>
  <c r="Q719" i="3" s="1"/>
  <c r="R719" i="3" s="1"/>
  <c r="S719" i="3" s="1"/>
  <c r="AA719" i="3"/>
  <c r="AC719" i="3"/>
  <c r="T719" i="3" l="1"/>
  <c r="L718" i="3"/>
  <c r="AG719" i="3" l="1"/>
  <c r="AH719" i="3"/>
  <c r="U718" i="3"/>
  <c r="E719" i="3" s="1"/>
  <c r="H719" i="3" s="1"/>
  <c r="Y717" i="3"/>
  <c r="D719" i="3" l="1"/>
  <c r="G719" i="3" s="1"/>
  <c r="K719" i="3"/>
  <c r="AE719" i="3" s="1"/>
  <c r="F719" i="3" l="1"/>
  <c r="I719" i="3"/>
  <c r="J719" i="3"/>
  <c r="AD719" i="3" s="1"/>
  <c r="M719" i="3"/>
  <c r="N719" i="3" s="1"/>
  <c r="V719" i="3"/>
  <c r="A720" i="3"/>
  <c r="B720" i="3" s="1"/>
  <c r="W719" i="3" l="1"/>
  <c r="L719" i="3"/>
  <c r="P720" i="3"/>
  <c r="Q720" i="3" s="1"/>
  <c r="R720" i="3" s="1"/>
  <c r="S720" i="3" s="1"/>
  <c r="AA720" i="3"/>
  <c r="AC720" i="3"/>
  <c r="Z720" i="3"/>
  <c r="U719" i="3" l="1"/>
  <c r="Y718" i="3"/>
  <c r="T720" i="3"/>
  <c r="AG720" i="3" s="1"/>
  <c r="E720" i="3" l="1"/>
  <c r="H720" i="3" s="1"/>
  <c r="K720" i="3" s="1"/>
  <c r="AE720" i="3" s="1"/>
  <c r="D720" i="3"/>
  <c r="AH720" i="3"/>
  <c r="V720" i="3" l="1"/>
  <c r="A721" i="3"/>
  <c r="B721" i="3" s="1"/>
  <c r="F720" i="3"/>
  <c r="G720" i="3"/>
  <c r="I720" i="3" l="1"/>
  <c r="W720" i="3" s="1"/>
  <c r="J720" i="3"/>
  <c r="AD720" i="3" s="1"/>
  <c r="M720" i="3"/>
  <c r="N720" i="3" s="1"/>
  <c r="AA721" i="3"/>
  <c r="Z721" i="3"/>
  <c r="AC721" i="3"/>
  <c r="P721" i="3"/>
  <c r="Q721" i="3" s="1"/>
  <c r="R721" i="3" s="1"/>
  <c r="S721" i="3" s="1"/>
  <c r="T721" i="3" l="1"/>
  <c r="L720" i="3"/>
  <c r="AG721" i="3" l="1"/>
  <c r="U720" i="3"/>
  <c r="D721" i="3" s="1"/>
  <c r="AH721" i="3"/>
  <c r="Y719" i="3"/>
  <c r="G721" i="3" l="1"/>
  <c r="E721" i="3"/>
  <c r="H721" i="3" s="1"/>
  <c r="F721" i="3" l="1"/>
  <c r="I721" i="3"/>
  <c r="J721" i="3"/>
  <c r="AD721" i="3" s="1"/>
  <c r="M721" i="3"/>
  <c r="N721" i="3" s="1"/>
  <c r="K721" i="3"/>
  <c r="AE721" i="3" s="1"/>
  <c r="V721" i="3" l="1"/>
  <c r="W721" i="3" s="1"/>
  <c r="A722" i="3"/>
  <c r="B722" i="3" s="1"/>
  <c r="L721" i="3"/>
  <c r="U721" i="3" l="1"/>
  <c r="Y720" i="3"/>
  <c r="AA722" i="3"/>
  <c r="AC722" i="3"/>
  <c r="P722" i="3"/>
  <c r="Q722" i="3" s="1"/>
  <c r="R722" i="3" s="1"/>
  <c r="S722" i="3" s="1"/>
  <c r="Z722" i="3"/>
  <c r="T722" i="3" l="1"/>
  <c r="AH722" i="3" s="1"/>
  <c r="E722" i="3" l="1"/>
  <c r="H722" i="3" s="1"/>
  <c r="K722" i="3" s="1"/>
  <c r="AE722" i="3" s="1"/>
  <c r="D722" i="3"/>
  <c r="AG722" i="3"/>
  <c r="V722" i="3" l="1"/>
  <c r="A723" i="3"/>
  <c r="B723" i="3" s="1"/>
  <c r="F722" i="3"/>
  <c r="G722" i="3"/>
  <c r="I722" i="3" l="1"/>
  <c r="W722" i="3" s="1"/>
  <c r="J722" i="3"/>
  <c r="AD722" i="3" s="1"/>
  <c r="M722" i="3"/>
  <c r="N722" i="3" s="1"/>
  <c r="Z723" i="3"/>
  <c r="AA723" i="3"/>
  <c r="AC723" i="3"/>
  <c r="P723" i="3"/>
  <c r="Q723" i="3" s="1"/>
  <c r="R723" i="3" s="1"/>
  <c r="S723" i="3" s="1"/>
  <c r="T723" i="3" l="1"/>
  <c r="L722" i="3"/>
  <c r="U722" i="3" l="1"/>
  <c r="E723" i="3" s="1"/>
  <c r="H723" i="3" s="1"/>
  <c r="AG723" i="3"/>
  <c r="AH723" i="3"/>
  <c r="Y721" i="3"/>
  <c r="D723" i="3" l="1"/>
  <c r="G723" i="3" s="1"/>
  <c r="K723" i="3"/>
  <c r="AE723" i="3" s="1"/>
  <c r="F723" i="3" l="1"/>
  <c r="V723" i="3"/>
  <c r="A724" i="3"/>
  <c r="B724" i="3" s="1"/>
  <c r="I723" i="3"/>
  <c r="J723" i="3"/>
  <c r="AD723" i="3" s="1"/>
  <c r="M723" i="3"/>
  <c r="N723" i="3" s="1"/>
  <c r="W723" i="3" l="1"/>
  <c r="L723" i="3"/>
  <c r="AA724" i="3"/>
  <c r="Z724" i="3"/>
  <c r="AC724" i="3"/>
  <c r="P724" i="3"/>
  <c r="Q724" i="3" s="1"/>
  <c r="R724" i="3" s="1"/>
  <c r="S724" i="3" s="1"/>
  <c r="T724" i="3" l="1"/>
  <c r="AH724" i="3" s="1"/>
  <c r="U723" i="3"/>
  <c r="Y722" i="3"/>
  <c r="D724" i="3" l="1"/>
  <c r="E724" i="3"/>
  <c r="H724" i="3" s="1"/>
  <c r="AG724" i="3"/>
  <c r="K724" i="3" l="1"/>
  <c r="AE724" i="3" s="1"/>
  <c r="F724" i="3"/>
  <c r="G724" i="3"/>
  <c r="I724" i="3" l="1"/>
  <c r="J724" i="3"/>
  <c r="AD724" i="3" s="1"/>
  <c r="M724" i="3"/>
  <c r="N724" i="3" s="1"/>
  <c r="V724" i="3"/>
  <c r="A725" i="3"/>
  <c r="B725" i="3" s="1"/>
  <c r="W724" i="3" l="1"/>
  <c r="L724" i="3"/>
  <c r="AC725" i="3"/>
  <c r="P725" i="3"/>
  <c r="Q725" i="3" s="1"/>
  <c r="R725" i="3" s="1"/>
  <c r="S725" i="3" s="1"/>
  <c r="Z725" i="3"/>
  <c r="AA725" i="3"/>
  <c r="U724" i="3" l="1"/>
  <c r="Y723" i="3"/>
  <c r="T725" i="3"/>
  <c r="AG725" i="3" s="1"/>
  <c r="AH725" i="3" l="1"/>
  <c r="D725" i="3"/>
  <c r="G725" i="3" s="1"/>
  <c r="E725" i="3"/>
  <c r="H725" i="3" s="1"/>
  <c r="F725" i="3" l="1"/>
  <c r="I725" i="3"/>
  <c r="J725" i="3"/>
  <c r="AD725" i="3" s="1"/>
  <c r="M725" i="3"/>
  <c r="N725" i="3" s="1"/>
  <c r="K725" i="3"/>
  <c r="AE725" i="3" s="1"/>
  <c r="V725" i="3" l="1"/>
  <c r="W725" i="3" s="1"/>
  <c r="A726" i="3"/>
  <c r="B726" i="3" s="1"/>
  <c r="L725" i="3"/>
  <c r="U725" i="3" l="1"/>
  <c r="Y724" i="3"/>
  <c r="Z726" i="3"/>
  <c r="P726" i="3"/>
  <c r="Q726" i="3" s="1"/>
  <c r="R726" i="3" s="1"/>
  <c r="S726" i="3" s="1"/>
  <c r="AA726" i="3"/>
  <c r="AC726" i="3"/>
  <c r="T726" i="3" l="1"/>
  <c r="AG726" i="3" s="1"/>
  <c r="D726" i="3" l="1"/>
  <c r="G726" i="3" s="1"/>
  <c r="E726" i="3"/>
  <c r="H726" i="3" s="1"/>
  <c r="K726" i="3" s="1"/>
  <c r="AE726" i="3" s="1"/>
  <c r="AH726" i="3"/>
  <c r="F726" i="3" l="1"/>
  <c r="I726" i="3"/>
  <c r="J726" i="3"/>
  <c r="AD726" i="3" s="1"/>
  <c r="M726" i="3"/>
  <c r="N726" i="3" s="1"/>
  <c r="V726" i="3"/>
  <c r="A727" i="3"/>
  <c r="B727" i="3" s="1"/>
  <c r="W726" i="3" l="1"/>
  <c r="L726" i="3"/>
  <c r="P727" i="3"/>
  <c r="Q727" i="3" s="1"/>
  <c r="R727" i="3" s="1"/>
  <c r="S727" i="3" s="1"/>
  <c r="Z727" i="3"/>
  <c r="AA727" i="3"/>
  <c r="AC727" i="3"/>
  <c r="U726" i="3" l="1"/>
  <c r="Y725" i="3"/>
  <c r="T727" i="3"/>
  <c r="AH727" i="3" s="1"/>
  <c r="E727" i="3" l="1"/>
  <c r="H727" i="3" s="1"/>
  <c r="K727" i="3" s="1"/>
  <c r="AE727" i="3" s="1"/>
  <c r="D727" i="3"/>
  <c r="AG727" i="3"/>
  <c r="F727" i="3" l="1"/>
  <c r="G727" i="3"/>
  <c r="M727" i="3" s="1"/>
  <c r="N727" i="3" s="1"/>
  <c r="V727" i="3"/>
  <c r="A728" i="3"/>
  <c r="B728" i="3" s="1"/>
  <c r="I727" i="3" l="1"/>
  <c r="W727" i="3" s="1"/>
  <c r="J727" i="3"/>
  <c r="AA728" i="3"/>
  <c r="P728" i="3"/>
  <c r="Q728" i="3" s="1"/>
  <c r="R728" i="3" s="1"/>
  <c r="S728" i="3" s="1"/>
  <c r="AC728" i="3"/>
  <c r="Z728" i="3"/>
  <c r="L727" i="3" l="1"/>
  <c r="U727" i="3" s="1"/>
  <c r="AD727" i="3"/>
  <c r="T728" i="3"/>
  <c r="Y726" i="3" l="1"/>
  <c r="D728" i="3"/>
  <c r="G728" i="3" s="1"/>
  <c r="AG728" i="3"/>
  <c r="E728" i="3"/>
  <c r="H728" i="3" s="1"/>
  <c r="AH728" i="3"/>
  <c r="F728" i="3" l="1"/>
  <c r="I728" i="3"/>
  <c r="J728" i="3"/>
  <c r="AD728" i="3" s="1"/>
  <c r="M728" i="3"/>
  <c r="N728" i="3" s="1"/>
  <c r="K728" i="3"/>
  <c r="AE728" i="3" s="1"/>
  <c r="V728" i="3" l="1"/>
  <c r="W728" i="3" s="1"/>
  <c r="A729" i="3"/>
  <c r="B729" i="3" s="1"/>
  <c r="L728" i="3"/>
  <c r="U728" i="3" l="1"/>
  <c r="Y727" i="3"/>
  <c r="P729" i="3"/>
  <c r="Q729" i="3" s="1"/>
  <c r="R729" i="3" s="1"/>
  <c r="S729" i="3" s="1"/>
  <c r="AA729" i="3"/>
  <c r="AC729" i="3"/>
  <c r="Z729" i="3"/>
  <c r="T729" i="3" l="1"/>
  <c r="E729" i="3" s="1"/>
  <c r="H729" i="3" s="1"/>
  <c r="AH729" i="3" l="1"/>
  <c r="D729" i="3"/>
  <c r="F729" i="3" s="1"/>
  <c r="AG729" i="3"/>
  <c r="K729" i="3"/>
  <c r="AE729" i="3" s="1"/>
  <c r="G729" i="3" l="1"/>
  <c r="I729" i="3" s="1"/>
  <c r="V729" i="3"/>
  <c r="A730" i="3"/>
  <c r="B730" i="3" s="1"/>
  <c r="W729" i="3" l="1"/>
  <c r="J729" i="3"/>
  <c r="M729" i="3"/>
  <c r="N729" i="3" s="1"/>
  <c r="AA730" i="3"/>
  <c r="Z730" i="3"/>
  <c r="P730" i="3"/>
  <c r="Q730" i="3" s="1"/>
  <c r="R730" i="3" s="1"/>
  <c r="S730" i="3" s="1"/>
  <c r="AC730" i="3"/>
  <c r="L729" i="3" l="1"/>
  <c r="U729" i="3" s="1"/>
  <c r="AD729" i="3"/>
  <c r="T730" i="3"/>
  <c r="Y728" i="3" l="1"/>
  <c r="AG730" i="3"/>
  <c r="D730" i="3"/>
  <c r="E730" i="3"/>
  <c r="H730" i="3" s="1"/>
  <c r="AH730" i="3"/>
  <c r="K730" i="3" l="1"/>
  <c r="AE730" i="3" s="1"/>
  <c r="F730" i="3"/>
  <c r="G730" i="3"/>
  <c r="I730" i="3" l="1"/>
  <c r="J730" i="3"/>
  <c r="AD730" i="3" s="1"/>
  <c r="M730" i="3"/>
  <c r="N730" i="3" s="1"/>
  <c r="V730" i="3"/>
  <c r="A731" i="3"/>
  <c r="B731" i="3" s="1"/>
  <c r="W730" i="3" l="1"/>
  <c r="L730" i="3"/>
  <c r="P731" i="3"/>
  <c r="Q731" i="3" s="1"/>
  <c r="R731" i="3" s="1"/>
  <c r="S731" i="3" s="1"/>
  <c r="Z731" i="3"/>
  <c r="AA731" i="3"/>
  <c r="AC731" i="3"/>
  <c r="U730" i="3" l="1"/>
  <c r="Y729" i="3"/>
  <c r="T731" i="3"/>
  <c r="AG731" i="3" s="1"/>
  <c r="E731" i="3" l="1"/>
  <c r="H731" i="3" s="1"/>
  <c r="K731" i="3" s="1"/>
  <c r="AE731" i="3" s="1"/>
  <c r="AH731" i="3"/>
  <c r="D731" i="3"/>
  <c r="F731" i="3" l="1"/>
  <c r="G731" i="3"/>
  <c r="J731" i="3" s="1"/>
  <c r="AD731" i="3" s="1"/>
  <c r="V731" i="3"/>
  <c r="A732" i="3"/>
  <c r="B732" i="3" s="1"/>
  <c r="M731" i="3" l="1"/>
  <c r="N731" i="3" s="1"/>
  <c r="I731" i="3"/>
  <c r="W731" i="3" s="1"/>
  <c r="L731" i="3"/>
  <c r="AC732" i="3"/>
  <c r="Z732" i="3"/>
  <c r="AA732" i="3"/>
  <c r="P732" i="3"/>
  <c r="Q732" i="3" s="1"/>
  <c r="R732" i="3" s="1"/>
  <c r="S732" i="3" s="1"/>
  <c r="U731" i="3" l="1"/>
  <c r="Y730" i="3"/>
  <c r="T732" i="3"/>
  <c r="E732" i="3" l="1"/>
  <c r="H732" i="3" s="1"/>
  <c r="K732" i="3" s="1"/>
  <c r="AE732" i="3" s="1"/>
  <c r="D732" i="3"/>
  <c r="G732" i="3" s="1"/>
  <c r="AH732" i="3"/>
  <c r="AG732" i="3"/>
  <c r="F732" i="3" l="1"/>
  <c r="I732" i="3"/>
  <c r="J732" i="3"/>
  <c r="AD732" i="3" s="1"/>
  <c r="M732" i="3"/>
  <c r="N732" i="3" s="1"/>
  <c r="V732" i="3"/>
  <c r="A733" i="3"/>
  <c r="B733" i="3" s="1"/>
  <c r="W732" i="3" l="1"/>
  <c r="L732" i="3"/>
  <c r="AC733" i="3"/>
  <c r="P733" i="3"/>
  <c r="Q733" i="3" s="1"/>
  <c r="R733" i="3" s="1"/>
  <c r="S733" i="3" s="1"/>
  <c r="AA733" i="3"/>
  <c r="Z733" i="3"/>
  <c r="T733" i="3" l="1"/>
  <c r="AH733" i="3" s="1"/>
  <c r="U732" i="3"/>
  <c r="Y731" i="3"/>
  <c r="D733" i="3" l="1"/>
  <c r="G733" i="3" s="1"/>
  <c r="E733" i="3"/>
  <c r="H733" i="3" s="1"/>
  <c r="AG733" i="3"/>
  <c r="F733" i="3" l="1"/>
  <c r="I733" i="3"/>
  <c r="J733" i="3"/>
  <c r="AD733" i="3" s="1"/>
  <c r="M733" i="3"/>
  <c r="N733" i="3" s="1"/>
  <c r="K733" i="3"/>
  <c r="AE733" i="3" s="1"/>
  <c r="V733" i="3" l="1"/>
  <c r="W733" i="3" s="1"/>
  <c r="A734" i="3"/>
  <c r="B734" i="3" s="1"/>
  <c r="L733" i="3"/>
  <c r="U733" i="3" l="1"/>
  <c r="Y732" i="3"/>
  <c r="P734" i="3"/>
  <c r="Q734" i="3" s="1"/>
  <c r="R734" i="3" s="1"/>
  <c r="S734" i="3" s="1"/>
  <c r="AC734" i="3"/>
  <c r="AA734" i="3"/>
  <c r="Z734" i="3"/>
  <c r="T734" i="3" l="1"/>
  <c r="AG734" i="3" s="1"/>
  <c r="D734" i="3" l="1"/>
  <c r="E734" i="3"/>
  <c r="H734" i="3" s="1"/>
  <c r="K734" i="3" s="1"/>
  <c r="AE734" i="3" s="1"/>
  <c r="AH734" i="3"/>
  <c r="F734" i="3" l="1"/>
  <c r="G734" i="3"/>
  <c r="M734" i="3" s="1"/>
  <c r="N734" i="3" s="1"/>
  <c r="V734" i="3"/>
  <c r="A735" i="3"/>
  <c r="B735" i="3" s="1"/>
  <c r="I734" i="3" l="1"/>
  <c r="W734" i="3" s="1"/>
  <c r="J734" i="3"/>
  <c r="AA735" i="3"/>
  <c r="Z735" i="3"/>
  <c r="P735" i="3"/>
  <c r="Q735" i="3" s="1"/>
  <c r="R735" i="3" s="1"/>
  <c r="S735" i="3" s="1"/>
  <c r="AC735" i="3"/>
  <c r="L734" i="3" l="1"/>
  <c r="Y733" i="3" s="1"/>
  <c r="AD734" i="3"/>
  <c r="T735" i="3"/>
  <c r="U734" i="3" l="1"/>
  <c r="E735" i="3" s="1"/>
  <c r="H735" i="3" s="1"/>
  <c r="AH735" i="3"/>
  <c r="AG735" i="3"/>
  <c r="D735" i="3" l="1"/>
  <c r="G735" i="3" s="1"/>
  <c r="M735" i="3" s="1"/>
  <c r="N735" i="3" s="1"/>
  <c r="K735" i="3"/>
  <c r="AE735" i="3" s="1"/>
  <c r="F735" i="3" l="1"/>
  <c r="I735" i="3"/>
  <c r="J735" i="3"/>
  <c r="V735" i="3"/>
  <c r="A736" i="3"/>
  <c r="B736" i="3" s="1"/>
  <c r="L735" i="3" l="1"/>
  <c r="U735" i="3" s="1"/>
  <c r="AD735" i="3"/>
  <c r="W735" i="3"/>
  <c r="Z736" i="3"/>
  <c r="P736" i="3"/>
  <c r="Q736" i="3" s="1"/>
  <c r="R736" i="3" s="1"/>
  <c r="S736" i="3" s="1"/>
  <c r="AA736" i="3"/>
  <c r="AC736" i="3"/>
  <c r="Y734" i="3" l="1"/>
  <c r="T736" i="3"/>
  <c r="E736" i="3" s="1"/>
  <c r="H736" i="3" s="1"/>
  <c r="AH736" i="3" l="1"/>
  <c r="D736" i="3"/>
  <c r="F736" i="3" s="1"/>
  <c r="K736" i="3"/>
  <c r="AE736" i="3" s="1"/>
  <c r="AG736" i="3"/>
  <c r="G736" i="3" l="1"/>
  <c r="M736" i="3" s="1"/>
  <c r="N736" i="3" s="1"/>
  <c r="V736" i="3"/>
  <c r="A737" i="3"/>
  <c r="B737" i="3" s="1"/>
  <c r="I736" i="3" l="1"/>
  <c r="W736" i="3" s="1"/>
  <c r="J736" i="3"/>
  <c r="AC737" i="3"/>
  <c r="P737" i="3"/>
  <c r="Q737" i="3" s="1"/>
  <c r="R737" i="3" s="1"/>
  <c r="S737" i="3" s="1"/>
  <c r="Z737" i="3"/>
  <c r="AA737" i="3"/>
  <c r="L736" i="3" l="1"/>
  <c r="U736" i="3" s="1"/>
  <c r="AD736" i="3"/>
  <c r="T737" i="3"/>
  <c r="Y735" i="3" l="1"/>
  <c r="AH737" i="3"/>
  <c r="D737" i="3"/>
  <c r="E737" i="3"/>
  <c r="H737" i="3" s="1"/>
  <c r="AG737" i="3"/>
  <c r="F737" i="3" l="1"/>
  <c r="G737" i="3"/>
  <c r="K737" i="3"/>
  <c r="AE737" i="3" s="1"/>
  <c r="V737" i="3" l="1"/>
  <c r="A738" i="3"/>
  <c r="B738" i="3" s="1"/>
  <c r="I737" i="3"/>
  <c r="J737" i="3"/>
  <c r="AD737" i="3" s="1"/>
  <c r="M737" i="3"/>
  <c r="N737" i="3" s="1"/>
  <c r="W737" i="3" l="1"/>
  <c r="L737" i="3"/>
  <c r="AA738" i="3"/>
  <c r="P738" i="3"/>
  <c r="Q738" i="3" s="1"/>
  <c r="R738" i="3" s="1"/>
  <c r="S738" i="3" s="1"/>
  <c r="AC738" i="3"/>
  <c r="Z738" i="3"/>
  <c r="U737" i="3" l="1"/>
  <c r="Y736" i="3"/>
  <c r="T738" i="3"/>
  <c r="E738" i="3" l="1"/>
  <c r="H738" i="3" s="1"/>
  <c r="K738" i="3" s="1"/>
  <c r="AE738" i="3" s="1"/>
  <c r="D738" i="3"/>
  <c r="AG738" i="3"/>
  <c r="AH738" i="3"/>
  <c r="V738" i="3" l="1"/>
  <c r="A739" i="3"/>
  <c r="B739" i="3" s="1"/>
  <c r="F738" i="3"/>
  <c r="G738" i="3"/>
  <c r="I738" i="3" l="1"/>
  <c r="W738" i="3" s="1"/>
  <c r="J738" i="3"/>
  <c r="AD738" i="3" s="1"/>
  <c r="M738" i="3"/>
  <c r="N738" i="3" s="1"/>
  <c r="P739" i="3"/>
  <c r="Q739" i="3" s="1"/>
  <c r="R739" i="3" s="1"/>
  <c r="S739" i="3" s="1"/>
  <c r="AC739" i="3"/>
  <c r="AA739" i="3"/>
  <c r="Z739" i="3"/>
  <c r="T739" i="3" l="1"/>
  <c r="L738" i="3"/>
  <c r="AH739" i="3" l="1"/>
  <c r="U738" i="3"/>
  <c r="E739" i="3" s="1"/>
  <c r="H739" i="3" s="1"/>
  <c r="AG739" i="3"/>
  <c r="Y737" i="3"/>
  <c r="D739" i="3" l="1"/>
  <c r="G739" i="3" s="1"/>
  <c r="K739" i="3"/>
  <c r="AE739" i="3" s="1"/>
  <c r="F739" i="3" l="1"/>
  <c r="I739" i="3"/>
  <c r="J739" i="3"/>
  <c r="AD739" i="3" s="1"/>
  <c r="M739" i="3"/>
  <c r="N739" i="3" s="1"/>
  <c r="V739" i="3"/>
  <c r="A740" i="3"/>
  <c r="B740" i="3" s="1"/>
  <c r="W739" i="3" l="1"/>
  <c r="L739" i="3"/>
  <c r="P740" i="3"/>
  <c r="Q740" i="3" s="1"/>
  <c r="R740" i="3" s="1"/>
  <c r="S740" i="3" s="1"/>
  <c r="Z740" i="3"/>
  <c r="AC740" i="3"/>
  <c r="AA740" i="3"/>
  <c r="U739" i="3" l="1"/>
  <c r="Y738" i="3"/>
  <c r="T740" i="3"/>
  <c r="E740" i="3" l="1"/>
  <c r="H740" i="3" s="1"/>
  <c r="K740" i="3" s="1"/>
  <c r="AE740" i="3" s="1"/>
  <c r="D740" i="3"/>
  <c r="G740" i="3" s="1"/>
  <c r="AH740" i="3"/>
  <c r="AG740" i="3"/>
  <c r="F740" i="3" l="1"/>
  <c r="I740" i="3"/>
  <c r="J740" i="3"/>
  <c r="AD740" i="3" s="1"/>
  <c r="M740" i="3"/>
  <c r="N740" i="3" s="1"/>
  <c r="V740" i="3"/>
  <c r="A741" i="3"/>
  <c r="B741" i="3" s="1"/>
  <c r="W740" i="3" l="1"/>
  <c r="L740" i="3"/>
  <c r="AA741" i="3"/>
  <c r="P741" i="3"/>
  <c r="Q741" i="3" s="1"/>
  <c r="R741" i="3" s="1"/>
  <c r="S741" i="3" s="1"/>
  <c r="Z741" i="3"/>
  <c r="AC741" i="3"/>
  <c r="T741" i="3" l="1"/>
  <c r="AG741" i="3" s="1"/>
  <c r="U740" i="3"/>
  <c r="Y739" i="3"/>
  <c r="E741" i="3" l="1"/>
  <c r="H741" i="3" s="1"/>
  <c r="D741" i="3"/>
  <c r="AH741" i="3"/>
  <c r="K741" i="3" l="1"/>
  <c r="AE741" i="3" s="1"/>
  <c r="F741" i="3"/>
  <c r="G741" i="3"/>
  <c r="V741" i="3" l="1"/>
  <c r="A742" i="3"/>
  <c r="B742" i="3" s="1"/>
  <c r="I741" i="3"/>
  <c r="J741" i="3"/>
  <c r="AD741" i="3" s="1"/>
  <c r="M741" i="3"/>
  <c r="N741" i="3" s="1"/>
  <c r="L741" i="3" l="1"/>
  <c r="W741" i="3"/>
  <c r="AC742" i="3"/>
  <c r="P742" i="3"/>
  <c r="Q742" i="3" s="1"/>
  <c r="R742" i="3" s="1"/>
  <c r="S742" i="3" s="1"/>
  <c r="Z742" i="3"/>
  <c r="AA742" i="3"/>
  <c r="U741" i="3" l="1"/>
  <c r="Y740" i="3"/>
  <c r="T742" i="3"/>
  <c r="AG742" i="3" s="1"/>
  <c r="E742" i="3" l="1"/>
  <c r="H742" i="3" s="1"/>
  <c r="K742" i="3" s="1"/>
  <c r="AE742" i="3" s="1"/>
  <c r="AH742" i="3"/>
  <c r="D742" i="3"/>
  <c r="F742" i="3" l="1"/>
  <c r="G742" i="3"/>
  <c r="V742" i="3"/>
  <c r="A743" i="3"/>
  <c r="B743" i="3" s="1"/>
  <c r="I742" i="3" l="1"/>
  <c r="W742" i="3" s="1"/>
  <c r="J742" i="3"/>
  <c r="AD742" i="3" s="1"/>
  <c r="M742" i="3"/>
  <c r="N742" i="3" s="1"/>
  <c r="Z743" i="3"/>
  <c r="AA743" i="3"/>
  <c r="P743" i="3"/>
  <c r="Q743" i="3" s="1"/>
  <c r="R743" i="3" s="1"/>
  <c r="S743" i="3" s="1"/>
  <c r="AC743" i="3"/>
  <c r="T743" i="3" l="1"/>
  <c r="L742" i="3"/>
  <c r="U742" i="3" l="1"/>
  <c r="E743" i="3" s="1"/>
  <c r="H743" i="3" s="1"/>
  <c r="AH743" i="3"/>
  <c r="AG743" i="3"/>
  <c r="Y741" i="3"/>
  <c r="D743" i="3" l="1"/>
  <c r="G743" i="3" s="1"/>
  <c r="K743" i="3"/>
  <c r="AE743" i="3" s="1"/>
  <c r="F743" i="3" l="1"/>
  <c r="I743" i="3"/>
  <c r="J743" i="3"/>
  <c r="AD743" i="3" s="1"/>
  <c r="M743" i="3"/>
  <c r="N743" i="3" s="1"/>
  <c r="V743" i="3"/>
  <c r="A744" i="3"/>
  <c r="B744" i="3" s="1"/>
  <c r="W743" i="3" l="1"/>
  <c r="L743" i="3"/>
  <c r="AA744" i="3"/>
  <c r="P744" i="3"/>
  <c r="Q744" i="3" s="1"/>
  <c r="R744" i="3" s="1"/>
  <c r="S744" i="3" s="1"/>
  <c r="AC744" i="3"/>
  <c r="Z744" i="3"/>
  <c r="U743" i="3" l="1"/>
  <c r="Y742" i="3"/>
  <c r="T744" i="3"/>
  <c r="AG744" i="3" s="1"/>
  <c r="E744" i="3" l="1"/>
  <c r="H744" i="3" s="1"/>
  <c r="K744" i="3" s="1"/>
  <c r="AE744" i="3" s="1"/>
  <c r="D744" i="3"/>
  <c r="AH744" i="3"/>
  <c r="F744" i="3" l="1"/>
  <c r="G744" i="3"/>
  <c r="I744" i="3" s="1"/>
  <c r="V744" i="3"/>
  <c r="A745" i="3"/>
  <c r="B745" i="3" s="1"/>
  <c r="J744" i="3" l="1"/>
  <c r="M744" i="3"/>
  <c r="N744" i="3" s="1"/>
  <c r="W744" i="3"/>
  <c r="P745" i="3"/>
  <c r="Q745" i="3" s="1"/>
  <c r="R745" i="3" s="1"/>
  <c r="S745" i="3" s="1"/>
  <c r="AA745" i="3"/>
  <c r="AC745" i="3"/>
  <c r="Z745" i="3"/>
  <c r="L744" i="3" l="1"/>
  <c r="U744" i="3" s="1"/>
  <c r="AD744" i="3"/>
  <c r="T745" i="3"/>
  <c r="Y743" i="3" l="1"/>
  <c r="AG745" i="3"/>
  <c r="E745" i="3"/>
  <c r="H745" i="3" s="1"/>
  <c r="K745" i="3" s="1"/>
  <c r="AE745" i="3" s="1"/>
  <c r="D745" i="3"/>
  <c r="AH745" i="3"/>
  <c r="F745" i="3" l="1"/>
  <c r="G745" i="3"/>
  <c r="M745" i="3" s="1"/>
  <c r="N745" i="3" s="1"/>
  <c r="V745" i="3"/>
  <c r="A746" i="3"/>
  <c r="B746" i="3" s="1"/>
  <c r="I745" i="3" l="1"/>
  <c r="W745" i="3" s="1"/>
  <c r="J745" i="3"/>
  <c r="Z746" i="3"/>
  <c r="P746" i="3"/>
  <c r="Q746" i="3" s="1"/>
  <c r="R746" i="3" s="1"/>
  <c r="S746" i="3" s="1"/>
  <c r="AA746" i="3"/>
  <c r="AC746" i="3"/>
  <c r="L745" i="3" l="1"/>
  <c r="U745" i="3" s="1"/>
  <c r="AD745" i="3"/>
  <c r="T746" i="3"/>
  <c r="Y744" i="3" l="1"/>
  <c r="D746" i="3"/>
  <c r="G746" i="3" s="1"/>
  <c r="AG746" i="3"/>
  <c r="E746" i="3"/>
  <c r="H746" i="3" s="1"/>
  <c r="AH746" i="3"/>
  <c r="F746" i="3" l="1"/>
  <c r="I746" i="3"/>
  <c r="J746" i="3"/>
  <c r="AD746" i="3" s="1"/>
  <c r="M746" i="3"/>
  <c r="N746" i="3" s="1"/>
  <c r="K746" i="3"/>
  <c r="AE746" i="3" s="1"/>
  <c r="V746" i="3" l="1"/>
  <c r="W746" i="3" s="1"/>
  <c r="A747" i="3"/>
  <c r="B747" i="3" s="1"/>
  <c r="L746" i="3"/>
  <c r="U746" i="3" l="1"/>
  <c r="Y745" i="3"/>
  <c r="AA747" i="3"/>
  <c r="Z747" i="3"/>
  <c r="AC747" i="3"/>
  <c r="P747" i="3"/>
  <c r="Q747" i="3" s="1"/>
  <c r="R747" i="3" s="1"/>
  <c r="S747" i="3" s="1"/>
  <c r="T747" i="3" l="1"/>
  <c r="D747" i="3" s="1"/>
  <c r="AG747" i="3" l="1"/>
  <c r="E747" i="3"/>
  <c r="H747" i="3" s="1"/>
  <c r="K747" i="3" s="1"/>
  <c r="AE747" i="3" s="1"/>
  <c r="AH747" i="3"/>
  <c r="G747" i="3"/>
  <c r="F747" i="3" l="1"/>
  <c r="I747" i="3"/>
  <c r="J747" i="3"/>
  <c r="AD747" i="3" s="1"/>
  <c r="M747" i="3"/>
  <c r="N747" i="3" s="1"/>
  <c r="V747" i="3"/>
  <c r="A748" i="3"/>
  <c r="B748" i="3" s="1"/>
  <c r="W747" i="3" l="1"/>
  <c r="L747" i="3"/>
  <c r="AC748" i="3"/>
  <c r="P748" i="3"/>
  <c r="Q748" i="3" s="1"/>
  <c r="R748" i="3" s="1"/>
  <c r="S748" i="3" s="1"/>
  <c r="Z748" i="3"/>
  <c r="AA748" i="3"/>
  <c r="U747" i="3" l="1"/>
  <c r="Y746" i="3"/>
  <c r="T748" i="3"/>
  <c r="E748" i="3" l="1"/>
  <c r="H748" i="3" s="1"/>
  <c r="K748" i="3" s="1"/>
  <c r="AE748" i="3" s="1"/>
  <c r="D748" i="3"/>
  <c r="AH748" i="3"/>
  <c r="AG748" i="3"/>
  <c r="V748" i="3" l="1"/>
  <c r="A749" i="3"/>
  <c r="B749" i="3" s="1"/>
  <c r="F748" i="3"/>
  <c r="G748" i="3"/>
  <c r="I748" i="3" l="1"/>
  <c r="W748" i="3" s="1"/>
  <c r="J748" i="3"/>
  <c r="AD748" i="3" s="1"/>
  <c r="M748" i="3"/>
  <c r="N748" i="3" s="1"/>
  <c r="AA749" i="3"/>
  <c r="Z749" i="3"/>
  <c r="P749" i="3"/>
  <c r="Q749" i="3" s="1"/>
  <c r="R749" i="3" s="1"/>
  <c r="S749" i="3" s="1"/>
  <c r="AC749" i="3"/>
  <c r="T749" i="3" l="1"/>
  <c r="L748" i="3"/>
  <c r="U748" i="3" l="1"/>
  <c r="E749" i="3" s="1"/>
  <c r="H749" i="3" s="1"/>
  <c r="AG749" i="3"/>
  <c r="AH749" i="3"/>
  <c r="Y747" i="3"/>
  <c r="K749" i="3" l="1"/>
  <c r="AE749" i="3" s="1"/>
  <c r="D749" i="3"/>
  <c r="V749" i="3" l="1"/>
  <c r="A750" i="3"/>
  <c r="B750" i="3" s="1"/>
  <c r="F749" i="3"/>
  <c r="G749" i="3"/>
  <c r="I749" i="3" l="1"/>
  <c r="W749" i="3" s="1"/>
  <c r="J749" i="3"/>
  <c r="AD749" i="3" s="1"/>
  <c r="M749" i="3"/>
  <c r="N749" i="3" s="1"/>
  <c r="AA750" i="3"/>
  <c r="AC750" i="3"/>
  <c r="Z750" i="3"/>
  <c r="P750" i="3"/>
  <c r="Q750" i="3" s="1"/>
  <c r="R750" i="3" s="1"/>
  <c r="S750" i="3" s="1"/>
  <c r="T750" i="3" l="1"/>
  <c r="L749" i="3"/>
  <c r="AH750" i="3" l="1"/>
  <c r="AG750" i="3"/>
  <c r="U749" i="3"/>
  <c r="D750" i="3" s="1"/>
  <c r="Y748" i="3"/>
  <c r="G750" i="3" l="1"/>
  <c r="E750" i="3"/>
  <c r="H750" i="3" s="1"/>
  <c r="F750" i="3" l="1"/>
  <c r="I750" i="3"/>
  <c r="J750" i="3"/>
  <c r="AD750" i="3" s="1"/>
  <c r="M750" i="3"/>
  <c r="N750" i="3" s="1"/>
  <c r="K750" i="3"/>
  <c r="AE750" i="3" s="1"/>
  <c r="V750" i="3" l="1"/>
  <c r="W750" i="3" s="1"/>
  <c r="A751" i="3"/>
  <c r="B751" i="3" s="1"/>
  <c r="L750" i="3"/>
  <c r="U750" i="3" l="1"/>
  <c r="Y749" i="3"/>
  <c r="P751" i="3"/>
  <c r="Q751" i="3" s="1"/>
  <c r="R751" i="3" s="1"/>
  <c r="S751" i="3" s="1"/>
  <c r="Z751" i="3"/>
  <c r="AA751" i="3"/>
  <c r="AC751" i="3"/>
  <c r="T751" i="3" l="1"/>
  <c r="AH751" i="3" s="1"/>
  <c r="E751" i="3" l="1"/>
  <c r="H751" i="3" s="1"/>
  <c r="K751" i="3" s="1"/>
  <c r="AE751" i="3" s="1"/>
  <c r="AG751" i="3"/>
  <c r="D751" i="3"/>
  <c r="F751" i="3" l="1"/>
  <c r="G751" i="3"/>
  <c r="V751" i="3"/>
  <c r="A752" i="3"/>
  <c r="B752" i="3" s="1"/>
  <c r="AA752" i="3" l="1"/>
  <c r="Z752" i="3"/>
  <c r="AC752" i="3"/>
  <c r="P752" i="3"/>
  <c r="Q752" i="3" s="1"/>
  <c r="R752" i="3" s="1"/>
  <c r="S752" i="3" s="1"/>
  <c r="I751" i="3"/>
  <c r="W751" i="3" s="1"/>
  <c r="J751" i="3"/>
  <c r="AD751" i="3" s="1"/>
  <c r="M751" i="3"/>
  <c r="N751" i="3" s="1"/>
  <c r="L751" i="3" l="1"/>
  <c r="T752" i="3"/>
  <c r="U751" i="3" l="1"/>
  <c r="E752" i="3" s="1"/>
  <c r="H752" i="3" s="1"/>
  <c r="AG752" i="3"/>
  <c r="AH752" i="3"/>
  <c r="Y750" i="3"/>
  <c r="K752" i="3" l="1"/>
  <c r="AE752" i="3" s="1"/>
  <c r="D752" i="3"/>
  <c r="V752" i="3" l="1"/>
  <c r="A753" i="3"/>
  <c r="B753" i="3" s="1"/>
  <c r="F752" i="3"/>
  <c r="G752" i="3"/>
  <c r="I752" i="3" l="1"/>
  <c r="W752" i="3" s="1"/>
  <c r="J752" i="3"/>
  <c r="AD752" i="3" s="1"/>
  <c r="M752" i="3"/>
  <c r="N752" i="3" s="1"/>
  <c r="AA753" i="3"/>
  <c r="Z753" i="3"/>
  <c r="P753" i="3"/>
  <c r="Q753" i="3" s="1"/>
  <c r="R753" i="3" s="1"/>
  <c r="S753" i="3" s="1"/>
  <c r="AC753" i="3"/>
  <c r="T753" i="3" l="1"/>
  <c r="L752" i="3"/>
  <c r="AG753" i="3" l="1"/>
  <c r="U752" i="3"/>
  <c r="E753" i="3" s="1"/>
  <c r="H753" i="3" s="1"/>
  <c r="AH753" i="3"/>
  <c r="Y751" i="3"/>
  <c r="K753" i="3" l="1"/>
  <c r="AE753" i="3" s="1"/>
  <c r="D753" i="3"/>
  <c r="V753" i="3" l="1"/>
  <c r="A754" i="3"/>
  <c r="B754" i="3" s="1"/>
  <c r="F753" i="3"/>
  <c r="G753" i="3"/>
  <c r="I753" i="3" l="1"/>
  <c r="W753" i="3" s="1"/>
  <c r="J753" i="3"/>
  <c r="AD753" i="3" s="1"/>
  <c r="M753" i="3"/>
  <c r="N753" i="3" s="1"/>
  <c r="AC754" i="3"/>
  <c r="P754" i="3"/>
  <c r="Q754" i="3" s="1"/>
  <c r="R754" i="3" s="1"/>
  <c r="S754" i="3" s="1"/>
  <c r="Z754" i="3"/>
  <c r="AA754" i="3"/>
  <c r="T754" i="3" l="1"/>
  <c r="L753" i="3"/>
  <c r="AG754" i="3" l="1"/>
  <c r="AH754" i="3"/>
  <c r="U753" i="3"/>
  <c r="E754" i="3" s="1"/>
  <c r="H754" i="3" s="1"/>
  <c r="Y752" i="3"/>
  <c r="D754" i="3" l="1"/>
  <c r="G754" i="3" s="1"/>
  <c r="K754" i="3"/>
  <c r="AE754" i="3" s="1"/>
  <c r="F754" i="3" l="1"/>
  <c r="I754" i="3"/>
  <c r="J754" i="3"/>
  <c r="AD754" i="3" s="1"/>
  <c r="M754" i="3"/>
  <c r="N754" i="3" s="1"/>
  <c r="V754" i="3"/>
  <c r="A755" i="3"/>
  <c r="B755" i="3" s="1"/>
  <c r="W754" i="3" l="1"/>
  <c r="L754" i="3"/>
  <c r="AC755" i="3"/>
  <c r="AA755" i="3"/>
  <c r="P755" i="3"/>
  <c r="Q755" i="3" s="1"/>
  <c r="R755" i="3" s="1"/>
  <c r="S755" i="3" s="1"/>
  <c r="Z755" i="3"/>
  <c r="T755" i="3" l="1"/>
  <c r="U754" i="3"/>
  <c r="Y753" i="3"/>
  <c r="E755" i="3" l="1"/>
  <c r="H755" i="3" s="1"/>
  <c r="K755" i="3" s="1"/>
  <c r="AE755" i="3" s="1"/>
  <c r="AH755" i="3"/>
  <c r="AG755" i="3"/>
  <c r="D755" i="3"/>
  <c r="F755" i="3" l="1"/>
  <c r="G755" i="3"/>
  <c r="V755" i="3"/>
  <c r="A756" i="3"/>
  <c r="B756" i="3" s="1"/>
  <c r="P756" i="3" l="1"/>
  <c r="Q756" i="3" s="1"/>
  <c r="R756" i="3" s="1"/>
  <c r="S756" i="3" s="1"/>
  <c r="Z756" i="3"/>
  <c r="AA756" i="3"/>
  <c r="AC756" i="3"/>
  <c r="I755" i="3"/>
  <c r="W755" i="3" s="1"/>
  <c r="J755" i="3"/>
  <c r="AD755" i="3" s="1"/>
  <c r="M755" i="3"/>
  <c r="N755" i="3" s="1"/>
  <c r="T756" i="3" l="1"/>
  <c r="L755" i="3"/>
  <c r="AG756" i="3" l="1"/>
  <c r="U755" i="3"/>
  <c r="E756" i="3" s="1"/>
  <c r="H756" i="3" s="1"/>
  <c r="AH756" i="3"/>
  <c r="Y754" i="3"/>
  <c r="D756" i="3" l="1"/>
  <c r="F756" i="3" s="1"/>
  <c r="K756" i="3"/>
  <c r="AE756" i="3" s="1"/>
  <c r="G756" i="3" l="1"/>
  <c r="M756" i="3" s="1"/>
  <c r="N756" i="3" s="1"/>
  <c r="V756" i="3"/>
  <c r="A757" i="3"/>
  <c r="B757" i="3" s="1"/>
  <c r="I756" i="3" l="1"/>
  <c r="W756" i="3" s="1"/>
  <c r="J756" i="3"/>
  <c r="AC757" i="3"/>
  <c r="P757" i="3"/>
  <c r="Q757" i="3" s="1"/>
  <c r="R757" i="3" s="1"/>
  <c r="S757" i="3" s="1"/>
  <c r="Z757" i="3"/>
  <c r="AA757" i="3"/>
  <c r="L756" i="3" l="1"/>
  <c r="U756" i="3" s="1"/>
  <c r="AD756" i="3"/>
  <c r="T757" i="3"/>
  <c r="Y755" i="3" l="1"/>
  <c r="E757" i="3"/>
  <c r="H757" i="3" s="1"/>
  <c r="K757" i="3" s="1"/>
  <c r="AE757" i="3" s="1"/>
  <c r="AH757" i="3"/>
  <c r="D757" i="3"/>
  <c r="AG757" i="3"/>
  <c r="V757" i="3" l="1"/>
  <c r="A758" i="3"/>
  <c r="B758" i="3" s="1"/>
  <c r="F757" i="3"/>
  <c r="G757" i="3"/>
  <c r="I757" i="3" l="1"/>
  <c r="W757" i="3" s="1"/>
  <c r="J757" i="3"/>
  <c r="AD757" i="3" s="1"/>
  <c r="M757" i="3"/>
  <c r="N757" i="3" s="1"/>
  <c r="AA758" i="3"/>
  <c r="Z758" i="3"/>
  <c r="AC758" i="3"/>
  <c r="P758" i="3"/>
  <c r="Q758" i="3" s="1"/>
  <c r="R758" i="3" s="1"/>
  <c r="S758" i="3" s="1"/>
  <c r="T758" i="3" l="1"/>
  <c r="L757" i="3"/>
  <c r="AG758" i="3" l="1"/>
  <c r="U757" i="3"/>
  <c r="D758" i="3" s="1"/>
  <c r="AH758" i="3"/>
  <c r="Y756" i="3"/>
  <c r="E758" i="3" l="1"/>
  <c r="H758" i="3" s="1"/>
  <c r="K758" i="3" s="1"/>
  <c r="AE758" i="3" s="1"/>
  <c r="G758" i="3"/>
  <c r="F758" i="3" l="1"/>
  <c r="V758" i="3"/>
  <c r="A759" i="3"/>
  <c r="B759" i="3" s="1"/>
  <c r="I758" i="3"/>
  <c r="J758" i="3"/>
  <c r="AD758" i="3" s="1"/>
  <c r="M758" i="3"/>
  <c r="N758" i="3" s="1"/>
  <c r="L758" i="3" l="1"/>
  <c r="W758" i="3"/>
  <c r="P759" i="3"/>
  <c r="Q759" i="3" s="1"/>
  <c r="R759" i="3" s="1"/>
  <c r="S759" i="3" s="1"/>
  <c r="Z759" i="3"/>
  <c r="AA759" i="3"/>
  <c r="AC759" i="3"/>
  <c r="U758" i="3" l="1"/>
  <c r="Y757" i="3"/>
  <c r="T759" i="3"/>
  <c r="D759" i="3" l="1"/>
  <c r="G759" i="3" s="1"/>
  <c r="AG759" i="3"/>
  <c r="E759" i="3"/>
  <c r="H759" i="3" s="1"/>
  <c r="AH759" i="3"/>
  <c r="F759" i="3" l="1"/>
  <c r="I759" i="3"/>
  <c r="J759" i="3"/>
  <c r="AD759" i="3" s="1"/>
  <c r="M759" i="3"/>
  <c r="N759" i="3" s="1"/>
  <c r="K759" i="3"/>
  <c r="AE759" i="3" s="1"/>
  <c r="V759" i="3" l="1"/>
  <c r="W759" i="3" s="1"/>
  <c r="A760" i="3"/>
  <c r="B760" i="3" s="1"/>
  <c r="L759" i="3"/>
  <c r="U759" i="3" l="1"/>
  <c r="Y758" i="3"/>
  <c r="AA760" i="3"/>
  <c r="AC760" i="3"/>
  <c r="Z760" i="3"/>
  <c r="P760" i="3"/>
  <c r="Q760" i="3" s="1"/>
  <c r="R760" i="3" s="1"/>
  <c r="S760" i="3" s="1"/>
  <c r="T760" i="3" l="1"/>
  <c r="E760" i="3" s="1"/>
  <c r="H760" i="3" s="1"/>
  <c r="AH760" i="3" l="1"/>
  <c r="AG760" i="3"/>
  <c r="D760" i="3"/>
  <c r="G760" i="3" s="1"/>
  <c r="K760" i="3"/>
  <c r="AE760" i="3" s="1"/>
  <c r="F760" i="3" l="1"/>
  <c r="I760" i="3"/>
  <c r="J760" i="3"/>
  <c r="AD760" i="3" s="1"/>
  <c r="M760" i="3"/>
  <c r="N760" i="3" s="1"/>
  <c r="V760" i="3"/>
  <c r="A761" i="3"/>
  <c r="B761" i="3" s="1"/>
  <c r="W760" i="3" l="1"/>
  <c r="L760" i="3"/>
  <c r="P761" i="3"/>
  <c r="Q761" i="3" s="1"/>
  <c r="R761" i="3" s="1"/>
  <c r="S761" i="3" s="1"/>
  <c r="Z761" i="3"/>
  <c r="AA761" i="3"/>
  <c r="AC761" i="3"/>
  <c r="T761" i="3" l="1"/>
  <c r="U760" i="3"/>
  <c r="Y759" i="3"/>
  <c r="D761" i="3" l="1"/>
  <c r="G761" i="3" s="1"/>
  <c r="AG761" i="3"/>
  <c r="AH761" i="3"/>
  <c r="E761" i="3"/>
  <c r="H761" i="3" s="1"/>
  <c r="F761" i="3" l="1"/>
  <c r="I761" i="3"/>
  <c r="J761" i="3"/>
  <c r="AD761" i="3" s="1"/>
  <c r="M761" i="3"/>
  <c r="N761" i="3" s="1"/>
  <c r="K761" i="3"/>
  <c r="AE761" i="3" s="1"/>
  <c r="V761" i="3" l="1"/>
  <c r="W761" i="3" s="1"/>
  <c r="A762" i="3"/>
  <c r="B762" i="3" s="1"/>
  <c r="L761" i="3"/>
  <c r="U761" i="3" l="1"/>
  <c r="Y760" i="3"/>
  <c r="AA762" i="3"/>
  <c r="Z762" i="3"/>
  <c r="AC762" i="3"/>
  <c r="P762" i="3"/>
  <c r="Q762" i="3" s="1"/>
  <c r="R762" i="3" s="1"/>
  <c r="S762" i="3" s="1"/>
  <c r="T762" i="3" l="1"/>
  <c r="D762" i="3" s="1"/>
  <c r="E762" i="3" l="1"/>
  <c r="H762" i="3" s="1"/>
  <c r="K762" i="3" s="1"/>
  <c r="AE762" i="3" s="1"/>
  <c r="AH762" i="3"/>
  <c r="AG762" i="3"/>
  <c r="G762" i="3"/>
  <c r="F762" i="3" l="1"/>
  <c r="I762" i="3"/>
  <c r="J762" i="3"/>
  <c r="AD762" i="3" s="1"/>
  <c r="M762" i="3"/>
  <c r="N762" i="3" s="1"/>
  <c r="V762" i="3"/>
  <c r="A763" i="3"/>
  <c r="B763" i="3" s="1"/>
  <c r="W762" i="3" l="1"/>
  <c r="L762" i="3"/>
  <c r="AC763" i="3"/>
  <c r="Z763" i="3"/>
  <c r="AA763" i="3"/>
  <c r="P763" i="3"/>
  <c r="Q763" i="3" s="1"/>
  <c r="R763" i="3" s="1"/>
  <c r="S763" i="3" s="1"/>
  <c r="U762" i="3" l="1"/>
  <c r="Y761" i="3"/>
  <c r="T763" i="3"/>
  <c r="D763" i="3" l="1"/>
  <c r="G763" i="3" s="1"/>
  <c r="AG763" i="3"/>
  <c r="AH763" i="3"/>
  <c r="E763" i="3"/>
  <c r="H763" i="3" s="1"/>
  <c r="K763" i="3" s="1"/>
  <c r="AE763" i="3" s="1"/>
  <c r="F763" i="3" l="1"/>
  <c r="I763" i="3"/>
  <c r="J763" i="3"/>
  <c r="AD763" i="3" s="1"/>
  <c r="M763" i="3"/>
  <c r="N763" i="3" s="1"/>
  <c r="V763" i="3"/>
  <c r="A764" i="3"/>
  <c r="B764" i="3" s="1"/>
  <c r="W763" i="3" l="1"/>
  <c r="L763" i="3"/>
  <c r="Z764" i="3"/>
  <c r="P764" i="3"/>
  <c r="Q764" i="3" s="1"/>
  <c r="R764" i="3" s="1"/>
  <c r="S764" i="3" s="1"/>
  <c r="AC764" i="3"/>
  <c r="AA764" i="3"/>
  <c r="U763" i="3" l="1"/>
  <c r="Y762" i="3"/>
  <c r="T764" i="3"/>
  <c r="E764" i="3" l="1"/>
  <c r="H764" i="3" s="1"/>
  <c r="K764" i="3" s="1"/>
  <c r="AE764" i="3" s="1"/>
  <c r="AG764" i="3"/>
  <c r="D764" i="3"/>
  <c r="AH764" i="3"/>
  <c r="F764" i="3" l="1"/>
  <c r="G764" i="3"/>
  <c r="V764" i="3"/>
  <c r="A765" i="3"/>
  <c r="B765" i="3" s="1"/>
  <c r="P765" i="3" l="1"/>
  <c r="Q765" i="3" s="1"/>
  <c r="R765" i="3" s="1"/>
  <c r="S765" i="3" s="1"/>
  <c r="Z765" i="3"/>
  <c r="AA765" i="3"/>
  <c r="AC765" i="3"/>
  <c r="I764" i="3"/>
  <c r="W764" i="3" s="1"/>
  <c r="J764" i="3"/>
  <c r="AD764" i="3" s="1"/>
  <c r="M764" i="3"/>
  <c r="N764" i="3" s="1"/>
  <c r="T765" i="3" l="1"/>
  <c r="L764" i="3"/>
  <c r="AG765" i="3" l="1"/>
  <c r="AH765" i="3"/>
  <c r="U764" i="3"/>
  <c r="D765" i="3" s="1"/>
  <c r="Y763" i="3"/>
  <c r="E765" i="3" l="1"/>
  <c r="H765" i="3" s="1"/>
  <c r="K765" i="3" s="1"/>
  <c r="AE765" i="3" s="1"/>
  <c r="G765" i="3"/>
  <c r="F765" i="3" l="1"/>
  <c r="I765" i="3"/>
  <c r="J765" i="3"/>
  <c r="AD765" i="3" s="1"/>
  <c r="M765" i="3"/>
  <c r="N765" i="3" s="1"/>
  <c r="V765" i="3"/>
  <c r="A766" i="3"/>
  <c r="B766" i="3" s="1"/>
  <c r="W765" i="3" l="1"/>
  <c r="L765" i="3"/>
  <c r="P766" i="3"/>
  <c r="Q766" i="3" s="1"/>
  <c r="R766" i="3" s="1"/>
  <c r="S766" i="3" s="1"/>
  <c r="AA766" i="3"/>
  <c r="Z766" i="3"/>
  <c r="AC766" i="3"/>
  <c r="U765" i="3" l="1"/>
  <c r="Y764" i="3"/>
  <c r="T766" i="3"/>
  <c r="E766" i="3" l="1"/>
  <c r="H766" i="3" s="1"/>
  <c r="K766" i="3" s="1"/>
  <c r="AE766" i="3" s="1"/>
  <c r="D766" i="3"/>
  <c r="AG766" i="3"/>
  <c r="AH766" i="3"/>
  <c r="V766" i="3" l="1"/>
  <c r="A767" i="3"/>
  <c r="B767" i="3" s="1"/>
  <c r="F766" i="3"/>
  <c r="G766" i="3"/>
  <c r="I766" i="3" l="1"/>
  <c r="W766" i="3" s="1"/>
  <c r="J766" i="3"/>
  <c r="AD766" i="3" s="1"/>
  <c r="M766" i="3"/>
  <c r="N766" i="3" s="1"/>
  <c r="P767" i="3"/>
  <c r="Q767" i="3" s="1"/>
  <c r="R767" i="3" s="1"/>
  <c r="S767" i="3" s="1"/>
  <c r="AC767" i="3"/>
  <c r="AA767" i="3"/>
  <c r="Z767" i="3"/>
  <c r="T767" i="3" l="1"/>
  <c r="L766" i="3"/>
  <c r="AH767" i="3" l="1"/>
  <c r="AG767" i="3"/>
  <c r="U766" i="3"/>
  <c r="D767" i="3" s="1"/>
  <c r="Y765" i="3"/>
  <c r="E767" i="3" l="1"/>
  <c r="H767" i="3" s="1"/>
  <c r="K767" i="3" s="1"/>
  <c r="AE767" i="3" s="1"/>
  <c r="G767" i="3"/>
  <c r="F767" i="3" l="1"/>
  <c r="I767" i="3"/>
  <c r="J767" i="3"/>
  <c r="AD767" i="3" s="1"/>
  <c r="M767" i="3"/>
  <c r="N767" i="3" s="1"/>
  <c r="V767" i="3"/>
  <c r="A768" i="3"/>
  <c r="B768" i="3" s="1"/>
  <c r="W767" i="3" l="1"/>
  <c r="L767" i="3"/>
  <c r="AC768" i="3"/>
  <c r="AA768" i="3"/>
  <c r="P768" i="3"/>
  <c r="Q768" i="3" s="1"/>
  <c r="R768" i="3" s="1"/>
  <c r="S768" i="3" s="1"/>
  <c r="Z768" i="3"/>
  <c r="T768" i="3" l="1"/>
  <c r="AG768" i="3" s="1"/>
  <c r="U767" i="3"/>
  <c r="Y766" i="3"/>
  <c r="D768" i="3" l="1"/>
  <c r="G768" i="3" s="1"/>
  <c r="AH768" i="3"/>
  <c r="E768" i="3"/>
  <c r="H768" i="3" s="1"/>
  <c r="K768" i="3" l="1"/>
  <c r="AE768" i="3" s="1"/>
  <c r="I768" i="3"/>
  <c r="J768" i="3"/>
  <c r="AD768" i="3" s="1"/>
  <c r="M768" i="3"/>
  <c r="N768" i="3" s="1"/>
  <c r="F768" i="3"/>
  <c r="L768" i="3" l="1"/>
  <c r="V768" i="3"/>
  <c r="W768" i="3" s="1"/>
  <c r="A769" i="3"/>
  <c r="B769" i="3" s="1"/>
  <c r="AC769" i="3" l="1"/>
  <c r="Z769" i="3"/>
  <c r="P769" i="3"/>
  <c r="Q769" i="3" s="1"/>
  <c r="R769" i="3" s="1"/>
  <c r="S769" i="3" s="1"/>
  <c r="AA769" i="3"/>
  <c r="U768" i="3"/>
  <c r="Y767" i="3"/>
  <c r="T769" i="3" l="1"/>
  <c r="AG769" i="3" l="1"/>
  <c r="D769" i="3"/>
  <c r="AH769" i="3"/>
  <c r="E769" i="3"/>
  <c r="H769" i="3" s="1"/>
  <c r="F769" i="3" l="1"/>
  <c r="G769" i="3"/>
  <c r="K769" i="3"/>
  <c r="AE769" i="3" s="1"/>
  <c r="V769" i="3" l="1"/>
  <c r="A770" i="3"/>
  <c r="B770" i="3" s="1"/>
  <c r="I769" i="3"/>
  <c r="J769" i="3"/>
  <c r="AD769" i="3" s="1"/>
  <c r="M769" i="3"/>
  <c r="N769" i="3" s="1"/>
  <c r="W769" i="3" l="1"/>
  <c r="L769" i="3"/>
  <c r="AC770" i="3"/>
  <c r="P770" i="3"/>
  <c r="Q770" i="3" s="1"/>
  <c r="R770" i="3" s="1"/>
  <c r="S770" i="3" s="1"/>
  <c r="Z770" i="3"/>
  <c r="AA770" i="3"/>
  <c r="U769" i="3" l="1"/>
  <c r="Y768" i="3"/>
  <c r="T770" i="3"/>
  <c r="AG770" i="3" s="1"/>
  <c r="E770" i="3" l="1"/>
  <c r="H770" i="3" s="1"/>
  <c r="K770" i="3" s="1"/>
  <c r="AE770" i="3" s="1"/>
  <c r="D770" i="3"/>
  <c r="AH770" i="3"/>
  <c r="F770" i="3" l="1"/>
  <c r="G770" i="3"/>
  <c r="M770" i="3" s="1"/>
  <c r="N770" i="3" s="1"/>
  <c r="V770" i="3"/>
  <c r="A771" i="3"/>
  <c r="B771" i="3" s="1"/>
  <c r="I770" i="3" l="1"/>
  <c r="W770" i="3" s="1"/>
  <c r="J770" i="3"/>
  <c r="AA771" i="3"/>
  <c r="AC771" i="3"/>
  <c r="P771" i="3"/>
  <c r="Q771" i="3" s="1"/>
  <c r="R771" i="3" s="1"/>
  <c r="S771" i="3" s="1"/>
  <c r="Z771" i="3"/>
  <c r="L770" i="3" l="1"/>
  <c r="U770" i="3" s="1"/>
  <c r="AD770" i="3"/>
  <c r="T771" i="3"/>
  <c r="AH771" i="3" l="1"/>
  <c r="Y769" i="3"/>
  <c r="E771" i="3"/>
  <c r="H771" i="3" s="1"/>
  <c r="AG771" i="3"/>
  <c r="D771" i="3"/>
  <c r="K771" i="3" l="1"/>
  <c r="AE771" i="3" s="1"/>
  <c r="F771" i="3"/>
  <c r="G771" i="3"/>
  <c r="V771" i="3" l="1"/>
  <c r="A772" i="3"/>
  <c r="B772" i="3" s="1"/>
  <c r="I771" i="3"/>
  <c r="J771" i="3"/>
  <c r="AD771" i="3" s="1"/>
  <c r="M771" i="3"/>
  <c r="N771" i="3" s="1"/>
  <c r="L771" i="3" l="1"/>
  <c r="W771" i="3"/>
  <c r="AA772" i="3"/>
  <c r="Z772" i="3"/>
  <c r="AC772" i="3"/>
  <c r="P772" i="3"/>
  <c r="Q772" i="3" s="1"/>
  <c r="R772" i="3" s="1"/>
  <c r="S772" i="3" s="1"/>
  <c r="U771" i="3" l="1"/>
  <c r="Y770" i="3"/>
  <c r="T772" i="3"/>
  <c r="E772" i="3" l="1"/>
  <c r="H772" i="3" s="1"/>
  <c r="K772" i="3" s="1"/>
  <c r="AE772" i="3" s="1"/>
  <c r="D772" i="3"/>
  <c r="G772" i="3" s="1"/>
  <c r="AG772" i="3"/>
  <c r="AH772" i="3"/>
  <c r="F772" i="3" l="1"/>
  <c r="V772" i="3"/>
  <c r="A773" i="3"/>
  <c r="B773" i="3" s="1"/>
  <c r="I772" i="3"/>
  <c r="J772" i="3"/>
  <c r="AD772" i="3" s="1"/>
  <c r="M772" i="3"/>
  <c r="N772" i="3" s="1"/>
  <c r="W772" i="3" l="1"/>
  <c r="L772" i="3"/>
  <c r="AA773" i="3"/>
  <c r="P773" i="3"/>
  <c r="Q773" i="3" s="1"/>
  <c r="R773" i="3" s="1"/>
  <c r="S773" i="3" s="1"/>
  <c r="Z773" i="3"/>
  <c r="AC773" i="3"/>
  <c r="U772" i="3" l="1"/>
  <c r="Y771" i="3"/>
  <c r="T773" i="3"/>
  <c r="AG773" i="3" s="1"/>
  <c r="D773" i="3" l="1"/>
  <c r="E773" i="3"/>
  <c r="H773" i="3" s="1"/>
  <c r="K773" i="3" s="1"/>
  <c r="AE773" i="3" s="1"/>
  <c r="AH773" i="3"/>
  <c r="F773" i="3" l="1"/>
  <c r="G773" i="3"/>
  <c r="M773" i="3" s="1"/>
  <c r="N773" i="3" s="1"/>
  <c r="V773" i="3"/>
  <c r="A774" i="3"/>
  <c r="B774" i="3" s="1"/>
  <c r="I773" i="3" l="1"/>
  <c r="W773" i="3" s="1"/>
  <c r="J773" i="3"/>
  <c r="AC774" i="3"/>
  <c r="P774" i="3"/>
  <c r="Q774" i="3" s="1"/>
  <c r="R774" i="3" s="1"/>
  <c r="S774" i="3" s="1"/>
  <c r="AA774" i="3"/>
  <c r="Z774" i="3"/>
  <c r="L773" i="3" l="1"/>
  <c r="Y772" i="3" s="1"/>
  <c r="AD773" i="3"/>
  <c r="T774" i="3"/>
  <c r="AG774" i="3" l="1"/>
  <c r="U773" i="3"/>
  <c r="E774" i="3" s="1"/>
  <c r="H774" i="3" s="1"/>
  <c r="K774" i="3" s="1"/>
  <c r="AE774" i="3" s="1"/>
  <c r="AH774" i="3"/>
  <c r="D774" i="3" l="1"/>
  <c r="F774" i="3" s="1"/>
  <c r="V774" i="3"/>
  <c r="A775" i="3"/>
  <c r="B775" i="3" s="1"/>
  <c r="G774" i="3" l="1"/>
  <c r="M774" i="3" s="1"/>
  <c r="N774" i="3" s="1"/>
  <c r="P775" i="3"/>
  <c r="Q775" i="3" s="1"/>
  <c r="R775" i="3" s="1"/>
  <c r="S775" i="3" s="1"/>
  <c r="Z775" i="3"/>
  <c r="AD775" i="3"/>
  <c r="AA775" i="3"/>
  <c r="AC775" i="3"/>
  <c r="J774" i="3" l="1"/>
  <c r="L774" i="3" s="1"/>
  <c r="Y773" i="3" s="1"/>
  <c r="I774" i="3"/>
  <c r="W774" i="3" s="1"/>
  <c r="AD774" i="3"/>
  <c r="T775" i="3"/>
  <c r="U774" i="3" l="1"/>
  <c r="D775" i="3" s="1"/>
  <c r="AG775" i="3"/>
  <c r="AH775" i="3"/>
  <c r="E775" i="3" l="1"/>
  <c r="H775" i="3" s="1"/>
  <c r="K775" i="3" s="1"/>
  <c r="AE775" i="3" s="1"/>
  <c r="G775" i="3"/>
  <c r="M775" i="3" l="1"/>
  <c r="N775" i="3" s="1"/>
  <c r="A776" i="3"/>
  <c r="B776" i="3" s="1"/>
  <c r="AD776" i="3" s="1"/>
  <c r="V775" i="3"/>
  <c r="F775" i="3"/>
  <c r="I775" i="3"/>
  <c r="J775" i="3"/>
  <c r="L775" i="3" s="1"/>
  <c r="W775" i="3" l="1"/>
  <c r="P776" i="3"/>
  <c r="Q776" i="3" s="1"/>
  <c r="R776" i="3" s="1"/>
  <c r="S776" i="3" s="1"/>
  <c r="T776" i="3" s="1"/>
  <c r="AA776" i="3"/>
  <c r="AC776" i="3"/>
  <c r="Z776" i="3"/>
  <c r="U775" i="3"/>
  <c r="Y774" i="3"/>
  <c r="AG776" i="3" l="1"/>
  <c r="AH776" i="3"/>
  <c r="E776" i="3"/>
  <c r="H776" i="3" s="1"/>
  <c r="K776" i="3" s="1"/>
  <c r="AE776" i="3" s="1"/>
  <c r="D776" i="3"/>
  <c r="G776" i="3" s="1"/>
  <c r="F776" i="3" l="1"/>
  <c r="I776" i="3"/>
  <c r="J776" i="3"/>
  <c r="M776" i="3"/>
  <c r="N776" i="3" s="1"/>
  <c r="V776" i="3"/>
  <c r="A777" i="3"/>
  <c r="B777" i="3" s="1"/>
  <c r="W776" i="3" l="1"/>
  <c r="L776" i="3"/>
  <c r="Z777" i="3"/>
  <c r="AA777" i="3"/>
  <c r="P777" i="3"/>
  <c r="Q777" i="3" s="1"/>
  <c r="R777" i="3" s="1"/>
  <c r="S777" i="3" s="1"/>
  <c r="AD777" i="3"/>
  <c r="AC777" i="3"/>
  <c r="U776" i="3" l="1"/>
  <c r="Y775" i="3"/>
  <c r="T777" i="3"/>
  <c r="AH777" i="3" s="1"/>
  <c r="E777" i="3" l="1"/>
  <c r="H777" i="3" s="1"/>
  <c r="D777" i="3"/>
  <c r="AG777" i="3"/>
  <c r="K777" i="3" l="1"/>
  <c r="AE777" i="3" s="1"/>
  <c r="F777" i="3"/>
  <c r="G777" i="3"/>
  <c r="I777" i="3" l="1"/>
  <c r="J777" i="3"/>
  <c r="M777" i="3"/>
  <c r="N777" i="3" s="1"/>
  <c r="V777" i="3"/>
  <c r="A778" i="3"/>
  <c r="B778" i="3" s="1"/>
  <c r="L777" i="3" l="1"/>
  <c r="W777" i="3"/>
  <c r="P778" i="3"/>
  <c r="Q778" i="3" s="1"/>
  <c r="R778" i="3" s="1"/>
  <c r="S778" i="3" s="1"/>
  <c r="Z778" i="3"/>
  <c r="AA778" i="3"/>
  <c r="AC778" i="3"/>
  <c r="U777" i="3" l="1"/>
  <c r="Y776" i="3"/>
  <c r="T778" i="3"/>
  <c r="AH778" i="3" s="1"/>
  <c r="E778" i="3" l="1"/>
  <c r="H778" i="3" s="1"/>
  <c r="K778" i="3" s="1"/>
  <c r="AE778" i="3" s="1"/>
  <c r="AG778" i="3"/>
  <c r="D778" i="3"/>
  <c r="G778" i="3" s="1"/>
  <c r="F778" i="3" l="1"/>
  <c r="I778" i="3"/>
  <c r="J778" i="3"/>
  <c r="AD778" i="3" s="1"/>
  <c r="M778" i="3"/>
  <c r="N778" i="3" s="1"/>
  <c r="V778" i="3"/>
  <c r="A779" i="3"/>
  <c r="B779" i="3" s="1"/>
  <c r="W778" i="3" l="1"/>
  <c r="L778" i="3"/>
  <c r="P779" i="3"/>
  <c r="Q779" i="3" s="1"/>
  <c r="R779" i="3" s="1"/>
  <c r="S779" i="3" s="1"/>
  <c r="AA779" i="3"/>
  <c r="AC779" i="3"/>
  <c r="AD779" i="3"/>
  <c r="Z779" i="3"/>
  <c r="U778" i="3" l="1"/>
  <c r="Y777" i="3"/>
  <c r="T779" i="3"/>
  <c r="E779" i="3" l="1"/>
  <c r="H779" i="3" s="1"/>
  <c r="K779" i="3" s="1"/>
  <c r="AE779" i="3" s="1"/>
  <c r="AG779" i="3"/>
  <c r="AH779" i="3"/>
  <c r="D779" i="3"/>
  <c r="G779" i="3" s="1"/>
  <c r="F779" i="3" l="1"/>
  <c r="I779" i="3"/>
  <c r="J779" i="3"/>
  <c r="M779" i="3"/>
  <c r="N779" i="3" s="1"/>
  <c r="V779" i="3"/>
  <c r="A780" i="3"/>
  <c r="B780" i="3" s="1"/>
  <c r="W779" i="3" l="1"/>
  <c r="L779" i="3"/>
  <c r="P780" i="3"/>
  <c r="Q780" i="3" s="1"/>
  <c r="R780" i="3" s="1"/>
  <c r="S780" i="3" s="1"/>
  <c r="AD780" i="3"/>
  <c r="AA780" i="3"/>
  <c r="Z780" i="3"/>
  <c r="AC780" i="3"/>
  <c r="U779" i="3" l="1"/>
  <c r="Y778" i="3"/>
  <c r="T780" i="3"/>
  <c r="D780" i="3" l="1"/>
  <c r="G780" i="3" s="1"/>
  <c r="AH780" i="3"/>
  <c r="E780" i="3"/>
  <c r="H780" i="3" s="1"/>
  <c r="K780" i="3" s="1"/>
  <c r="AE780" i="3" s="1"/>
  <c r="AG780" i="3"/>
  <c r="F780" i="3" l="1"/>
  <c r="I780" i="3"/>
  <c r="J780" i="3"/>
  <c r="M780" i="3"/>
  <c r="N780" i="3" s="1"/>
  <c r="V780" i="3"/>
  <c r="A781" i="3"/>
  <c r="B781" i="3" s="1"/>
  <c r="W780" i="3" l="1"/>
  <c r="L780" i="3"/>
  <c r="P781" i="3"/>
  <c r="Q781" i="3" s="1"/>
  <c r="R781" i="3" s="1"/>
  <c r="S781" i="3" s="1"/>
  <c r="AD781" i="3"/>
  <c r="Z781" i="3"/>
  <c r="AA781" i="3"/>
  <c r="AC781" i="3"/>
  <c r="T781" i="3" l="1"/>
  <c r="U780" i="3"/>
  <c r="Y779" i="3"/>
  <c r="E781" i="3" l="1"/>
  <c r="H781" i="3" s="1"/>
  <c r="K781" i="3" s="1"/>
  <c r="AE781" i="3" s="1"/>
  <c r="AG781" i="3"/>
  <c r="AH781" i="3"/>
  <c r="D781" i="3"/>
  <c r="F781" i="3" l="1"/>
  <c r="G781" i="3"/>
  <c r="V781" i="3"/>
  <c r="A782" i="3"/>
  <c r="B782" i="3" s="1"/>
  <c r="P782" i="3" l="1"/>
  <c r="Q782" i="3" s="1"/>
  <c r="R782" i="3" s="1"/>
  <c r="S782" i="3" s="1"/>
  <c r="AC782" i="3"/>
  <c r="AD782" i="3"/>
  <c r="AA782" i="3"/>
  <c r="Z782" i="3"/>
  <c r="I781" i="3"/>
  <c r="W781" i="3" s="1"/>
  <c r="J781" i="3"/>
  <c r="M781" i="3"/>
  <c r="N781" i="3" s="1"/>
  <c r="T782" i="3" l="1"/>
  <c r="L781" i="3"/>
  <c r="U781" i="3" l="1"/>
  <c r="D782" i="3" s="1"/>
  <c r="AH782" i="3"/>
  <c r="AG782" i="3"/>
  <c r="Y780" i="3"/>
  <c r="E782" i="3" l="1"/>
  <c r="H782" i="3" s="1"/>
  <c r="K782" i="3" s="1"/>
  <c r="AE782" i="3" s="1"/>
  <c r="G782" i="3"/>
  <c r="F782" i="3" l="1"/>
  <c r="I782" i="3"/>
  <c r="J782" i="3"/>
  <c r="M782" i="3"/>
  <c r="N782" i="3" s="1"/>
  <c r="V782" i="3"/>
  <c r="A783" i="3"/>
  <c r="B783" i="3" s="1"/>
  <c r="W782" i="3" l="1"/>
  <c r="L782" i="3"/>
  <c r="AA783" i="3"/>
  <c r="Z783" i="3"/>
  <c r="P783" i="3"/>
  <c r="Q783" i="3" s="1"/>
  <c r="R783" i="3" s="1"/>
  <c r="S783" i="3" s="1"/>
  <c r="AD783" i="3"/>
  <c r="AC783" i="3"/>
  <c r="U782" i="3" l="1"/>
  <c r="Y781" i="3"/>
  <c r="T783" i="3"/>
  <c r="AH783" i="3" s="1"/>
  <c r="AG783" i="3" l="1"/>
  <c r="D783" i="3"/>
  <c r="G783" i="3" s="1"/>
  <c r="E783" i="3"/>
  <c r="H783" i="3" s="1"/>
  <c r="K783" i="3" s="1"/>
  <c r="AE783" i="3" s="1"/>
  <c r="F783" i="3" l="1"/>
  <c r="I783" i="3"/>
  <c r="J783" i="3"/>
  <c r="M783" i="3"/>
  <c r="N783" i="3" s="1"/>
  <c r="V783" i="3"/>
  <c r="A784" i="3"/>
  <c r="B784" i="3" s="1"/>
  <c r="W783" i="3" l="1"/>
  <c r="L783" i="3"/>
  <c r="AC784" i="3"/>
  <c r="Z784" i="3"/>
  <c r="P784" i="3"/>
  <c r="Q784" i="3" s="1"/>
  <c r="R784" i="3" s="1"/>
  <c r="S784" i="3" s="1"/>
  <c r="AA784" i="3"/>
  <c r="T784" i="3" l="1"/>
  <c r="AG784" i="3" s="1"/>
  <c r="U783" i="3"/>
  <c r="Y782" i="3"/>
  <c r="E784" i="3" l="1"/>
  <c r="H784" i="3" s="1"/>
  <c r="AH784" i="3"/>
  <c r="D784" i="3"/>
  <c r="K784" i="3" l="1"/>
  <c r="AE784" i="3" s="1"/>
  <c r="F784" i="3"/>
  <c r="G784" i="3"/>
  <c r="V784" i="3" l="1"/>
  <c r="A785" i="3"/>
  <c r="B785" i="3" s="1"/>
  <c r="I784" i="3"/>
  <c r="J784" i="3"/>
  <c r="AD784" i="3" s="1"/>
  <c r="M784" i="3"/>
  <c r="N784" i="3" s="1"/>
  <c r="W784" i="3" l="1"/>
  <c r="L784" i="3"/>
  <c r="AA785" i="3"/>
  <c r="P785" i="3"/>
  <c r="Q785" i="3" s="1"/>
  <c r="R785" i="3" s="1"/>
  <c r="S785" i="3" s="1"/>
  <c r="AC785" i="3"/>
  <c r="Z785" i="3"/>
  <c r="U784" i="3" l="1"/>
  <c r="Y783" i="3"/>
  <c r="T785" i="3"/>
  <c r="AH785" i="3" s="1"/>
  <c r="E785" i="3" l="1"/>
  <c r="H785" i="3" s="1"/>
  <c r="AG785" i="3"/>
  <c r="D785" i="3"/>
  <c r="K785" i="3" l="1"/>
  <c r="AE785" i="3" s="1"/>
  <c r="F785" i="3"/>
  <c r="G785" i="3"/>
  <c r="I785" i="3" l="1"/>
  <c r="J785" i="3"/>
  <c r="AD785" i="3" s="1"/>
  <c r="M785" i="3"/>
  <c r="N785" i="3" s="1"/>
  <c r="V785" i="3"/>
  <c r="A786" i="3"/>
  <c r="B786" i="3" s="1"/>
  <c r="W785" i="3" l="1"/>
  <c r="L785" i="3"/>
  <c r="Z786" i="3"/>
  <c r="AA786" i="3"/>
  <c r="P786" i="3"/>
  <c r="Q786" i="3" s="1"/>
  <c r="R786" i="3" s="1"/>
  <c r="S786" i="3" s="1"/>
  <c r="AC786" i="3"/>
  <c r="U785" i="3" l="1"/>
  <c r="Y784" i="3"/>
  <c r="T786" i="3"/>
  <c r="E786" i="3" l="1"/>
  <c r="H786" i="3" s="1"/>
  <c r="K786" i="3" s="1"/>
  <c r="AE786" i="3" s="1"/>
  <c r="AG786" i="3"/>
  <c r="D786" i="3"/>
  <c r="G786" i="3" s="1"/>
  <c r="AH786" i="3"/>
  <c r="F786" i="3" l="1"/>
  <c r="I786" i="3"/>
  <c r="J786" i="3"/>
  <c r="AD786" i="3" s="1"/>
  <c r="M786" i="3"/>
  <c r="N786" i="3" s="1"/>
  <c r="V786" i="3"/>
  <c r="A787" i="3"/>
  <c r="B787" i="3" s="1"/>
  <c r="L786" i="3" l="1"/>
  <c r="W786" i="3"/>
  <c r="AC787" i="3"/>
  <c r="P787" i="3"/>
  <c r="Q787" i="3" s="1"/>
  <c r="R787" i="3" s="1"/>
  <c r="S787" i="3" s="1"/>
  <c r="Z787" i="3"/>
  <c r="AA787" i="3"/>
  <c r="U786" i="3" l="1"/>
  <c r="Y785" i="3"/>
  <c r="T787" i="3"/>
  <c r="D787" i="3" l="1"/>
  <c r="G787" i="3" s="1"/>
  <c r="AH787" i="3"/>
  <c r="E787" i="3"/>
  <c r="H787" i="3" s="1"/>
  <c r="AG787" i="3"/>
  <c r="F787" i="3" l="1"/>
  <c r="I787" i="3"/>
  <c r="J787" i="3"/>
  <c r="AD787" i="3" s="1"/>
  <c r="M787" i="3"/>
  <c r="N787" i="3" s="1"/>
  <c r="K787" i="3"/>
  <c r="AE787" i="3" s="1"/>
  <c r="V787" i="3" l="1"/>
  <c r="W787" i="3" s="1"/>
  <c r="A788" i="3"/>
  <c r="B788" i="3" s="1"/>
  <c r="L787" i="3"/>
  <c r="U787" i="3" l="1"/>
  <c r="Y786" i="3"/>
  <c r="AC788" i="3"/>
  <c r="Z788" i="3"/>
  <c r="AA788" i="3"/>
  <c r="P788" i="3"/>
  <c r="Q788" i="3" s="1"/>
  <c r="R788" i="3" s="1"/>
  <c r="S788" i="3" s="1"/>
  <c r="T788" i="3" l="1"/>
  <c r="E788" i="3" s="1"/>
  <c r="H788" i="3" s="1"/>
  <c r="D788" i="3" l="1"/>
  <c r="F788" i="3" s="1"/>
  <c r="AG788" i="3"/>
  <c r="AH788" i="3"/>
  <c r="K788" i="3"/>
  <c r="AE788" i="3" s="1"/>
  <c r="G788" i="3" l="1"/>
  <c r="I788" i="3" s="1"/>
  <c r="V788" i="3"/>
  <c r="A789" i="3"/>
  <c r="B789" i="3" s="1"/>
  <c r="M788" i="3" l="1"/>
  <c r="N788" i="3" s="1"/>
  <c r="J788" i="3"/>
  <c r="W788" i="3"/>
  <c r="P789" i="3"/>
  <c r="Q789" i="3" s="1"/>
  <c r="R789" i="3" s="1"/>
  <c r="S789" i="3" s="1"/>
  <c r="AC789" i="3"/>
  <c r="AA789" i="3"/>
  <c r="Z789" i="3"/>
  <c r="L788" i="3" l="1"/>
  <c r="U788" i="3" s="1"/>
  <c r="AD788" i="3"/>
  <c r="T789" i="3"/>
  <c r="Y787" i="3" l="1"/>
  <c r="D789" i="3"/>
  <c r="G789" i="3" s="1"/>
  <c r="E789" i="3"/>
  <c r="H789" i="3" s="1"/>
  <c r="AH789" i="3"/>
  <c r="AG789" i="3"/>
  <c r="F789" i="3" l="1"/>
  <c r="I789" i="3"/>
  <c r="J789" i="3"/>
  <c r="AD789" i="3" s="1"/>
  <c r="M789" i="3"/>
  <c r="N789" i="3" s="1"/>
  <c r="K789" i="3"/>
  <c r="AE789" i="3" s="1"/>
  <c r="L789" i="3" l="1"/>
  <c r="V789" i="3"/>
  <c r="W789" i="3" s="1"/>
  <c r="A790" i="3"/>
  <c r="B790" i="3" s="1"/>
  <c r="AA790" i="3" l="1"/>
  <c r="AC790" i="3"/>
  <c r="Z790" i="3"/>
  <c r="P790" i="3"/>
  <c r="Q790" i="3" s="1"/>
  <c r="R790" i="3" s="1"/>
  <c r="S790" i="3" s="1"/>
  <c r="U789" i="3"/>
  <c r="Y788" i="3"/>
  <c r="T790" i="3" l="1"/>
  <c r="D790" i="3" s="1"/>
  <c r="AG790" i="3" l="1"/>
  <c r="G790" i="3"/>
  <c r="AH790" i="3"/>
  <c r="E790" i="3"/>
  <c r="H790" i="3" s="1"/>
  <c r="F790" i="3" l="1"/>
  <c r="I790" i="3"/>
  <c r="J790" i="3"/>
  <c r="AD790" i="3" s="1"/>
  <c r="M790" i="3"/>
  <c r="N790" i="3" s="1"/>
  <c r="K790" i="3"/>
  <c r="AE790" i="3" s="1"/>
  <c r="V790" i="3" l="1"/>
  <c r="W790" i="3" s="1"/>
  <c r="A791" i="3"/>
  <c r="B791" i="3" s="1"/>
  <c r="L790" i="3"/>
  <c r="U790" i="3" l="1"/>
  <c r="Y789" i="3"/>
  <c r="P791" i="3"/>
  <c r="Q791" i="3" s="1"/>
  <c r="R791" i="3" s="1"/>
  <c r="S791" i="3" s="1"/>
  <c r="AA791" i="3"/>
  <c r="AC791" i="3"/>
  <c r="Z791" i="3"/>
  <c r="T791" i="3" l="1"/>
  <c r="AG791" i="3" s="1"/>
  <c r="E791" i="3" l="1"/>
  <c r="H791" i="3" s="1"/>
  <c r="K791" i="3" s="1"/>
  <c r="AE791" i="3" s="1"/>
  <c r="D791" i="3"/>
  <c r="G791" i="3" s="1"/>
  <c r="AH791" i="3"/>
  <c r="F791" i="3" l="1"/>
  <c r="I791" i="3"/>
  <c r="J791" i="3"/>
  <c r="AD791" i="3" s="1"/>
  <c r="M791" i="3"/>
  <c r="N791" i="3" s="1"/>
  <c r="V791" i="3"/>
  <c r="A792" i="3"/>
  <c r="B792" i="3" s="1"/>
  <c r="W791" i="3" l="1"/>
  <c r="L791" i="3"/>
  <c r="P792" i="3"/>
  <c r="Q792" i="3" s="1"/>
  <c r="R792" i="3" s="1"/>
  <c r="S792" i="3" s="1"/>
  <c r="AC792" i="3"/>
  <c r="Z792" i="3"/>
  <c r="AA792" i="3"/>
  <c r="U791" i="3" l="1"/>
  <c r="Y790" i="3"/>
  <c r="T792" i="3"/>
  <c r="AG792" i="3" s="1"/>
  <c r="AH792" i="3" l="1"/>
  <c r="D792" i="3"/>
  <c r="E792" i="3"/>
  <c r="H792" i="3" s="1"/>
  <c r="F792" i="3" l="1"/>
  <c r="G792" i="3"/>
  <c r="K792" i="3"/>
  <c r="AE792" i="3" s="1"/>
  <c r="I792" i="3" l="1"/>
  <c r="J792" i="3"/>
  <c r="AD792" i="3" s="1"/>
  <c r="M792" i="3"/>
  <c r="N792" i="3" s="1"/>
  <c r="V792" i="3"/>
  <c r="A793" i="3"/>
  <c r="B793" i="3" s="1"/>
  <c r="L792" i="3" l="1"/>
  <c r="W792" i="3"/>
  <c r="AC793" i="3"/>
  <c r="Z793" i="3"/>
  <c r="P793" i="3"/>
  <c r="Q793" i="3" s="1"/>
  <c r="R793" i="3" s="1"/>
  <c r="S793" i="3" s="1"/>
  <c r="AA793" i="3"/>
  <c r="T793" i="3" l="1"/>
  <c r="U792" i="3"/>
  <c r="Y791" i="3"/>
  <c r="E793" i="3" l="1"/>
  <c r="H793" i="3" s="1"/>
  <c r="K793" i="3" s="1"/>
  <c r="AE793" i="3" s="1"/>
  <c r="D793" i="3"/>
  <c r="AG793" i="3"/>
  <c r="AH793" i="3"/>
  <c r="F793" i="3" l="1"/>
  <c r="G793" i="3"/>
  <c r="M793" i="3" s="1"/>
  <c r="N793" i="3" s="1"/>
  <c r="V793" i="3"/>
  <c r="A794" i="3"/>
  <c r="B794" i="3" s="1"/>
  <c r="I793" i="3" l="1"/>
  <c r="W793" i="3" s="1"/>
  <c r="J793" i="3"/>
  <c r="Z794" i="3"/>
  <c r="AC794" i="3"/>
  <c r="P794" i="3"/>
  <c r="Q794" i="3" s="1"/>
  <c r="R794" i="3" s="1"/>
  <c r="S794" i="3" s="1"/>
  <c r="AA794" i="3"/>
  <c r="L793" i="3" l="1"/>
  <c r="Y792" i="3" s="1"/>
  <c r="AD793" i="3"/>
  <c r="T794" i="3"/>
  <c r="U793" i="3" l="1"/>
  <c r="D794" i="3" s="1"/>
  <c r="AH794" i="3"/>
  <c r="AG794" i="3"/>
  <c r="E794" i="3" l="1"/>
  <c r="H794" i="3" s="1"/>
  <c r="K794" i="3" s="1"/>
  <c r="AE794" i="3" s="1"/>
  <c r="G794" i="3"/>
  <c r="F794" i="3" l="1"/>
  <c r="I794" i="3"/>
  <c r="J794" i="3"/>
  <c r="AD794" i="3" s="1"/>
  <c r="M794" i="3"/>
  <c r="N794" i="3" s="1"/>
  <c r="V794" i="3"/>
  <c r="A795" i="3"/>
  <c r="B795" i="3" s="1"/>
  <c r="L794" i="3" l="1"/>
  <c r="W794" i="3"/>
  <c r="P795" i="3"/>
  <c r="Q795" i="3" s="1"/>
  <c r="R795" i="3" s="1"/>
  <c r="S795" i="3" s="1"/>
  <c r="AD795" i="3"/>
  <c r="Z795" i="3"/>
  <c r="AA795" i="3"/>
  <c r="AC795" i="3"/>
  <c r="T795" i="3" l="1"/>
  <c r="U794" i="3"/>
  <c r="Y793" i="3"/>
  <c r="D795" i="3" l="1"/>
  <c r="G795" i="3" s="1"/>
  <c r="E795" i="3"/>
  <c r="H795" i="3" s="1"/>
  <c r="K795" i="3" s="1"/>
  <c r="AE795" i="3" s="1"/>
  <c r="AH795" i="3"/>
  <c r="AG795" i="3"/>
  <c r="F795" i="3" l="1"/>
  <c r="I795" i="3"/>
  <c r="J795" i="3"/>
  <c r="M795" i="3"/>
  <c r="N795" i="3" s="1"/>
  <c r="V795" i="3"/>
  <c r="A796" i="3"/>
  <c r="B796" i="3" s="1"/>
  <c r="W795" i="3" l="1"/>
  <c r="L795" i="3"/>
  <c r="Z796" i="3"/>
  <c r="AA796" i="3"/>
  <c r="AD796" i="3"/>
  <c r="AC796" i="3"/>
  <c r="P796" i="3"/>
  <c r="Q796" i="3" s="1"/>
  <c r="R796" i="3" s="1"/>
  <c r="S796" i="3" s="1"/>
  <c r="T796" i="3" l="1"/>
  <c r="U795" i="3"/>
  <c r="Y794" i="3"/>
  <c r="E796" i="3" l="1"/>
  <c r="H796" i="3" s="1"/>
  <c r="K796" i="3" s="1"/>
  <c r="AE796" i="3" s="1"/>
  <c r="AH796" i="3"/>
  <c r="AG796" i="3"/>
  <c r="D796" i="3"/>
  <c r="F796" i="3" l="1"/>
  <c r="G796" i="3"/>
  <c r="V796" i="3"/>
  <c r="A797" i="3"/>
  <c r="B797" i="3" s="1"/>
  <c r="I796" i="3" l="1"/>
  <c r="W796" i="3" s="1"/>
  <c r="J796" i="3"/>
  <c r="M796" i="3"/>
  <c r="N796" i="3" s="1"/>
  <c r="P797" i="3"/>
  <c r="Q797" i="3" s="1"/>
  <c r="R797" i="3" s="1"/>
  <c r="S797" i="3" s="1"/>
  <c r="AA797" i="3"/>
  <c r="AC797" i="3"/>
  <c r="Z797" i="3"/>
  <c r="AD797" i="3"/>
  <c r="T797" i="3" l="1"/>
  <c r="L796" i="3"/>
  <c r="AH797" i="3" l="1"/>
  <c r="AG797" i="3"/>
  <c r="U796" i="3"/>
  <c r="E797" i="3" s="1"/>
  <c r="H797" i="3" s="1"/>
  <c r="Y795" i="3"/>
  <c r="D797" i="3" l="1"/>
  <c r="G797" i="3" s="1"/>
  <c r="K797" i="3"/>
  <c r="AE797" i="3" s="1"/>
  <c r="F797" i="3" l="1"/>
  <c r="I797" i="3"/>
  <c r="J797" i="3"/>
  <c r="M797" i="3"/>
  <c r="N797" i="3" s="1"/>
  <c r="V797" i="3"/>
  <c r="A798" i="3"/>
  <c r="B798" i="3" s="1"/>
  <c r="W797" i="3" l="1"/>
  <c r="L797" i="3"/>
  <c r="Z798" i="3"/>
  <c r="AA798" i="3"/>
  <c r="P798" i="3"/>
  <c r="Q798" i="3" s="1"/>
  <c r="R798" i="3" s="1"/>
  <c r="S798" i="3" s="1"/>
  <c r="AC798" i="3"/>
  <c r="T798" i="3" l="1"/>
  <c r="U797" i="3"/>
  <c r="Y796" i="3"/>
  <c r="E798" i="3" l="1"/>
  <c r="H798" i="3" s="1"/>
  <c r="K798" i="3" s="1"/>
  <c r="AE798" i="3" s="1"/>
  <c r="D798" i="3"/>
  <c r="G798" i="3" s="1"/>
  <c r="AH798" i="3"/>
  <c r="AG798" i="3"/>
  <c r="F798" i="3" l="1"/>
  <c r="I798" i="3"/>
  <c r="J798" i="3"/>
  <c r="AD798" i="3" s="1"/>
  <c r="M798" i="3"/>
  <c r="N798" i="3" s="1"/>
  <c r="V798" i="3"/>
  <c r="A799" i="3"/>
  <c r="B799" i="3" s="1"/>
  <c r="W798" i="3" l="1"/>
  <c r="L798" i="3"/>
  <c r="Z799" i="3"/>
  <c r="P799" i="3"/>
  <c r="Q799" i="3" s="1"/>
  <c r="R799" i="3" s="1"/>
  <c r="S799" i="3" s="1"/>
  <c r="AD799" i="3"/>
  <c r="AC799" i="3"/>
  <c r="AA799" i="3"/>
  <c r="T799" i="3" l="1"/>
  <c r="AH799" i="3" s="1"/>
  <c r="U798" i="3"/>
  <c r="Y797" i="3"/>
  <c r="AG799" i="3" l="1"/>
  <c r="E799" i="3"/>
  <c r="H799" i="3" s="1"/>
  <c r="D799" i="3"/>
  <c r="K799" i="3" l="1"/>
  <c r="AE799" i="3" s="1"/>
  <c r="F799" i="3"/>
  <c r="G799" i="3"/>
  <c r="V799" i="3" l="1"/>
  <c r="A800" i="3"/>
  <c r="B800" i="3" s="1"/>
  <c r="I799" i="3"/>
  <c r="J799" i="3"/>
  <c r="M799" i="3"/>
  <c r="N799" i="3" s="1"/>
  <c r="W799" i="3" l="1"/>
  <c r="L799" i="3"/>
  <c r="AC800" i="3"/>
  <c r="AA800" i="3"/>
  <c r="P800" i="3"/>
  <c r="Q800" i="3" s="1"/>
  <c r="R800" i="3" s="1"/>
  <c r="S800" i="3" s="1"/>
  <c r="AD800" i="3"/>
  <c r="Z800" i="3"/>
  <c r="U799" i="3" l="1"/>
  <c r="Y798" i="3"/>
  <c r="T800" i="3"/>
  <c r="E800" i="3" l="1"/>
  <c r="H800" i="3" s="1"/>
  <c r="K800" i="3" s="1"/>
  <c r="AE800" i="3" s="1"/>
  <c r="D800" i="3"/>
  <c r="AG800" i="3"/>
  <c r="AH800" i="3"/>
  <c r="V800" i="3" l="1"/>
  <c r="A801" i="3"/>
  <c r="B801" i="3" s="1"/>
  <c r="F800" i="3"/>
  <c r="G800" i="3"/>
  <c r="I800" i="3" l="1"/>
  <c r="W800" i="3" s="1"/>
  <c r="J800" i="3"/>
  <c r="M800" i="3"/>
  <c r="N800" i="3" s="1"/>
  <c r="AA801" i="3"/>
  <c r="AD801" i="3"/>
  <c r="Z801" i="3"/>
  <c r="P801" i="3"/>
  <c r="Q801" i="3" s="1"/>
  <c r="R801" i="3" s="1"/>
  <c r="S801" i="3" s="1"/>
  <c r="AC801" i="3"/>
  <c r="L800" i="3" l="1"/>
  <c r="T801" i="3"/>
  <c r="AG801" i="3" l="1"/>
  <c r="AH801" i="3"/>
  <c r="U800" i="3"/>
  <c r="E801" i="3" s="1"/>
  <c r="H801" i="3" s="1"/>
  <c r="Y799" i="3"/>
  <c r="D801" i="3" l="1"/>
  <c r="G801" i="3" s="1"/>
  <c r="K801" i="3"/>
  <c r="AE801" i="3" s="1"/>
  <c r="F801" i="3" l="1"/>
  <c r="I801" i="3"/>
  <c r="J801" i="3"/>
  <c r="M801" i="3"/>
  <c r="N801" i="3" s="1"/>
  <c r="V801" i="3"/>
  <c r="A802" i="3"/>
  <c r="B802" i="3" s="1"/>
  <c r="W801" i="3" l="1"/>
  <c r="L801" i="3"/>
  <c r="Z802" i="3"/>
  <c r="P802" i="3"/>
  <c r="Q802" i="3" s="1"/>
  <c r="R802" i="3" s="1"/>
  <c r="S802" i="3" s="1"/>
  <c r="AA802" i="3"/>
  <c r="AD802" i="3"/>
  <c r="AC802" i="3"/>
  <c r="U801" i="3" l="1"/>
  <c r="Y800" i="3"/>
  <c r="T802" i="3"/>
  <c r="AG802" i="3" s="1"/>
  <c r="E802" i="3" l="1"/>
  <c r="H802" i="3" s="1"/>
  <c r="D802" i="3"/>
  <c r="AH802" i="3"/>
  <c r="K802" i="3" l="1"/>
  <c r="AE802" i="3" s="1"/>
  <c r="F802" i="3"/>
  <c r="G802" i="3"/>
  <c r="I802" i="3" l="1"/>
  <c r="J802" i="3"/>
  <c r="M802" i="3"/>
  <c r="N802" i="3" s="1"/>
  <c r="V802" i="3"/>
  <c r="A803" i="3"/>
  <c r="B803" i="3" s="1"/>
  <c r="L802" i="3" l="1"/>
  <c r="W802" i="3"/>
  <c r="Z803" i="3"/>
  <c r="AD803" i="3"/>
  <c r="AA803" i="3"/>
  <c r="AC803" i="3"/>
  <c r="P803" i="3"/>
  <c r="Q803" i="3" s="1"/>
  <c r="R803" i="3" s="1"/>
  <c r="S803" i="3" s="1"/>
  <c r="U802" i="3" l="1"/>
  <c r="Y801" i="3"/>
  <c r="T803" i="3"/>
  <c r="AG803" i="3" s="1"/>
  <c r="AH803" i="3" l="1"/>
  <c r="D803" i="3"/>
  <c r="E803" i="3"/>
  <c r="H803" i="3" s="1"/>
  <c r="F803" i="3" l="1"/>
  <c r="G803" i="3"/>
  <c r="K803" i="3"/>
  <c r="AE803" i="3" s="1"/>
  <c r="V803" i="3" l="1"/>
  <c r="A804" i="3"/>
  <c r="B804" i="3" s="1"/>
  <c r="I803" i="3"/>
  <c r="J803" i="3"/>
  <c r="M803" i="3"/>
  <c r="N803" i="3" s="1"/>
  <c r="L803" i="3" l="1"/>
  <c r="W803" i="3"/>
  <c r="AC804" i="3"/>
  <c r="P804" i="3"/>
  <c r="Q804" i="3" s="1"/>
  <c r="R804" i="3" s="1"/>
  <c r="S804" i="3" s="1"/>
  <c r="AA804" i="3"/>
  <c r="Z804" i="3"/>
  <c r="U803" i="3" l="1"/>
  <c r="Y802" i="3"/>
  <c r="T804" i="3"/>
  <c r="AH804" i="3" s="1"/>
  <c r="D804" i="3" l="1"/>
  <c r="G804" i="3" s="1"/>
  <c r="AG804" i="3"/>
  <c r="E804" i="3"/>
  <c r="H804" i="3" s="1"/>
  <c r="K804" i="3" s="1"/>
  <c r="AE804" i="3" s="1"/>
  <c r="F804" i="3" l="1"/>
  <c r="I804" i="3"/>
  <c r="J804" i="3"/>
  <c r="AD804" i="3" s="1"/>
  <c r="M804" i="3"/>
  <c r="N804" i="3" s="1"/>
  <c r="V804" i="3"/>
  <c r="A805" i="3"/>
  <c r="B805" i="3" s="1"/>
  <c r="W804" i="3" l="1"/>
  <c r="L804" i="3"/>
  <c r="Z805" i="3"/>
  <c r="P805" i="3"/>
  <c r="Q805" i="3" s="1"/>
  <c r="R805" i="3" s="1"/>
  <c r="S805" i="3" s="1"/>
  <c r="AD805" i="3"/>
  <c r="AC805" i="3"/>
  <c r="AA805" i="3"/>
  <c r="T805" i="3" l="1"/>
  <c r="AH805" i="3" s="1"/>
  <c r="U804" i="3"/>
  <c r="Y803" i="3"/>
  <c r="E805" i="3" l="1"/>
  <c r="H805" i="3" s="1"/>
  <c r="AG805" i="3"/>
  <c r="D805" i="3"/>
  <c r="K805" i="3" l="1"/>
  <c r="AE805" i="3" s="1"/>
  <c r="F805" i="3"/>
  <c r="G805" i="3"/>
  <c r="I805" i="3" l="1"/>
  <c r="J805" i="3"/>
  <c r="M805" i="3"/>
  <c r="N805" i="3" s="1"/>
  <c r="V805" i="3"/>
  <c r="A806" i="3"/>
  <c r="B806" i="3" s="1"/>
  <c r="W805" i="3" l="1"/>
  <c r="L805" i="3"/>
  <c r="Z806" i="3"/>
  <c r="AA806" i="3"/>
  <c r="P806" i="3"/>
  <c r="Q806" i="3" s="1"/>
  <c r="R806" i="3" s="1"/>
  <c r="S806" i="3" s="1"/>
  <c r="AC806" i="3"/>
  <c r="AD806" i="3"/>
  <c r="T806" i="3" l="1"/>
  <c r="U805" i="3"/>
  <c r="Y804" i="3"/>
  <c r="D806" i="3" l="1"/>
  <c r="G806" i="3" s="1"/>
  <c r="AH806" i="3"/>
  <c r="AG806" i="3"/>
  <c r="E806" i="3"/>
  <c r="H806" i="3" s="1"/>
  <c r="K806" i="3" l="1"/>
  <c r="AE806" i="3" s="1"/>
  <c r="I806" i="3"/>
  <c r="J806" i="3"/>
  <c r="M806" i="3"/>
  <c r="N806" i="3" s="1"/>
  <c r="F806" i="3"/>
  <c r="L806" i="3" l="1"/>
  <c r="V806" i="3"/>
  <c r="W806" i="3" s="1"/>
  <c r="A807" i="3"/>
  <c r="B807" i="3" s="1"/>
  <c r="AC807" i="3" l="1"/>
  <c r="P807" i="3"/>
  <c r="Q807" i="3" s="1"/>
  <c r="R807" i="3" s="1"/>
  <c r="S807" i="3" s="1"/>
  <c r="AA807" i="3"/>
  <c r="AD807" i="3"/>
  <c r="Z807" i="3"/>
  <c r="U806" i="3"/>
  <c r="Y805" i="3"/>
  <c r="T807" i="3" l="1"/>
  <c r="AH807" i="3" l="1"/>
  <c r="AG807" i="3"/>
  <c r="E807" i="3"/>
  <c r="H807" i="3" s="1"/>
  <c r="D807" i="3"/>
  <c r="K807" i="3" l="1"/>
  <c r="AE807" i="3" s="1"/>
  <c r="F807" i="3"/>
  <c r="G807" i="3"/>
  <c r="I807" i="3" l="1"/>
  <c r="J807" i="3"/>
  <c r="M807" i="3"/>
  <c r="N807" i="3" s="1"/>
  <c r="V807" i="3"/>
  <c r="A808" i="3"/>
  <c r="B808" i="3" s="1"/>
  <c r="W807" i="3" l="1"/>
  <c r="L807" i="3"/>
  <c r="P808" i="3"/>
  <c r="Q808" i="3" s="1"/>
  <c r="R808" i="3" s="1"/>
  <c r="S808" i="3" s="1"/>
  <c r="AA808" i="3"/>
  <c r="Z808" i="3"/>
  <c r="AC808" i="3"/>
  <c r="U807" i="3" l="1"/>
  <c r="Y806" i="3"/>
  <c r="T808" i="3"/>
  <c r="AH808" i="3" s="1"/>
  <c r="D808" i="3" l="1"/>
  <c r="G808" i="3" s="1"/>
  <c r="E808" i="3"/>
  <c r="H808" i="3" s="1"/>
  <c r="K808" i="3" s="1"/>
  <c r="AE808" i="3" s="1"/>
  <c r="AG808" i="3"/>
  <c r="F808" i="3" l="1"/>
  <c r="I808" i="3"/>
  <c r="J808" i="3"/>
  <c r="AD808" i="3" s="1"/>
  <c r="M808" i="3"/>
  <c r="N808" i="3" s="1"/>
  <c r="V808" i="3"/>
  <c r="A809" i="3"/>
  <c r="B809" i="3" s="1"/>
  <c r="W808" i="3" l="1"/>
  <c r="AC809" i="3"/>
  <c r="Z809" i="3"/>
  <c r="AA809" i="3"/>
  <c r="P809" i="3"/>
  <c r="Q809" i="3" s="1"/>
  <c r="R809" i="3" s="1"/>
  <c r="S809" i="3" s="1"/>
  <c r="AD809" i="3"/>
  <c r="L808" i="3"/>
  <c r="T809" i="3" l="1"/>
  <c r="U808" i="3"/>
  <c r="Y807" i="3"/>
  <c r="E809" i="3" l="1"/>
  <c r="H809" i="3" s="1"/>
  <c r="K809" i="3" s="1"/>
  <c r="AE809" i="3" s="1"/>
  <c r="AG809" i="3"/>
  <c r="D809" i="3"/>
  <c r="AH809" i="3"/>
  <c r="V809" i="3" l="1"/>
  <c r="A810" i="3"/>
  <c r="B810" i="3" s="1"/>
  <c r="F809" i="3"/>
  <c r="G809" i="3"/>
  <c r="I809" i="3" l="1"/>
  <c r="W809" i="3" s="1"/>
  <c r="J809" i="3"/>
  <c r="M809" i="3"/>
  <c r="N809" i="3" s="1"/>
  <c r="AD810" i="3"/>
  <c r="P810" i="3"/>
  <c r="Q810" i="3" s="1"/>
  <c r="R810" i="3" s="1"/>
  <c r="S810" i="3" s="1"/>
  <c r="AA810" i="3"/>
  <c r="AC810" i="3"/>
  <c r="Z810" i="3"/>
  <c r="T810" i="3" l="1"/>
  <c r="L809" i="3"/>
  <c r="AH810" i="3" l="1"/>
  <c r="AG810" i="3"/>
  <c r="U809" i="3"/>
  <c r="E810" i="3" s="1"/>
  <c r="H810" i="3" s="1"/>
  <c r="Y808" i="3"/>
  <c r="D810" i="3" l="1"/>
  <c r="G810" i="3" s="1"/>
  <c r="K810" i="3"/>
  <c r="AE810" i="3" s="1"/>
  <c r="F810" i="3" l="1"/>
  <c r="I810" i="3"/>
  <c r="J810" i="3"/>
  <c r="M810" i="3"/>
  <c r="N810" i="3" s="1"/>
  <c r="V810" i="3"/>
  <c r="A811" i="3"/>
  <c r="B811" i="3" s="1"/>
  <c r="L810" i="3" l="1"/>
  <c r="W810" i="3"/>
  <c r="AA811" i="3"/>
  <c r="P811" i="3"/>
  <c r="Q811" i="3" s="1"/>
  <c r="R811" i="3" s="1"/>
  <c r="S811" i="3" s="1"/>
  <c r="Z811" i="3"/>
  <c r="AD811" i="3"/>
  <c r="AC811" i="3"/>
  <c r="U810" i="3" l="1"/>
  <c r="Y809" i="3"/>
  <c r="T811" i="3"/>
  <c r="E811" i="3" l="1"/>
  <c r="H811" i="3" s="1"/>
  <c r="K811" i="3" s="1"/>
  <c r="AE811" i="3" s="1"/>
  <c r="AH811" i="3"/>
  <c r="AG811" i="3"/>
  <c r="D811" i="3"/>
  <c r="V811" i="3" l="1"/>
  <c r="A812" i="3"/>
  <c r="B812" i="3" s="1"/>
  <c r="F811" i="3"/>
  <c r="G811" i="3"/>
  <c r="I811" i="3" l="1"/>
  <c r="W811" i="3" s="1"/>
  <c r="J811" i="3"/>
  <c r="M811" i="3"/>
  <c r="N811" i="3" s="1"/>
  <c r="Z812" i="3"/>
  <c r="AA812" i="3"/>
  <c r="AD812" i="3"/>
  <c r="P812" i="3"/>
  <c r="Q812" i="3" s="1"/>
  <c r="R812" i="3" s="1"/>
  <c r="S812" i="3" s="1"/>
  <c r="AC812" i="3"/>
  <c r="T812" i="3" l="1"/>
  <c r="L811" i="3"/>
  <c r="AG812" i="3" l="1"/>
  <c r="U811" i="3"/>
  <c r="D812" i="3" s="1"/>
  <c r="AH812" i="3"/>
  <c r="Y810" i="3"/>
  <c r="G812" i="3" l="1"/>
  <c r="E812" i="3"/>
  <c r="H812" i="3" s="1"/>
  <c r="I812" i="3" l="1"/>
  <c r="J812" i="3"/>
  <c r="M812" i="3"/>
  <c r="N812" i="3" s="1"/>
  <c r="F812" i="3"/>
  <c r="K812" i="3"/>
  <c r="AE812" i="3" s="1"/>
  <c r="L812" i="3" l="1"/>
  <c r="V812" i="3"/>
  <c r="W812" i="3" s="1"/>
  <c r="A813" i="3"/>
  <c r="B813" i="3" s="1"/>
  <c r="U812" i="3" l="1"/>
  <c r="Y811" i="3"/>
  <c r="AA813" i="3"/>
  <c r="P813" i="3"/>
  <c r="Q813" i="3" s="1"/>
  <c r="R813" i="3" s="1"/>
  <c r="S813" i="3" s="1"/>
  <c r="Z813" i="3"/>
  <c r="AC813" i="3"/>
  <c r="AD813" i="3"/>
  <c r="T813" i="3" l="1"/>
  <c r="AG813" i="3" s="1"/>
  <c r="AH813" i="3" l="1"/>
  <c r="D813" i="3"/>
  <c r="E813" i="3"/>
  <c r="H813" i="3" s="1"/>
  <c r="F813" i="3" l="1"/>
  <c r="G813" i="3"/>
  <c r="K813" i="3"/>
  <c r="AE813" i="3" s="1"/>
  <c r="I813" i="3" l="1"/>
  <c r="J813" i="3"/>
  <c r="M813" i="3"/>
  <c r="N813" i="3" s="1"/>
  <c r="V813" i="3"/>
  <c r="A814" i="3"/>
  <c r="B814" i="3" s="1"/>
  <c r="W813" i="3" l="1"/>
  <c r="L813" i="3"/>
  <c r="P814" i="3"/>
  <c r="Q814" i="3" s="1"/>
  <c r="R814" i="3" s="1"/>
  <c r="S814" i="3" s="1"/>
  <c r="AA814" i="3"/>
  <c r="Z814" i="3"/>
  <c r="AC814" i="3"/>
  <c r="U813" i="3" l="1"/>
  <c r="Y812" i="3"/>
  <c r="T814" i="3"/>
  <c r="D814" i="3" l="1"/>
  <c r="G814" i="3" s="1"/>
  <c r="E814" i="3"/>
  <c r="H814" i="3" s="1"/>
  <c r="K814" i="3" s="1"/>
  <c r="AE814" i="3" s="1"/>
  <c r="AH814" i="3"/>
  <c r="AG814" i="3"/>
  <c r="F814" i="3" l="1"/>
  <c r="I814" i="3"/>
  <c r="J814" i="3"/>
  <c r="AD814" i="3" s="1"/>
  <c r="M814" i="3"/>
  <c r="N814" i="3" s="1"/>
  <c r="V814" i="3"/>
  <c r="A815" i="3"/>
  <c r="B815" i="3" s="1"/>
  <c r="W814" i="3" l="1"/>
  <c r="L814" i="3"/>
  <c r="AA815" i="3"/>
  <c r="AD815" i="3"/>
  <c r="AC815" i="3"/>
  <c r="Z815" i="3"/>
  <c r="P815" i="3"/>
  <c r="Q815" i="3" s="1"/>
  <c r="R815" i="3" s="1"/>
  <c r="S815" i="3" s="1"/>
  <c r="T815" i="3" l="1"/>
  <c r="AH815" i="3" s="1"/>
  <c r="U814" i="3"/>
  <c r="Y813" i="3"/>
  <c r="AG815" i="3" l="1"/>
  <c r="E815" i="3"/>
  <c r="H815" i="3" s="1"/>
  <c r="D815" i="3"/>
  <c r="K815" i="3" l="1"/>
  <c r="AE815" i="3" s="1"/>
  <c r="F815" i="3"/>
  <c r="G815" i="3"/>
  <c r="V815" i="3" l="1"/>
  <c r="A816" i="3"/>
  <c r="B816" i="3" s="1"/>
  <c r="I815" i="3"/>
  <c r="J815" i="3"/>
  <c r="M815" i="3"/>
  <c r="N815" i="3" s="1"/>
  <c r="W815" i="3" l="1"/>
  <c r="L815" i="3"/>
  <c r="P816" i="3"/>
  <c r="Q816" i="3" s="1"/>
  <c r="R816" i="3" s="1"/>
  <c r="S816" i="3" s="1"/>
  <c r="AC816" i="3"/>
  <c r="AD816" i="3"/>
  <c r="AA816" i="3"/>
  <c r="Z816" i="3"/>
  <c r="T816" i="3" l="1"/>
  <c r="U815" i="3"/>
  <c r="Y814" i="3"/>
  <c r="E816" i="3" l="1"/>
  <c r="H816" i="3" s="1"/>
  <c r="K816" i="3" s="1"/>
  <c r="AE816" i="3" s="1"/>
  <c r="D816" i="3"/>
  <c r="G816" i="3" s="1"/>
  <c r="AG816" i="3"/>
  <c r="AH816" i="3"/>
  <c r="F816" i="3" l="1"/>
  <c r="I816" i="3"/>
  <c r="J816" i="3"/>
  <c r="M816" i="3"/>
  <c r="N816" i="3" s="1"/>
  <c r="V816" i="3"/>
  <c r="A817" i="3"/>
  <c r="B817" i="3" s="1"/>
  <c r="W816" i="3" l="1"/>
  <c r="L816" i="3"/>
  <c r="P817" i="3"/>
  <c r="Q817" i="3" s="1"/>
  <c r="R817" i="3" s="1"/>
  <c r="S817" i="3" s="1"/>
  <c r="AD817" i="3"/>
  <c r="Z817" i="3"/>
  <c r="AA817" i="3"/>
  <c r="AC817" i="3"/>
  <c r="U816" i="3" l="1"/>
  <c r="Y815" i="3"/>
  <c r="T817" i="3"/>
  <c r="AG817" i="3" s="1"/>
  <c r="E817" i="3" l="1"/>
  <c r="H817" i="3" s="1"/>
  <c r="AH817" i="3"/>
  <c r="D817" i="3"/>
  <c r="F817" i="3" l="1"/>
  <c r="G817" i="3"/>
  <c r="K817" i="3"/>
  <c r="AE817" i="3" s="1"/>
  <c r="V817" i="3" l="1"/>
  <c r="A818" i="3"/>
  <c r="B818" i="3" s="1"/>
  <c r="I817" i="3"/>
  <c r="J817" i="3"/>
  <c r="M817" i="3"/>
  <c r="N817" i="3" s="1"/>
  <c r="W817" i="3" l="1"/>
  <c r="L817" i="3"/>
  <c r="Z818" i="3"/>
  <c r="AA818" i="3"/>
  <c r="P818" i="3"/>
  <c r="Q818" i="3" s="1"/>
  <c r="R818" i="3" s="1"/>
  <c r="S818" i="3" s="1"/>
  <c r="AC818" i="3"/>
  <c r="T818" i="3" l="1"/>
  <c r="U817" i="3"/>
  <c r="Y816" i="3"/>
  <c r="E818" i="3" l="1"/>
  <c r="H818" i="3" s="1"/>
  <c r="K818" i="3" s="1"/>
  <c r="AE818" i="3" s="1"/>
  <c r="D818" i="3"/>
  <c r="G818" i="3" s="1"/>
  <c r="AH818" i="3"/>
  <c r="AG818" i="3"/>
  <c r="F818" i="3" l="1"/>
  <c r="V818" i="3"/>
  <c r="A819" i="3"/>
  <c r="B819" i="3" s="1"/>
  <c r="I818" i="3"/>
  <c r="J818" i="3"/>
  <c r="AD818" i="3" s="1"/>
  <c r="M818" i="3"/>
  <c r="N818" i="3" s="1"/>
  <c r="W818" i="3" l="1"/>
  <c r="L818" i="3"/>
  <c r="AD819" i="3"/>
  <c r="AC819" i="3"/>
  <c r="AA819" i="3"/>
  <c r="Z819" i="3"/>
  <c r="P819" i="3"/>
  <c r="Q819" i="3" s="1"/>
  <c r="R819" i="3" s="1"/>
  <c r="S819" i="3" s="1"/>
  <c r="T819" i="3" l="1"/>
  <c r="AG819" i="3" s="1"/>
  <c r="U818" i="3"/>
  <c r="Y817" i="3"/>
  <c r="AH819" i="3" l="1"/>
  <c r="E819" i="3"/>
  <c r="H819" i="3" s="1"/>
  <c r="K819" i="3" s="1"/>
  <c r="AE819" i="3" s="1"/>
  <c r="D819" i="3"/>
  <c r="V819" i="3" l="1"/>
  <c r="A820" i="3"/>
  <c r="B820" i="3" s="1"/>
  <c r="F819" i="3"/>
  <c r="G819" i="3"/>
  <c r="I819" i="3" l="1"/>
  <c r="W819" i="3" s="1"/>
  <c r="J819" i="3"/>
  <c r="M819" i="3"/>
  <c r="N819" i="3" s="1"/>
  <c r="Z820" i="3"/>
  <c r="AD820" i="3"/>
  <c r="AA820" i="3"/>
  <c r="P820" i="3"/>
  <c r="Q820" i="3" s="1"/>
  <c r="R820" i="3" s="1"/>
  <c r="S820" i="3" s="1"/>
  <c r="AC820" i="3"/>
  <c r="T820" i="3" l="1"/>
  <c r="L819" i="3"/>
  <c r="U819" i="3" l="1"/>
  <c r="E820" i="3" s="1"/>
  <c r="H820" i="3" s="1"/>
  <c r="AG820" i="3"/>
  <c r="AH820" i="3"/>
  <c r="Y818" i="3"/>
  <c r="D820" i="3" l="1"/>
  <c r="G820" i="3" s="1"/>
  <c r="K820" i="3"/>
  <c r="AE820" i="3" s="1"/>
  <c r="F820" i="3" l="1"/>
  <c r="I820" i="3"/>
  <c r="J820" i="3"/>
  <c r="M820" i="3"/>
  <c r="N820" i="3" s="1"/>
  <c r="V820" i="3"/>
  <c r="A821" i="3"/>
  <c r="B821" i="3" s="1"/>
  <c r="W820" i="3" l="1"/>
  <c r="L820" i="3"/>
  <c r="P821" i="3"/>
  <c r="Q821" i="3" s="1"/>
  <c r="R821" i="3" s="1"/>
  <c r="S821" i="3" s="1"/>
  <c r="AA821" i="3"/>
  <c r="Z821" i="3"/>
  <c r="AD821" i="3"/>
  <c r="AC821" i="3"/>
  <c r="U820" i="3" l="1"/>
  <c r="Y819" i="3"/>
  <c r="T821" i="3"/>
  <c r="AH821" i="3" s="1"/>
  <c r="AG821" i="3" l="1"/>
  <c r="D821" i="3"/>
  <c r="G821" i="3" s="1"/>
  <c r="E821" i="3"/>
  <c r="H821" i="3" s="1"/>
  <c r="F821" i="3" l="1"/>
  <c r="K821" i="3"/>
  <c r="AE821" i="3" s="1"/>
  <c r="I821" i="3"/>
  <c r="J821" i="3"/>
  <c r="M821" i="3"/>
  <c r="N821" i="3" s="1"/>
  <c r="L821" i="3" l="1"/>
  <c r="V821" i="3"/>
  <c r="W821" i="3" s="1"/>
  <c r="A822" i="3"/>
  <c r="B822" i="3" s="1"/>
  <c r="P822" i="3" l="1"/>
  <c r="Q822" i="3" s="1"/>
  <c r="R822" i="3" s="1"/>
  <c r="S822" i="3" s="1"/>
  <c r="AA822" i="3"/>
  <c r="Z822" i="3"/>
  <c r="AC822" i="3"/>
  <c r="AD822" i="3"/>
  <c r="U821" i="3"/>
  <c r="Y820" i="3"/>
  <c r="T822" i="3" l="1"/>
  <c r="AH822" i="3" s="1"/>
  <c r="D822" i="3" l="1"/>
  <c r="E822" i="3"/>
  <c r="H822" i="3" s="1"/>
  <c r="AG822" i="3"/>
  <c r="K822" i="3" l="1"/>
  <c r="AE822" i="3" s="1"/>
  <c r="F822" i="3"/>
  <c r="G822" i="3"/>
  <c r="I822" i="3" l="1"/>
  <c r="J822" i="3"/>
  <c r="M822" i="3"/>
  <c r="N822" i="3" s="1"/>
  <c r="V822" i="3"/>
  <c r="A823" i="3"/>
  <c r="B823" i="3" s="1"/>
  <c r="W822" i="3" l="1"/>
  <c r="L822" i="3"/>
  <c r="AC823" i="3"/>
  <c r="Z823" i="3"/>
  <c r="P823" i="3"/>
  <c r="Q823" i="3" s="1"/>
  <c r="R823" i="3" s="1"/>
  <c r="S823" i="3" s="1"/>
  <c r="AD823" i="3"/>
  <c r="AA823" i="3"/>
  <c r="U822" i="3" l="1"/>
  <c r="Y821" i="3"/>
  <c r="T823" i="3"/>
  <c r="D823" i="3" l="1"/>
  <c r="G823" i="3" s="1"/>
  <c r="E823" i="3"/>
  <c r="H823" i="3" s="1"/>
  <c r="AG823" i="3"/>
  <c r="AH823" i="3"/>
  <c r="F823" i="3" l="1"/>
  <c r="I823" i="3"/>
  <c r="J823" i="3"/>
  <c r="M823" i="3"/>
  <c r="N823" i="3" s="1"/>
  <c r="K823" i="3"/>
  <c r="AE823" i="3" s="1"/>
  <c r="V823" i="3" l="1"/>
  <c r="W823" i="3" s="1"/>
  <c r="A824" i="3"/>
  <c r="B824" i="3" s="1"/>
  <c r="L823" i="3"/>
  <c r="U823" i="3" l="1"/>
  <c r="Y822" i="3"/>
  <c r="Z824" i="3"/>
  <c r="P824" i="3"/>
  <c r="Q824" i="3" s="1"/>
  <c r="R824" i="3" s="1"/>
  <c r="S824" i="3" s="1"/>
  <c r="AC824" i="3"/>
  <c r="AA824" i="3"/>
  <c r="T824" i="3" l="1"/>
  <c r="D824" i="3" s="1"/>
  <c r="AH824" i="3" l="1"/>
  <c r="E824" i="3"/>
  <c r="H824" i="3" s="1"/>
  <c r="K824" i="3" s="1"/>
  <c r="AE824" i="3" s="1"/>
  <c r="AG824" i="3"/>
  <c r="G824" i="3"/>
  <c r="F824" i="3" l="1"/>
  <c r="V824" i="3"/>
  <c r="A825" i="3"/>
  <c r="B825" i="3" s="1"/>
  <c r="I824" i="3"/>
  <c r="J824" i="3"/>
  <c r="AD824" i="3" s="1"/>
  <c r="M824" i="3"/>
  <c r="N824" i="3" s="1"/>
  <c r="L824" i="3" l="1"/>
  <c r="W824" i="3"/>
  <c r="Z825" i="3"/>
  <c r="AC825" i="3"/>
  <c r="P825" i="3"/>
  <c r="Q825" i="3" s="1"/>
  <c r="R825" i="3" s="1"/>
  <c r="S825" i="3" s="1"/>
  <c r="AA825" i="3"/>
  <c r="AD825" i="3"/>
  <c r="T825" i="3" l="1"/>
  <c r="AG825" i="3" s="1"/>
  <c r="U824" i="3"/>
  <c r="Y823" i="3"/>
  <c r="D825" i="3" l="1"/>
  <c r="E825" i="3"/>
  <c r="H825" i="3" s="1"/>
  <c r="AH825" i="3"/>
  <c r="F825" i="3" l="1"/>
  <c r="G825" i="3"/>
  <c r="K825" i="3"/>
  <c r="AE825" i="3" s="1"/>
  <c r="I825" i="3" l="1"/>
  <c r="J825" i="3"/>
  <c r="M825" i="3"/>
  <c r="N825" i="3" s="1"/>
  <c r="V825" i="3"/>
  <c r="A826" i="3"/>
  <c r="B826" i="3" s="1"/>
  <c r="W825" i="3" l="1"/>
  <c r="L825" i="3"/>
  <c r="P826" i="3"/>
  <c r="Q826" i="3" s="1"/>
  <c r="R826" i="3" s="1"/>
  <c r="S826" i="3" s="1"/>
  <c r="Z826" i="3"/>
  <c r="AA826" i="3"/>
  <c r="AD826" i="3"/>
  <c r="AC826" i="3"/>
  <c r="U825" i="3" l="1"/>
  <c r="Y824" i="3"/>
  <c r="T826" i="3"/>
  <c r="AG826" i="3" s="1"/>
  <c r="E826" i="3" l="1"/>
  <c r="H826" i="3" s="1"/>
  <c r="K826" i="3" s="1"/>
  <c r="AE826" i="3" s="1"/>
  <c r="AH826" i="3"/>
  <c r="D826" i="3"/>
  <c r="G826" i="3" s="1"/>
  <c r="F826" i="3" l="1"/>
  <c r="I826" i="3"/>
  <c r="J826" i="3"/>
  <c r="M826" i="3"/>
  <c r="N826" i="3" s="1"/>
  <c r="V826" i="3"/>
  <c r="A827" i="3"/>
  <c r="B827" i="3" s="1"/>
  <c r="W826" i="3" l="1"/>
  <c r="L826" i="3"/>
  <c r="Z827" i="3"/>
  <c r="AA827" i="3"/>
  <c r="AD827" i="3"/>
  <c r="P827" i="3"/>
  <c r="Q827" i="3" s="1"/>
  <c r="R827" i="3" s="1"/>
  <c r="S827" i="3" s="1"/>
  <c r="AC827" i="3"/>
  <c r="U826" i="3" l="1"/>
  <c r="Y825" i="3"/>
  <c r="T827" i="3"/>
  <c r="AH827" i="3" s="1"/>
  <c r="D827" i="3" l="1"/>
  <c r="G827" i="3" s="1"/>
  <c r="E827" i="3"/>
  <c r="H827" i="3" s="1"/>
  <c r="K827" i="3" s="1"/>
  <c r="AE827" i="3" s="1"/>
  <c r="AG827" i="3"/>
  <c r="F827" i="3" l="1"/>
  <c r="V827" i="3"/>
  <c r="A828" i="3"/>
  <c r="B828" i="3" s="1"/>
  <c r="I827" i="3"/>
  <c r="J827" i="3"/>
  <c r="M827" i="3"/>
  <c r="N827" i="3" s="1"/>
  <c r="W827" i="3" l="1"/>
  <c r="L827" i="3"/>
  <c r="P828" i="3"/>
  <c r="Q828" i="3" s="1"/>
  <c r="R828" i="3" s="1"/>
  <c r="S828" i="3" s="1"/>
  <c r="AC828" i="3"/>
  <c r="AA828" i="3"/>
  <c r="Z828" i="3"/>
  <c r="U827" i="3" l="1"/>
  <c r="Y826" i="3"/>
  <c r="T828" i="3"/>
  <c r="D828" i="3" l="1"/>
  <c r="G828" i="3" s="1"/>
  <c r="AG828" i="3"/>
  <c r="AH828" i="3"/>
  <c r="E828" i="3"/>
  <c r="H828" i="3" s="1"/>
  <c r="F828" i="3" l="1"/>
  <c r="I828" i="3"/>
  <c r="J828" i="3"/>
  <c r="AD828" i="3" s="1"/>
  <c r="M828" i="3"/>
  <c r="N828" i="3" s="1"/>
  <c r="K828" i="3"/>
  <c r="AE828" i="3" s="1"/>
  <c r="V828" i="3" l="1"/>
  <c r="W828" i="3" s="1"/>
  <c r="A829" i="3"/>
  <c r="B829" i="3" s="1"/>
  <c r="L828" i="3"/>
  <c r="U828" i="3" l="1"/>
  <c r="Y827" i="3"/>
  <c r="AC829" i="3"/>
  <c r="Z829" i="3"/>
  <c r="AA829" i="3"/>
  <c r="P829" i="3"/>
  <c r="Q829" i="3" s="1"/>
  <c r="R829" i="3" s="1"/>
  <c r="S829" i="3" s="1"/>
  <c r="AD829" i="3"/>
  <c r="T829" i="3" l="1"/>
  <c r="E829" i="3" s="1"/>
  <c r="H829" i="3" s="1"/>
  <c r="AH829" i="3" l="1"/>
  <c r="D829" i="3"/>
  <c r="G829" i="3" s="1"/>
  <c r="AG829" i="3"/>
  <c r="K829" i="3"/>
  <c r="AE829" i="3" s="1"/>
  <c r="F829" i="3" l="1"/>
  <c r="I829" i="3"/>
  <c r="J829" i="3"/>
  <c r="M829" i="3"/>
  <c r="N829" i="3" s="1"/>
  <c r="V829" i="3"/>
  <c r="A830" i="3"/>
  <c r="B830" i="3" s="1"/>
  <c r="W829" i="3" l="1"/>
  <c r="L829" i="3"/>
  <c r="AA830" i="3"/>
  <c r="Z830" i="3"/>
  <c r="AC830" i="3"/>
  <c r="AD830" i="3"/>
  <c r="P830" i="3"/>
  <c r="Q830" i="3" s="1"/>
  <c r="R830" i="3" s="1"/>
  <c r="S830" i="3" s="1"/>
  <c r="U829" i="3" l="1"/>
  <c r="Y828" i="3"/>
  <c r="T830" i="3"/>
  <c r="D830" i="3" l="1"/>
  <c r="G830" i="3" s="1"/>
  <c r="E830" i="3"/>
  <c r="H830" i="3" s="1"/>
  <c r="AG830" i="3"/>
  <c r="AH830" i="3"/>
  <c r="F830" i="3" l="1"/>
  <c r="I830" i="3"/>
  <c r="J830" i="3"/>
  <c r="M830" i="3"/>
  <c r="N830" i="3" s="1"/>
  <c r="K830" i="3"/>
  <c r="AE830" i="3" s="1"/>
  <c r="V830" i="3" l="1"/>
  <c r="W830" i="3" s="1"/>
  <c r="A831" i="3"/>
  <c r="B831" i="3" s="1"/>
  <c r="L830" i="3"/>
  <c r="U830" i="3" l="1"/>
  <c r="Y829" i="3"/>
  <c r="Z831" i="3"/>
  <c r="P831" i="3"/>
  <c r="Q831" i="3" s="1"/>
  <c r="R831" i="3" s="1"/>
  <c r="S831" i="3" s="1"/>
  <c r="AA831" i="3"/>
  <c r="AD831" i="3"/>
  <c r="AC831" i="3"/>
  <c r="T831" i="3" l="1"/>
  <c r="AH831" i="3" s="1"/>
  <c r="E831" i="3" l="1"/>
  <c r="H831" i="3" s="1"/>
  <c r="K831" i="3" s="1"/>
  <c r="AE831" i="3" s="1"/>
  <c r="D831" i="3"/>
  <c r="G831" i="3" s="1"/>
  <c r="AG831" i="3"/>
  <c r="F831" i="3" l="1"/>
  <c r="I831" i="3"/>
  <c r="J831" i="3"/>
  <c r="M831" i="3"/>
  <c r="N831" i="3" s="1"/>
  <c r="V831" i="3"/>
  <c r="A832" i="3"/>
  <c r="B832" i="3" s="1"/>
  <c r="W831" i="3" l="1"/>
  <c r="L831" i="3"/>
  <c r="P832" i="3"/>
  <c r="Q832" i="3" s="1"/>
  <c r="R832" i="3" s="1"/>
  <c r="S832" i="3" s="1"/>
  <c r="AC832" i="3"/>
  <c r="AD832" i="3"/>
  <c r="Z832" i="3"/>
  <c r="AA832" i="3"/>
  <c r="U831" i="3" l="1"/>
  <c r="Y830" i="3"/>
  <c r="T832" i="3"/>
  <c r="AH832" i="3" s="1"/>
  <c r="D832" i="3" l="1"/>
  <c r="G832" i="3" s="1"/>
  <c r="AG832" i="3"/>
  <c r="E832" i="3"/>
  <c r="H832" i="3" s="1"/>
  <c r="K832" i="3" l="1"/>
  <c r="AE832" i="3" s="1"/>
  <c r="I832" i="3"/>
  <c r="J832" i="3"/>
  <c r="M832" i="3"/>
  <c r="N832" i="3" s="1"/>
  <c r="F832" i="3"/>
  <c r="L832" i="3" l="1"/>
  <c r="V832" i="3"/>
  <c r="W832" i="3" s="1"/>
  <c r="A833" i="3"/>
  <c r="B833" i="3" s="1"/>
  <c r="U832" i="3" l="1"/>
  <c r="Y831" i="3"/>
  <c r="Z833" i="3"/>
  <c r="AC833" i="3"/>
  <c r="P833" i="3"/>
  <c r="Q833" i="3" s="1"/>
  <c r="R833" i="3" s="1"/>
  <c r="S833" i="3" s="1"/>
  <c r="AD833" i="3"/>
  <c r="AA833" i="3"/>
  <c r="T833" i="3" l="1"/>
  <c r="AH833" i="3" s="1"/>
  <c r="E833" i="3" l="1"/>
  <c r="H833" i="3" s="1"/>
  <c r="K833" i="3" s="1"/>
  <c r="AE833" i="3" s="1"/>
  <c r="AG833" i="3"/>
  <c r="D833" i="3"/>
  <c r="G833" i="3" s="1"/>
  <c r="F833" i="3" l="1"/>
  <c r="I833" i="3"/>
  <c r="J833" i="3"/>
  <c r="M833" i="3"/>
  <c r="N833" i="3" s="1"/>
  <c r="V833" i="3"/>
  <c r="A834" i="3"/>
  <c r="B834" i="3" s="1"/>
  <c r="L833" i="3" l="1"/>
  <c r="W833" i="3"/>
  <c r="AC834" i="3"/>
  <c r="P834" i="3"/>
  <c r="Q834" i="3" s="1"/>
  <c r="R834" i="3" s="1"/>
  <c r="S834" i="3" s="1"/>
  <c r="AA834" i="3"/>
  <c r="Z834" i="3"/>
  <c r="U833" i="3" l="1"/>
  <c r="Y832" i="3"/>
  <c r="T834" i="3"/>
  <c r="D834" i="3" l="1"/>
  <c r="G834" i="3" s="1"/>
  <c r="E834" i="3"/>
  <c r="H834" i="3" s="1"/>
  <c r="K834" i="3" s="1"/>
  <c r="AE834" i="3" s="1"/>
  <c r="AH834" i="3"/>
  <c r="AG834" i="3"/>
  <c r="F834" i="3" l="1"/>
  <c r="V834" i="3"/>
  <c r="A835" i="3"/>
  <c r="B835" i="3" s="1"/>
  <c r="I834" i="3"/>
  <c r="J834" i="3"/>
  <c r="AD834" i="3" s="1"/>
  <c r="M834" i="3"/>
  <c r="N834" i="3" s="1"/>
  <c r="W834" i="3" l="1"/>
  <c r="L834" i="3"/>
  <c r="Z835" i="3"/>
  <c r="P835" i="3"/>
  <c r="Q835" i="3" s="1"/>
  <c r="R835" i="3" s="1"/>
  <c r="S835" i="3" s="1"/>
  <c r="AD835" i="3"/>
  <c r="AC835" i="3"/>
  <c r="AA835" i="3"/>
  <c r="T835" i="3" l="1"/>
  <c r="U834" i="3"/>
  <c r="Y833" i="3"/>
  <c r="E835" i="3" l="1"/>
  <c r="H835" i="3" s="1"/>
  <c r="K835" i="3" s="1"/>
  <c r="AE835" i="3" s="1"/>
  <c r="AH835" i="3"/>
  <c r="AG835" i="3"/>
  <c r="D835" i="3"/>
  <c r="F835" i="3" l="1"/>
  <c r="G835" i="3"/>
  <c r="V835" i="3"/>
  <c r="A836" i="3"/>
  <c r="B836" i="3" s="1"/>
  <c r="I835" i="3" l="1"/>
  <c r="W835" i="3" s="1"/>
  <c r="J835" i="3"/>
  <c r="M835" i="3"/>
  <c r="N835" i="3" s="1"/>
  <c r="Z836" i="3"/>
  <c r="AA836" i="3"/>
  <c r="AC836" i="3"/>
  <c r="P836" i="3"/>
  <c r="Q836" i="3" s="1"/>
  <c r="R836" i="3" s="1"/>
  <c r="S836" i="3" s="1"/>
  <c r="AD836" i="3"/>
  <c r="T836" i="3" l="1"/>
  <c r="L835" i="3"/>
  <c r="AG836" i="3" l="1"/>
  <c r="U835" i="3"/>
  <c r="D836" i="3" s="1"/>
  <c r="AH836" i="3"/>
  <c r="Y834" i="3"/>
  <c r="E836" i="3" l="1"/>
  <c r="H836" i="3" s="1"/>
  <c r="K836" i="3" s="1"/>
  <c r="AE836" i="3" s="1"/>
  <c r="G836" i="3"/>
  <c r="F836" i="3" l="1"/>
  <c r="V836" i="3"/>
  <c r="A837" i="3"/>
  <c r="B837" i="3" s="1"/>
  <c r="I836" i="3"/>
  <c r="J836" i="3"/>
  <c r="M836" i="3"/>
  <c r="N836" i="3" s="1"/>
  <c r="L836" i="3" l="1"/>
  <c r="W836" i="3"/>
  <c r="P837" i="3"/>
  <c r="Q837" i="3" s="1"/>
  <c r="R837" i="3" s="1"/>
  <c r="S837" i="3" s="1"/>
  <c r="AD837" i="3"/>
  <c r="AA837" i="3"/>
  <c r="AC837" i="3"/>
  <c r="Z837" i="3"/>
  <c r="U836" i="3" l="1"/>
  <c r="Y835" i="3"/>
  <c r="T837" i="3"/>
  <c r="AH837" i="3" s="1"/>
  <c r="E837" i="3" l="1"/>
  <c r="H837" i="3" s="1"/>
  <c r="K837" i="3" s="1"/>
  <c r="AE837" i="3" s="1"/>
  <c r="D837" i="3"/>
  <c r="G837" i="3" s="1"/>
  <c r="AG837" i="3"/>
  <c r="F837" i="3" l="1"/>
  <c r="I837" i="3"/>
  <c r="J837" i="3"/>
  <c r="M837" i="3"/>
  <c r="N837" i="3" s="1"/>
  <c r="V837" i="3"/>
  <c r="A838" i="3"/>
  <c r="B838" i="3" s="1"/>
  <c r="W837" i="3" l="1"/>
  <c r="L837" i="3"/>
  <c r="P838" i="3"/>
  <c r="Q838" i="3" s="1"/>
  <c r="R838" i="3" s="1"/>
  <c r="S838" i="3" s="1"/>
  <c r="AA838" i="3"/>
  <c r="AC838" i="3"/>
  <c r="Z838" i="3"/>
  <c r="U837" i="3" l="1"/>
  <c r="Y836" i="3"/>
  <c r="T838" i="3"/>
  <c r="AH838" i="3" s="1"/>
  <c r="E838" i="3" l="1"/>
  <c r="H838" i="3" s="1"/>
  <c r="D838" i="3"/>
  <c r="AG838" i="3"/>
  <c r="K838" i="3" l="1"/>
  <c r="AE838" i="3" s="1"/>
  <c r="F838" i="3"/>
  <c r="G838" i="3"/>
  <c r="V838" i="3" l="1"/>
  <c r="A839" i="3"/>
  <c r="B839" i="3" s="1"/>
  <c r="I838" i="3"/>
  <c r="J838" i="3"/>
  <c r="AD838" i="3" s="1"/>
  <c r="M838" i="3"/>
  <c r="N838" i="3" s="1"/>
  <c r="W838" i="3" l="1"/>
  <c r="L838" i="3"/>
  <c r="AC839" i="3"/>
  <c r="Z839" i="3"/>
  <c r="AA839" i="3"/>
  <c r="P839" i="3"/>
  <c r="Q839" i="3" s="1"/>
  <c r="R839" i="3" s="1"/>
  <c r="S839" i="3" s="1"/>
  <c r="AD839" i="3"/>
  <c r="U838" i="3" l="1"/>
  <c r="Y837" i="3"/>
  <c r="T839" i="3"/>
  <c r="AG839" i="3" s="1"/>
  <c r="D839" i="3" l="1"/>
  <c r="E839" i="3"/>
  <c r="H839" i="3" s="1"/>
  <c r="AH839" i="3"/>
  <c r="F839" i="3" l="1"/>
  <c r="G839" i="3"/>
  <c r="K839" i="3"/>
  <c r="AE839" i="3" s="1"/>
  <c r="V839" i="3" l="1"/>
  <c r="A840" i="3"/>
  <c r="B840" i="3" s="1"/>
  <c r="I839" i="3"/>
  <c r="J839" i="3"/>
  <c r="M839" i="3"/>
  <c r="N839" i="3" s="1"/>
  <c r="W839" i="3" l="1"/>
  <c r="L839" i="3"/>
  <c r="AC840" i="3"/>
  <c r="P840" i="3"/>
  <c r="Q840" i="3" s="1"/>
  <c r="R840" i="3" s="1"/>
  <c r="S840" i="3" s="1"/>
  <c r="AA840" i="3"/>
  <c r="Z840" i="3"/>
  <c r="AD840" i="3"/>
  <c r="T840" i="3" l="1"/>
  <c r="U839" i="3"/>
  <c r="Y838" i="3"/>
  <c r="D840" i="3" l="1"/>
  <c r="G840" i="3" s="1"/>
  <c r="AG840" i="3"/>
  <c r="E840" i="3"/>
  <c r="H840" i="3" s="1"/>
  <c r="AH840" i="3"/>
  <c r="K840" i="3" l="1"/>
  <c r="AE840" i="3" s="1"/>
  <c r="I840" i="3"/>
  <c r="J840" i="3"/>
  <c r="M840" i="3"/>
  <c r="N840" i="3" s="1"/>
  <c r="F840" i="3"/>
  <c r="L840" i="3" l="1"/>
  <c r="V840" i="3"/>
  <c r="W840" i="3" s="1"/>
  <c r="A841" i="3"/>
  <c r="B841" i="3" s="1"/>
  <c r="U840" i="3" l="1"/>
  <c r="Y839" i="3"/>
  <c r="AA841" i="3"/>
  <c r="Z841" i="3"/>
  <c r="AD841" i="3"/>
  <c r="AC841" i="3"/>
  <c r="P841" i="3"/>
  <c r="Q841" i="3" s="1"/>
  <c r="R841" i="3" s="1"/>
  <c r="S841" i="3" s="1"/>
  <c r="T841" i="3" l="1"/>
  <c r="AH841" i="3" s="1"/>
  <c r="E841" i="3" l="1"/>
  <c r="H841" i="3" s="1"/>
  <c r="K841" i="3" s="1"/>
  <c r="AE841" i="3" s="1"/>
  <c r="AG841" i="3"/>
  <c r="D841" i="3"/>
  <c r="G841" i="3" s="1"/>
  <c r="F841" i="3" l="1"/>
  <c r="I841" i="3"/>
  <c r="J841" i="3"/>
  <c r="M841" i="3"/>
  <c r="N841" i="3" s="1"/>
  <c r="V841" i="3"/>
  <c r="A842" i="3"/>
  <c r="B842" i="3" s="1"/>
  <c r="W841" i="3" l="1"/>
  <c r="L841" i="3"/>
  <c r="P842" i="3"/>
  <c r="Q842" i="3" s="1"/>
  <c r="R842" i="3" s="1"/>
  <c r="S842" i="3" s="1"/>
  <c r="AD842" i="3"/>
  <c r="Z842" i="3"/>
  <c r="AC842" i="3"/>
  <c r="AA842" i="3"/>
  <c r="U841" i="3" l="1"/>
  <c r="Y840" i="3"/>
  <c r="T842" i="3"/>
  <c r="AG842" i="3" s="1"/>
  <c r="D842" i="3" l="1"/>
  <c r="G842" i="3" s="1"/>
  <c r="E842" i="3"/>
  <c r="H842" i="3" s="1"/>
  <c r="K842" i="3" s="1"/>
  <c r="AE842" i="3" s="1"/>
  <c r="AH842" i="3"/>
  <c r="F842" i="3" l="1"/>
  <c r="V842" i="3"/>
  <c r="A843" i="3"/>
  <c r="B843" i="3" s="1"/>
  <c r="I842" i="3"/>
  <c r="J842" i="3"/>
  <c r="M842" i="3"/>
  <c r="N842" i="3" s="1"/>
  <c r="W842" i="3" l="1"/>
  <c r="L842" i="3"/>
  <c r="AC843" i="3"/>
  <c r="AD843" i="3"/>
  <c r="AA843" i="3"/>
  <c r="Z843" i="3"/>
  <c r="P843" i="3"/>
  <c r="Q843" i="3" s="1"/>
  <c r="R843" i="3" s="1"/>
  <c r="S843" i="3" s="1"/>
  <c r="U842" i="3" l="1"/>
  <c r="Y841" i="3"/>
  <c r="T843" i="3"/>
  <c r="AG843" i="3" s="1"/>
  <c r="D843" i="3" l="1"/>
  <c r="E843" i="3"/>
  <c r="H843" i="3" s="1"/>
  <c r="AH843" i="3"/>
  <c r="F843" i="3" l="1"/>
  <c r="G843" i="3"/>
  <c r="K843" i="3"/>
  <c r="AE843" i="3" s="1"/>
  <c r="V843" i="3" l="1"/>
  <c r="A844" i="3"/>
  <c r="B844" i="3" s="1"/>
  <c r="I843" i="3"/>
  <c r="J843" i="3"/>
  <c r="M843" i="3"/>
  <c r="N843" i="3" s="1"/>
  <c r="W843" i="3" l="1"/>
  <c r="L843" i="3"/>
  <c r="AC844" i="3"/>
  <c r="P844" i="3"/>
  <c r="Q844" i="3" s="1"/>
  <c r="R844" i="3" s="1"/>
  <c r="S844" i="3" s="1"/>
  <c r="Z844" i="3"/>
  <c r="AA844" i="3"/>
  <c r="U843" i="3" l="1"/>
  <c r="Y842" i="3"/>
  <c r="T844" i="3"/>
  <c r="AH844" i="3" s="1"/>
  <c r="AG844" i="3" l="1"/>
  <c r="E844" i="3"/>
  <c r="H844" i="3" s="1"/>
  <c r="K844" i="3" s="1"/>
  <c r="AE844" i="3" s="1"/>
  <c r="D844" i="3"/>
  <c r="V844" i="3" l="1"/>
  <c r="A845" i="3"/>
  <c r="B845" i="3" s="1"/>
  <c r="F844" i="3"/>
  <c r="G844" i="3"/>
  <c r="I844" i="3" l="1"/>
  <c r="W844" i="3" s="1"/>
  <c r="J844" i="3"/>
  <c r="AD844" i="3" s="1"/>
  <c r="M844" i="3"/>
  <c r="N844" i="3" s="1"/>
  <c r="AD845" i="3"/>
  <c r="AC845" i="3"/>
  <c r="P845" i="3"/>
  <c r="Q845" i="3" s="1"/>
  <c r="R845" i="3" s="1"/>
  <c r="S845" i="3" s="1"/>
  <c r="Z845" i="3"/>
  <c r="AA845" i="3"/>
  <c r="T845" i="3" l="1"/>
  <c r="L844" i="3"/>
  <c r="AH845" i="3" l="1"/>
  <c r="U844" i="3"/>
  <c r="D845" i="3" s="1"/>
  <c r="AG845" i="3"/>
  <c r="Y843" i="3"/>
  <c r="E845" i="3" l="1"/>
  <c r="H845" i="3" s="1"/>
  <c r="K845" i="3" s="1"/>
  <c r="AE845" i="3" s="1"/>
  <c r="G845" i="3"/>
  <c r="F845" i="3" l="1"/>
  <c r="I845" i="3"/>
  <c r="J845" i="3"/>
  <c r="M845" i="3"/>
  <c r="N845" i="3" s="1"/>
  <c r="V845" i="3"/>
  <c r="A846" i="3"/>
  <c r="B846" i="3" s="1"/>
  <c r="W845" i="3" l="1"/>
  <c r="L845" i="3"/>
  <c r="P846" i="3"/>
  <c r="Q846" i="3" s="1"/>
  <c r="R846" i="3" s="1"/>
  <c r="S846" i="3" s="1"/>
  <c r="AD846" i="3"/>
  <c r="AC846" i="3"/>
  <c r="Z846" i="3"/>
  <c r="AA846" i="3"/>
  <c r="U845" i="3" l="1"/>
  <c r="Y844" i="3"/>
  <c r="T846" i="3"/>
  <c r="AH846" i="3" s="1"/>
  <c r="D846" i="3" l="1"/>
  <c r="G846" i="3" s="1"/>
  <c r="E846" i="3"/>
  <c r="H846" i="3" s="1"/>
  <c r="K846" i="3" s="1"/>
  <c r="AE846" i="3" s="1"/>
  <c r="AG846" i="3"/>
  <c r="F846" i="3" l="1"/>
  <c r="I846" i="3"/>
  <c r="J846" i="3"/>
  <c r="M846" i="3"/>
  <c r="N846" i="3" s="1"/>
  <c r="V846" i="3"/>
  <c r="A847" i="3"/>
  <c r="B847" i="3" s="1"/>
  <c r="W846" i="3" l="1"/>
  <c r="L846" i="3"/>
  <c r="AC847" i="3"/>
  <c r="P847" i="3"/>
  <c r="Q847" i="3" s="1"/>
  <c r="R847" i="3" s="1"/>
  <c r="S847" i="3" s="1"/>
  <c r="AD847" i="3"/>
  <c r="AA847" i="3"/>
  <c r="Z847" i="3"/>
  <c r="U846" i="3" l="1"/>
  <c r="Y845" i="3"/>
  <c r="T847" i="3"/>
  <c r="D847" i="3" l="1"/>
  <c r="G847" i="3" s="1"/>
  <c r="E847" i="3"/>
  <c r="H847" i="3" s="1"/>
  <c r="K847" i="3" s="1"/>
  <c r="AE847" i="3" s="1"/>
  <c r="AH847" i="3"/>
  <c r="AG847" i="3"/>
  <c r="F847" i="3" l="1"/>
  <c r="I847" i="3"/>
  <c r="J847" i="3"/>
  <c r="M847" i="3"/>
  <c r="N847" i="3" s="1"/>
  <c r="V847" i="3"/>
  <c r="A848" i="3"/>
  <c r="B848" i="3" s="1"/>
  <c r="W847" i="3" l="1"/>
  <c r="L847" i="3"/>
  <c r="AA848" i="3"/>
  <c r="P848" i="3"/>
  <c r="Q848" i="3" s="1"/>
  <c r="R848" i="3" s="1"/>
  <c r="S848" i="3" s="1"/>
  <c r="Z848" i="3"/>
  <c r="AC848" i="3"/>
  <c r="U847" i="3" l="1"/>
  <c r="Y846" i="3"/>
  <c r="T848" i="3"/>
  <c r="AG848" i="3" s="1"/>
  <c r="D848" i="3" l="1"/>
  <c r="AH848" i="3"/>
  <c r="E848" i="3"/>
  <c r="H848" i="3" s="1"/>
  <c r="F848" i="3" l="1"/>
  <c r="G848" i="3"/>
  <c r="K848" i="3"/>
  <c r="AE848" i="3" s="1"/>
  <c r="V848" i="3" l="1"/>
  <c r="A849" i="3"/>
  <c r="B849" i="3" s="1"/>
  <c r="I848" i="3"/>
  <c r="J848" i="3"/>
  <c r="AD848" i="3" s="1"/>
  <c r="M848" i="3"/>
  <c r="N848" i="3" s="1"/>
  <c r="W848" i="3" l="1"/>
  <c r="L848" i="3"/>
  <c r="P849" i="3"/>
  <c r="Q849" i="3" s="1"/>
  <c r="R849" i="3" s="1"/>
  <c r="S849" i="3" s="1"/>
  <c r="AC849" i="3"/>
  <c r="Z849" i="3"/>
  <c r="AD849" i="3"/>
  <c r="AA849" i="3"/>
  <c r="U848" i="3" l="1"/>
  <c r="Y847" i="3"/>
  <c r="T849" i="3"/>
  <c r="AG849" i="3" s="1"/>
  <c r="E849" i="3" l="1"/>
  <c r="H849" i="3" s="1"/>
  <c r="K849" i="3" s="1"/>
  <c r="AE849" i="3" s="1"/>
  <c r="D849" i="3"/>
  <c r="G849" i="3" s="1"/>
  <c r="AH849" i="3"/>
  <c r="F849" i="3" l="1"/>
  <c r="V849" i="3"/>
  <c r="A850" i="3"/>
  <c r="B850" i="3" s="1"/>
  <c r="I849" i="3"/>
  <c r="J849" i="3"/>
  <c r="M849" i="3"/>
  <c r="N849" i="3" s="1"/>
  <c r="W849" i="3" l="1"/>
  <c r="L849" i="3"/>
  <c r="AA850" i="3"/>
  <c r="AC850" i="3"/>
  <c r="P850" i="3"/>
  <c r="Q850" i="3" s="1"/>
  <c r="R850" i="3" s="1"/>
  <c r="S850" i="3" s="1"/>
  <c r="AD850" i="3"/>
  <c r="Z850" i="3"/>
  <c r="T850" i="3" l="1"/>
  <c r="AG850" i="3" s="1"/>
  <c r="U849" i="3"/>
  <c r="Y848" i="3"/>
  <c r="E850" i="3" l="1"/>
  <c r="H850" i="3" s="1"/>
  <c r="D850" i="3"/>
  <c r="AH850" i="3"/>
  <c r="K850" i="3" l="1"/>
  <c r="AE850" i="3" s="1"/>
  <c r="F850" i="3"/>
  <c r="G850" i="3"/>
  <c r="I850" i="3" l="1"/>
  <c r="J850" i="3"/>
  <c r="M850" i="3"/>
  <c r="N850" i="3" s="1"/>
  <c r="V850" i="3"/>
  <c r="A851" i="3"/>
  <c r="B851" i="3" s="1"/>
  <c r="W850" i="3" l="1"/>
  <c r="L850" i="3"/>
  <c r="P851" i="3"/>
  <c r="Q851" i="3" s="1"/>
  <c r="R851" i="3" s="1"/>
  <c r="S851" i="3" s="1"/>
  <c r="AA851" i="3"/>
  <c r="AC851" i="3"/>
  <c r="AD851" i="3"/>
  <c r="Z851" i="3"/>
  <c r="U850" i="3" l="1"/>
  <c r="Y849" i="3"/>
  <c r="T851" i="3"/>
  <c r="AH851" i="3" s="1"/>
  <c r="E851" i="3" l="1"/>
  <c r="H851" i="3" s="1"/>
  <c r="K851" i="3" s="1"/>
  <c r="AE851" i="3" s="1"/>
  <c r="AG851" i="3"/>
  <c r="D851" i="3"/>
  <c r="F851" i="3" l="1"/>
  <c r="G851" i="3"/>
  <c r="M851" i="3" s="1"/>
  <c r="N851" i="3" s="1"/>
  <c r="V851" i="3"/>
  <c r="A852" i="3"/>
  <c r="B852" i="3" s="1"/>
  <c r="I851" i="3" l="1"/>
  <c r="W851" i="3" s="1"/>
  <c r="J851" i="3"/>
  <c r="L851" i="3" s="1"/>
  <c r="AC852" i="3"/>
  <c r="AA852" i="3"/>
  <c r="AD852" i="3"/>
  <c r="P852" i="3"/>
  <c r="Q852" i="3" s="1"/>
  <c r="R852" i="3" s="1"/>
  <c r="S852" i="3" s="1"/>
  <c r="Z852" i="3"/>
  <c r="T852" i="3" l="1"/>
  <c r="U851" i="3"/>
  <c r="Y850" i="3"/>
  <c r="D852" i="3" l="1"/>
  <c r="G852" i="3" s="1"/>
  <c r="AH852" i="3"/>
  <c r="E852" i="3"/>
  <c r="H852" i="3" s="1"/>
  <c r="AG852" i="3"/>
  <c r="F852" i="3" l="1"/>
  <c r="I852" i="3"/>
  <c r="J852" i="3"/>
  <c r="M852" i="3"/>
  <c r="N852" i="3" s="1"/>
  <c r="K852" i="3"/>
  <c r="AE852" i="3" s="1"/>
  <c r="L852" i="3" l="1"/>
  <c r="V852" i="3"/>
  <c r="W852" i="3" s="1"/>
  <c r="A853" i="3"/>
  <c r="B853" i="3" s="1"/>
  <c r="U852" i="3" l="1"/>
  <c r="Y851" i="3"/>
  <c r="AD853" i="3"/>
  <c r="AC853" i="3"/>
  <c r="P853" i="3"/>
  <c r="Q853" i="3" s="1"/>
  <c r="R853" i="3" s="1"/>
  <c r="S853" i="3" s="1"/>
  <c r="Z853" i="3"/>
  <c r="AA853" i="3"/>
  <c r="T853" i="3" l="1"/>
  <c r="AG853" i="3" s="1"/>
  <c r="E853" i="3" l="1"/>
  <c r="H853" i="3" s="1"/>
  <c r="AH853" i="3"/>
  <c r="D853" i="3"/>
  <c r="K853" i="3" l="1"/>
  <c r="AE853" i="3" s="1"/>
  <c r="F853" i="3"/>
  <c r="G853" i="3"/>
  <c r="I853" i="3" l="1"/>
  <c r="J853" i="3"/>
  <c r="M853" i="3"/>
  <c r="N853" i="3" s="1"/>
  <c r="V853" i="3"/>
  <c r="A854" i="3"/>
  <c r="B854" i="3" s="1"/>
  <c r="W853" i="3" l="1"/>
  <c r="L853" i="3"/>
  <c r="Z854" i="3"/>
  <c r="P854" i="3"/>
  <c r="Q854" i="3" s="1"/>
  <c r="R854" i="3" s="1"/>
  <c r="S854" i="3" s="1"/>
  <c r="AC854" i="3"/>
  <c r="AA854" i="3"/>
  <c r="U853" i="3" l="1"/>
  <c r="Y852" i="3"/>
  <c r="T854" i="3"/>
  <c r="AG854" i="3" s="1"/>
  <c r="E854" i="3" l="1"/>
  <c r="H854" i="3" s="1"/>
  <c r="K854" i="3" s="1"/>
  <c r="AE854" i="3" s="1"/>
  <c r="AH854" i="3"/>
  <c r="D854" i="3"/>
  <c r="G854" i="3" s="1"/>
  <c r="F854" i="3" l="1"/>
  <c r="I854" i="3"/>
  <c r="J854" i="3"/>
  <c r="AD854" i="3" s="1"/>
  <c r="M854" i="3"/>
  <c r="N854" i="3" s="1"/>
  <c r="V854" i="3"/>
  <c r="A855" i="3"/>
  <c r="B855" i="3" s="1"/>
  <c r="W854" i="3" l="1"/>
  <c r="L854" i="3"/>
  <c r="Z855" i="3"/>
  <c r="P855" i="3"/>
  <c r="Q855" i="3" s="1"/>
  <c r="R855" i="3" s="1"/>
  <c r="S855" i="3" s="1"/>
  <c r="AA855" i="3"/>
  <c r="AC855" i="3"/>
  <c r="AD855" i="3"/>
  <c r="T855" i="3" l="1"/>
  <c r="AG855" i="3" s="1"/>
  <c r="U854" i="3"/>
  <c r="Y853" i="3"/>
  <c r="E855" i="3" l="1"/>
  <c r="H855" i="3" s="1"/>
  <c r="K855" i="3" s="1"/>
  <c r="AE855" i="3" s="1"/>
  <c r="D855" i="3"/>
  <c r="AH855" i="3"/>
  <c r="F855" i="3" l="1"/>
  <c r="G855" i="3"/>
  <c r="V855" i="3"/>
  <c r="A856" i="3"/>
  <c r="B856" i="3" s="1"/>
  <c r="AA856" i="3" l="1"/>
  <c r="P856" i="3"/>
  <c r="Q856" i="3" s="1"/>
  <c r="R856" i="3" s="1"/>
  <c r="S856" i="3" s="1"/>
  <c r="Z856" i="3"/>
  <c r="AD856" i="3"/>
  <c r="AC856" i="3"/>
  <c r="I855" i="3"/>
  <c r="W855" i="3" s="1"/>
  <c r="J855" i="3"/>
  <c r="M855" i="3"/>
  <c r="N855" i="3" s="1"/>
  <c r="L855" i="3" l="1"/>
  <c r="T856" i="3"/>
  <c r="U855" i="3" l="1"/>
  <c r="D856" i="3" s="1"/>
  <c r="AH856" i="3"/>
  <c r="AG856" i="3"/>
  <c r="Y854" i="3"/>
  <c r="G856" i="3" l="1"/>
  <c r="E856" i="3"/>
  <c r="H856" i="3" s="1"/>
  <c r="F856" i="3" l="1"/>
  <c r="K856" i="3"/>
  <c r="AE856" i="3" s="1"/>
  <c r="I856" i="3"/>
  <c r="J856" i="3"/>
  <c r="M856" i="3"/>
  <c r="N856" i="3" s="1"/>
  <c r="L856" i="3" l="1"/>
  <c r="V856" i="3"/>
  <c r="W856" i="3" s="1"/>
  <c r="A857" i="3"/>
  <c r="B857" i="3" s="1"/>
  <c r="Z857" i="3" l="1"/>
  <c r="AC857" i="3"/>
  <c r="AD857" i="3"/>
  <c r="AA857" i="3"/>
  <c r="P857" i="3"/>
  <c r="Q857" i="3" s="1"/>
  <c r="R857" i="3" s="1"/>
  <c r="S857" i="3" s="1"/>
  <c r="U856" i="3"/>
  <c r="Y855" i="3"/>
  <c r="T857" i="3" l="1"/>
  <c r="E857" i="3" l="1"/>
  <c r="H857" i="3" s="1"/>
  <c r="AG857" i="3"/>
  <c r="D857" i="3"/>
  <c r="AH857" i="3"/>
  <c r="K857" i="3" l="1"/>
  <c r="AE857" i="3" s="1"/>
  <c r="F857" i="3"/>
  <c r="G857" i="3"/>
  <c r="I857" i="3" l="1"/>
  <c r="J857" i="3"/>
  <c r="M857" i="3"/>
  <c r="N857" i="3" s="1"/>
  <c r="V857" i="3"/>
  <c r="A858" i="3"/>
  <c r="B858" i="3" s="1"/>
  <c r="W857" i="3" l="1"/>
  <c r="L857" i="3"/>
  <c r="AA858" i="3"/>
  <c r="Z858" i="3"/>
  <c r="P858" i="3"/>
  <c r="Q858" i="3" s="1"/>
  <c r="R858" i="3" s="1"/>
  <c r="S858" i="3" s="1"/>
  <c r="AC858" i="3"/>
  <c r="U857" i="3" l="1"/>
  <c r="Y856" i="3"/>
  <c r="T858" i="3"/>
  <c r="D858" i="3" l="1"/>
  <c r="G858" i="3" s="1"/>
  <c r="E858" i="3"/>
  <c r="H858" i="3" s="1"/>
  <c r="K858" i="3" s="1"/>
  <c r="AE858" i="3" s="1"/>
  <c r="AG858" i="3"/>
  <c r="AH858" i="3"/>
  <c r="F858" i="3" l="1"/>
  <c r="V858" i="3"/>
  <c r="A859" i="3"/>
  <c r="B859" i="3" s="1"/>
  <c r="I858" i="3"/>
  <c r="J858" i="3"/>
  <c r="AD858" i="3" s="1"/>
  <c r="M858" i="3"/>
  <c r="N858" i="3" s="1"/>
  <c r="W858" i="3" l="1"/>
  <c r="L858" i="3"/>
  <c r="AC859" i="3"/>
  <c r="P859" i="3"/>
  <c r="Q859" i="3" s="1"/>
  <c r="R859" i="3" s="1"/>
  <c r="S859" i="3" s="1"/>
  <c r="AA859" i="3"/>
  <c r="Z859" i="3"/>
  <c r="AD859" i="3"/>
  <c r="U858" i="3" l="1"/>
  <c r="Y857" i="3"/>
  <c r="T859" i="3"/>
  <c r="D859" i="3" l="1"/>
  <c r="G859" i="3" s="1"/>
  <c r="AH859" i="3"/>
  <c r="AG859" i="3"/>
  <c r="E859" i="3"/>
  <c r="H859" i="3" s="1"/>
  <c r="K859" i="3" s="1"/>
  <c r="AE859" i="3" s="1"/>
  <c r="F859" i="3" l="1"/>
  <c r="I859" i="3"/>
  <c r="J859" i="3"/>
  <c r="M859" i="3"/>
  <c r="N859" i="3" s="1"/>
  <c r="V859" i="3"/>
  <c r="A860" i="3"/>
  <c r="B860" i="3" s="1"/>
  <c r="W859" i="3" l="1"/>
  <c r="AC860" i="3"/>
  <c r="AD860" i="3"/>
  <c r="Z860" i="3"/>
  <c r="AA860" i="3"/>
  <c r="P860" i="3"/>
  <c r="Q860" i="3" s="1"/>
  <c r="R860" i="3" s="1"/>
  <c r="S860" i="3" s="1"/>
  <c r="L859" i="3"/>
  <c r="T860" i="3" l="1"/>
  <c r="U859" i="3"/>
  <c r="Y858" i="3"/>
  <c r="D860" i="3" l="1"/>
  <c r="G860" i="3" s="1"/>
  <c r="AG860" i="3"/>
  <c r="AH860" i="3"/>
  <c r="E860" i="3"/>
  <c r="H860" i="3" s="1"/>
  <c r="I860" i="3" l="1"/>
  <c r="J860" i="3"/>
  <c r="M860" i="3"/>
  <c r="N860" i="3" s="1"/>
  <c r="K860" i="3"/>
  <c r="AE860" i="3" s="1"/>
  <c r="F860" i="3"/>
  <c r="L860" i="3" l="1"/>
  <c r="V860" i="3"/>
  <c r="W860" i="3" s="1"/>
  <c r="A861" i="3"/>
  <c r="B861" i="3" s="1"/>
  <c r="U860" i="3" l="1"/>
  <c r="Y859" i="3"/>
  <c r="Z861" i="3"/>
  <c r="AD861" i="3"/>
  <c r="P861" i="3"/>
  <c r="Q861" i="3" s="1"/>
  <c r="R861" i="3" s="1"/>
  <c r="S861" i="3" s="1"/>
  <c r="AC861" i="3"/>
  <c r="AA861" i="3"/>
  <c r="T861" i="3" l="1"/>
  <c r="E861" i="3" s="1"/>
  <c r="H861" i="3" s="1"/>
  <c r="K861" i="3" l="1"/>
  <c r="AE861" i="3" s="1"/>
  <c r="D861" i="3"/>
  <c r="AH861" i="3"/>
  <c r="AG861" i="3"/>
  <c r="F861" i="3" l="1"/>
  <c r="G861" i="3"/>
  <c r="V861" i="3"/>
  <c r="A862" i="3"/>
  <c r="B862" i="3" s="1"/>
  <c r="AD862" i="3" l="1"/>
  <c r="Z862" i="3"/>
  <c r="P862" i="3"/>
  <c r="Q862" i="3" s="1"/>
  <c r="R862" i="3" s="1"/>
  <c r="S862" i="3" s="1"/>
  <c r="AC862" i="3"/>
  <c r="AA862" i="3"/>
  <c r="I861" i="3"/>
  <c r="W861" i="3" s="1"/>
  <c r="J861" i="3"/>
  <c r="M861" i="3"/>
  <c r="N861" i="3" s="1"/>
  <c r="T862" i="3" l="1"/>
  <c r="L861" i="3"/>
  <c r="AH862" i="3" l="1"/>
  <c r="U861" i="3"/>
  <c r="D862" i="3" s="1"/>
  <c r="AG862" i="3"/>
  <c r="Y860" i="3"/>
  <c r="E862" i="3" l="1"/>
  <c r="H862" i="3" s="1"/>
  <c r="K862" i="3" s="1"/>
  <c r="AE862" i="3" s="1"/>
  <c r="G862" i="3"/>
  <c r="F862" i="3" l="1"/>
  <c r="I862" i="3"/>
  <c r="J862" i="3"/>
  <c r="M862" i="3"/>
  <c r="N862" i="3" s="1"/>
  <c r="V862" i="3"/>
  <c r="A863" i="3"/>
  <c r="B863" i="3" s="1"/>
  <c r="W862" i="3" l="1"/>
  <c r="L862" i="3"/>
  <c r="AA863" i="3"/>
  <c r="Z863" i="3"/>
  <c r="P863" i="3"/>
  <c r="Q863" i="3" s="1"/>
  <c r="R863" i="3" s="1"/>
  <c r="S863" i="3" s="1"/>
  <c r="AD863" i="3"/>
  <c r="AC863" i="3"/>
  <c r="T863" i="3" l="1"/>
  <c r="U862" i="3"/>
  <c r="Y861" i="3"/>
  <c r="E863" i="3" l="1"/>
  <c r="H863" i="3" s="1"/>
  <c r="K863" i="3" s="1"/>
  <c r="AE863" i="3" s="1"/>
  <c r="D863" i="3"/>
  <c r="G863" i="3" s="1"/>
  <c r="AH863" i="3"/>
  <c r="AG863" i="3"/>
  <c r="F863" i="3" l="1"/>
  <c r="I863" i="3"/>
  <c r="J863" i="3"/>
  <c r="M863" i="3"/>
  <c r="N863" i="3" s="1"/>
  <c r="V863" i="3"/>
  <c r="A864" i="3"/>
  <c r="B864" i="3" s="1"/>
  <c r="W863" i="3" l="1"/>
  <c r="L863" i="3"/>
  <c r="AC864" i="3"/>
  <c r="Z864" i="3"/>
  <c r="AA864" i="3"/>
  <c r="P864" i="3"/>
  <c r="Q864" i="3" s="1"/>
  <c r="R864" i="3" s="1"/>
  <c r="S864" i="3" s="1"/>
  <c r="U863" i="3" l="1"/>
  <c r="Y862" i="3"/>
  <c r="T864" i="3"/>
  <c r="AH864" i="3" s="1"/>
  <c r="E864" i="3" l="1"/>
  <c r="H864" i="3" s="1"/>
  <c r="D864" i="3"/>
  <c r="AG864" i="3"/>
  <c r="K864" i="3" l="1"/>
  <c r="AE864" i="3" s="1"/>
  <c r="F864" i="3"/>
  <c r="G864" i="3"/>
  <c r="I864" i="3" l="1"/>
  <c r="J864" i="3"/>
  <c r="AD864" i="3" s="1"/>
  <c r="M864" i="3"/>
  <c r="N864" i="3" s="1"/>
  <c r="V864" i="3"/>
  <c r="A865" i="3"/>
  <c r="B865" i="3" s="1"/>
  <c r="W864" i="3" l="1"/>
  <c r="L864" i="3"/>
  <c r="AD865" i="3"/>
  <c r="P865" i="3"/>
  <c r="Q865" i="3" s="1"/>
  <c r="R865" i="3" s="1"/>
  <c r="S865" i="3" s="1"/>
  <c r="AC865" i="3"/>
  <c r="Z865" i="3"/>
  <c r="AA865" i="3"/>
  <c r="U864" i="3" l="1"/>
  <c r="Y863" i="3"/>
  <c r="T865" i="3"/>
  <c r="AG865" i="3" s="1"/>
  <c r="E865" i="3" l="1"/>
  <c r="H865" i="3" s="1"/>
  <c r="K865" i="3" s="1"/>
  <c r="AE865" i="3" s="1"/>
  <c r="D865" i="3"/>
  <c r="G865" i="3" s="1"/>
  <c r="AH865" i="3"/>
  <c r="F865" i="3" l="1"/>
  <c r="V865" i="3"/>
  <c r="A866" i="3"/>
  <c r="B866" i="3" s="1"/>
  <c r="I865" i="3"/>
  <c r="J865" i="3"/>
  <c r="M865" i="3"/>
  <c r="N865" i="3" s="1"/>
  <c r="W865" i="3" l="1"/>
  <c r="L865" i="3"/>
  <c r="P866" i="3"/>
  <c r="Q866" i="3" s="1"/>
  <c r="R866" i="3" s="1"/>
  <c r="S866" i="3" s="1"/>
  <c r="AA866" i="3"/>
  <c r="Z866" i="3"/>
  <c r="AC866" i="3"/>
  <c r="AD866" i="3"/>
  <c r="T866" i="3" l="1"/>
  <c r="U865" i="3"/>
  <c r="Y864" i="3"/>
  <c r="D866" i="3" l="1"/>
  <c r="G866" i="3" s="1"/>
  <c r="AG866" i="3"/>
  <c r="AH866" i="3"/>
  <c r="E866" i="3"/>
  <c r="H866" i="3" s="1"/>
  <c r="F866" i="3" l="1"/>
  <c r="K866" i="3"/>
  <c r="AE866" i="3" s="1"/>
  <c r="I866" i="3"/>
  <c r="J866" i="3"/>
  <c r="M866" i="3"/>
  <c r="N866" i="3" s="1"/>
  <c r="L866" i="3" l="1"/>
  <c r="V866" i="3"/>
  <c r="W866" i="3" s="1"/>
  <c r="A867" i="3"/>
  <c r="B867" i="3" s="1"/>
  <c r="Z867" i="3" l="1"/>
  <c r="AA867" i="3"/>
  <c r="P867" i="3"/>
  <c r="Q867" i="3" s="1"/>
  <c r="R867" i="3" s="1"/>
  <c r="S867" i="3" s="1"/>
  <c r="AC867" i="3"/>
  <c r="AD867" i="3"/>
  <c r="U866" i="3"/>
  <c r="Y865" i="3"/>
  <c r="T867" i="3" l="1"/>
  <c r="D867" i="3" s="1"/>
  <c r="AG867" i="3" l="1"/>
  <c r="E867" i="3"/>
  <c r="H867" i="3" s="1"/>
  <c r="K867" i="3" s="1"/>
  <c r="AE867" i="3" s="1"/>
  <c r="AH867" i="3"/>
  <c r="G867" i="3"/>
  <c r="F867" i="3" l="1"/>
  <c r="I867" i="3"/>
  <c r="J867" i="3"/>
  <c r="M867" i="3"/>
  <c r="N867" i="3" s="1"/>
  <c r="V867" i="3"/>
  <c r="A868" i="3"/>
  <c r="B868" i="3" s="1"/>
  <c r="W867" i="3" l="1"/>
  <c r="L867" i="3"/>
  <c r="Z868" i="3"/>
  <c r="AA868" i="3"/>
  <c r="AC868" i="3"/>
  <c r="P868" i="3"/>
  <c r="Q868" i="3" s="1"/>
  <c r="R868" i="3" s="1"/>
  <c r="S868" i="3" s="1"/>
  <c r="T868" i="3" l="1"/>
  <c r="U867" i="3"/>
  <c r="Y866" i="3"/>
  <c r="E868" i="3" l="1"/>
  <c r="H868" i="3" s="1"/>
  <c r="K868" i="3" s="1"/>
  <c r="AE868" i="3" s="1"/>
  <c r="AH868" i="3"/>
  <c r="D868" i="3"/>
  <c r="G868" i="3" s="1"/>
  <c r="AG868" i="3"/>
  <c r="F868" i="3" l="1"/>
  <c r="I868" i="3"/>
  <c r="J868" i="3"/>
  <c r="AD868" i="3" s="1"/>
  <c r="M868" i="3"/>
  <c r="N868" i="3" s="1"/>
  <c r="V868" i="3"/>
  <c r="A869" i="3"/>
  <c r="B869" i="3" s="1"/>
  <c r="W868" i="3" l="1"/>
  <c r="L868" i="3"/>
  <c r="P869" i="3"/>
  <c r="Q869" i="3" s="1"/>
  <c r="R869" i="3" s="1"/>
  <c r="S869" i="3" s="1"/>
  <c r="Z869" i="3"/>
  <c r="AC869" i="3"/>
  <c r="AA869" i="3"/>
  <c r="AD869" i="3"/>
  <c r="T869" i="3" l="1"/>
  <c r="U868" i="3"/>
  <c r="Y867" i="3"/>
  <c r="E869" i="3" l="1"/>
  <c r="H869" i="3" s="1"/>
  <c r="K869" i="3" s="1"/>
  <c r="AE869" i="3" s="1"/>
  <c r="AG869" i="3"/>
  <c r="D869" i="3"/>
  <c r="AH869" i="3"/>
  <c r="V869" i="3" l="1"/>
  <c r="A870" i="3"/>
  <c r="B870" i="3" s="1"/>
  <c r="F869" i="3"/>
  <c r="G869" i="3"/>
  <c r="I869" i="3" l="1"/>
  <c r="W869" i="3" s="1"/>
  <c r="J869" i="3"/>
  <c r="M869" i="3"/>
  <c r="N869" i="3" s="1"/>
  <c r="AD870" i="3"/>
  <c r="Z870" i="3"/>
  <c r="AA870" i="3"/>
  <c r="P870" i="3"/>
  <c r="Q870" i="3" s="1"/>
  <c r="R870" i="3" s="1"/>
  <c r="S870" i="3" s="1"/>
  <c r="AC870" i="3"/>
  <c r="L869" i="3" l="1"/>
  <c r="T870" i="3"/>
  <c r="U869" i="3" l="1"/>
  <c r="E870" i="3" s="1"/>
  <c r="H870" i="3" s="1"/>
  <c r="AH870" i="3"/>
  <c r="AG870" i="3"/>
  <c r="Y868" i="3"/>
  <c r="D870" i="3" l="1"/>
  <c r="G870" i="3" s="1"/>
  <c r="K870" i="3"/>
  <c r="AE870" i="3" s="1"/>
  <c r="F870" i="3" l="1"/>
  <c r="V870" i="3"/>
  <c r="A871" i="3"/>
  <c r="B871" i="3" s="1"/>
  <c r="I870" i="3"/>
  <c r="J870" i="3"/>
  <c r="M870" i="3"/>
  <c r="N870" i="3" s="1"/>
  <c r="W870" i="3" l="1"/>
  <c r="L870" i="3"/>
  <c r="Z871" i="3"/>
  <c r="P871" i="3"/>
  <c r="Q871" i="3" s="1"/>
  <c r="R871" i="3" s="1"/>
  <c r="S871" i="3" s="1"/>
  <c r="AD871" i="3"/>
  <c r="AA871" i="3"/>
  <c r="AC871" i="3"/>
  <c r="T871" i="3" l="1"/>
  <c r="AH871" i="3" s="1"/>
  <c r="U870" i="3"/>
  <c r="Y869" i="3"/>
  <c r="E871" i="3" l="1"/>
  <c r="H871" i="3" s="1"/>
  <c r="K871" i="3" s="1"/>
  <c r="AE871" i="3" s="1"/>
  <c r="AG871" i="3"/>
  <c r="D871" i="3"/>
  <c r="F871" i="3" l="1"/>
  <c r="G871" i="3"/>
  <c r="V871" i="3"/>
  <c r="A872" i="3"/>
  <c r="B872" i="3" s="1"/>
  <c r="AC872" i="3" l="1"/>
  <c r="AA872" i="3"/>
  <c r="P872" i="3"/>
  <c r="Q872" i="3" s="1"/>
  <c r="R872" i="3" s="1"/>
  <c r="S872" i="3" s="1"/>
  <c r="Z872" i="3"/>
  <c r="AD872" i="3"/>
  <c r="I871" i="3"/>
  <c r="W871" i="3" s="1"/>
  <c r="J871" i="3"/>
  <c r="M871" i="3"/>
  <c r="N871" i="3" s="1"/>
  <c r="L871" i="3" l="1"/>
  <c r="T872" i="3"/>
  <c r="AG872" i="3" l="1"/>
  <c r="AH872" i="3"/>
  <c r="U871" i="3"/>
  <c r="E872" i="3" s="1"/>
  <c r="H872" i="3" s="1"/>
  <c r="Y870" i="3"/>
  <c r="D872" i="3" l="1"/>
  <c r="G872" i="3" s="1"/>
  <c r="K872" i="3"/>
  <c r="AE872" i="3" s="1"/>
  <c r="F872" i="3" l="1"/>
  <c r="I872" i="3"/>
  <c r="J872" i="3"/>
  <c r="M872" i="3"/>
  <c r="N872" i="3" s="1"/>
  <c r="V872" i="3"/>
  <c r="A873" i="3"/>
  <c r="B873" i="3" s="1"/>
  <c r="W872" i="3" l="1"/>
  <c r="L872" i="3"/>
  <c r="AA873" i="3"/>
  <c r="AC873" i="3"/>
  <c r="AD873" i="3"/>
  <c r="P873" i="3"/>
  <c r="Q873" i="3" s="1"/>
  <c r="R873" i="3" s="1"/>
  <c r="S873" i="3" s="1"/>
  <c r="Z873" i="3"/>
  <c r="T873" i="3" l="1"/>
  <c r="AH873" i="3" s="1"/>
  <c r="U872" i="3"/>
  <c r="Y871" i="3"/>
  <c r="AG873" i="3" l="1"/>
  <c r="E873" i="3"/>
  <c r="H873" i="3" s="1"/>
  <c r="D873" i="3"/>
  <c r="K873" i="3" l="1"/>
  <c r="AE873" i="3" s="1"/>
  <c r="F873" i="3"/>
  <c r="G873" i="3"/>
  <c r="I873" i="3" l="1"/>
  <c r="J873" i="3"/>
  <c r="M873" i="3"/>
  <c r="N873" i="3" s="1"/>
  <c r="V873" i="3"/>
  <c r="A874" i="3"/>
  <c r="B874" i="3" s="1"/>
  <c r="W873" i="3" l="1"/>
  <c r="L873" i="3"/>
  <c r="AA874" i="3"/>
  <c r="P874" i="3"/>
  <c r="Q874" i="3" s="1"/>
  <c r="R874" i="3" s="1"/>
  <c r="S874" i="3" s="1"/>
  <c r="Z874" i="3"/>
  <c r="AC874" i="3"/>
  <c r="T874" i="3" l="1"/>
  <c r="AH874" i="3" s="1"/>
  <c r="U873" i="3"/>
  <c r="Y872" i="3"/>
  <c r="E874" i="3" l="1"/>
  <c r="H874" i="3" s="1"/>
  <c r="D874" i="3"/>
  <c r="AG874" i="3"/>
  <c r="K874" i="3" l="1"/>
  <c r="AE874" i="3" s="1"/>
  <c r="F874" i="3"/>
  <c r="G874" i="3"/>
  <c r="I874" i="3" l="1"/>
  <c r="J874" i="3"/>
  <c r="AD874" i="3" s="1"/>
  <c r="M874" i="3"/>
  <c r="N874" i="3" s="1"/>
  <c r="V874" i="3"/>
  <c r="A875" i="3"/>
  <c r="B875" i="3" s="1"/>
  <c r="W874" i="3" l="1"/>
  <c r="L874" i="3"/>
  <c r="AA875" i="3"/>
  <c r="Z875" i="3"/>
  <c r="P875" i="3"/>
  <c r="Q875" i="3" s="1"/>
  <c r="R875" i="3" s="1"/>
  <c r="S875" i="3" s="1"/>
  <c r="AD875" i="3"/>
  <c r="AC875" i="3"/>
  <c r="T875" i="3" l="1"/>
  <c r="U874" i="3"/>
  <c r="Y873" i="3"/>
  <c r="D875" i="3" l="1"/>
  <c r="G875" i="3" s="1"/>
  <c r="E875" i="3"/>
  <c r="H875" i="3" s="1"/>
  <c r="K875" i="3" s="1"/>
  <c r="AE875" i="3" s="1"/>
  <c r="AH875" i="3"/>
  <c r="AG875" i="3"/>
  <c r="F875" i="3" l="1"/>
  <c r="V875" i="3"/>
  <c r="A876" i="3"/>
  <c r="B876" i="3" s="1"/>
  <c r="I875" i="3"/>
  <c r="J875" i="3"/>
  <c r="M875" i="3"/>
  <c r="N875" i="3" s="1"/>
  <c r="W875" i="3" l="1"/>
  <c r="L875" i="3"/>
  <c r="AC876" i="3"/>
  <c r="P876" i="3"/>
  <c r="Q876" i="3" s="1"/>
  <c r="R876" i="3" s="1"/>
  <c r="S876" i="3" s="1"/>
  <c r="Z876" i="3"/>
  <c r="AA876" i="3"/>
  <c r="AD876" i="3"/>
  <c r="U875" i="3" l="1"/>
  <c r="Y874" i="3"/>
  <c r="T876" i="3"/>
  <c r="AG876" i="3" s="1"/>
  <c r="D876" i="3" l="1"/>
  <c r="E876" i="3"/>
  <c r="H876" i="3" s="1"/>
  <c r="AH876" i="3"/>
  <c r="K876" i="3" l="1"/>
  <c r="AE876" i="3" s="1"/>
  <c r="F876" i="3"/>
  <c r="G876" i="3"/>
  <c r="I876" i="3" l="1"/>
  <c r="J876" i="3"/>
  <c r="M876" i="3"/>
  <c r="N876" i="3" s="1"/>
  <c r="V876" i="3"/>
  <c r="A877" i="3"/>
  <c r="B877" i="3" s="1"/>
  <c r="W876" i="3" l="1"/>
  <c r="L876" i="3"/>
  <c r="P877" i="3"/>
  <c r="Q877" i="3" s="1"/>
  <c r="R877" i="3" s="1"/>
  <c r="S877" i="3" s="1"/>
  <c r="AA877" i="3"/>
  <c r="Z877" i="3"/>
  <c r="AD877" i="3"/>
  <c r="AC877" i="3"/>
  <c r="U876" i="3" l="1"/>
  <c r="Y875" i="3"/>
  <c r="T877" i="3"/>
  <c r="D877" i="3" l="1"/>
  <c r="G877" i="3" s="1"/>
  <c r="AH877" i="3"/>
  <c r="AG877" i="3"/>
  <c r="E877" i="3"/>
  <c r="H877" i="3" s="1"/>
  <c r="I877" i="3" l="1"/>
  <c r="J877" i="3"/>
  <c r="M877" i="3"/>
  <c r="N877" i="3" s="1"/>
  <c r="K877" i="3"/>
  <c r="AE877" i="3" s="1"/>
  <c r="F877" i="3"/>
  <c r="V877" i="3" l="1"/>
  <c r="W877" i="3" s="1"/>
  <c r="A878" i="3"/>
  <c r="B878" i="3" s="1"/>
  <c r="L877" i="3"/>
  <c r="U877" i="3" l="1"/>
  <c r="Y876" i="3"/>
  <c r="Z878" i="3"/>
  <c r="AC878" i="3"/>
  <c r="AA878" i="3"/>
  <c r="P878" i="3"/>
  <c r="Q878" i="3" s="1"/>
  <c r="R878" i="3" s="1"/>
  <c r="S878" i="3" s="1"/>
  <c r="T878" i="3" l="1"/>
  <c r="E878" i="3" s="1"/>
  <c r="H878" i="3" s="1"/>
  <c r="D878" i="3" l="1"/>
  <c r="G878" i="3" s="1"/>
  <c r="AG878" i="3"/>
  <c r="AH878" i="3"/>
  <c r="K878" i="3"/>
  <c r="AE878" i="3" s="1"/>
  <c r="F878" i="3" l="1"/>
  <c r="I878" i="3"/>
  <c r="J878" i="3"/>
  <c r="AD878" i="3" s="1"/>
  <c r="M878" i="3"/>
  <c r="N878" i="3" s="1"/>
  <c r="V878" i="3"/>
  <c r="A879" i="3"/>
  <c r="B879" i="3" s="1"/>
  <c r="W878" i="3" l="1"/>
  <c r="L878" i="3"/>
  <c r="AC879" i="3"/>
  <c r="AD879" i="3"/>
  <c r="P879" i="3"/>
  <c r="Q879" i="3" s="1"/>
  <c r="R879" i="3" s="1"/>
  <c r="S879" i="3" s="1"/>
  <c r="AA879" i="3"/>
  <c r="Z879" i="3"/>
  <c r="T879" i="3" l="1"/>
  <c r="AG879" i="3" s="1"/>
  <c r="U878" i="3"/>
  <c r="Y877" i="3"/>
  <c r="E879" i="3" l="1"/>
  <c r="H879" i="3" s="1"/>
  <c r="D879" i="3"/>
  <c r="AH879" i="3"/>
  <c r="F879" i="3" l="1"/>
  <c r="G879" i="3"/>
  <c r="K879" i="3"/>
  <c r="AE879" i="3" s="1"/>
  <c r="I879" i="3" l="1"/>
  <c r="J879" i="3"/>
  <c r="M879" i="3"/>
  <c r="N879" i="3" s="1"/>
  <c r="V879" i="3"/>
  <c r="A880" i="3"/>
  <c r="B880" i="3" s="1"/>
  <c r="W879" i="3" l="1"/>
  <c r="L879" i="3"/>
  <c r="AD880" i="3"/>
  <c r="AA880" i="3"/>
  <c r="AC880" i="3"/>
  <c r="Z880" i="3"/>
  <c r="P880" i="3"/>
  <c r="Q880" i="3" s="1"/>
  <c r="R880" i="3" s="1"/>
  <c r="S880" i="3" s="1"/>
  <c r="T880" i="3" l="1"/>
  <c r="AG880" i="3" s="1"/>
  <c r="U879" i="3"/>
  <c r="Y878" i="3"/>
  <c r="D880" i="3" l="1"/>
  <c r="AH880" i="3"/>
  <c r="E880" i="3"/>
  <c r="H880" i="3" s="1"/>
  <c r="F880" i="3" l="1"/>
  <c r="G880" i="3"/>
  <c r="K880" i="3"/>
  <c r="AE880" i="3" s="1"/>
  <c r="V880" i="3" l="1"/>
  <c r="A881" i="3"/>
  <c r="B881" i="3" s="1"/>
  <c r="I880" i="3"/>
  <c r="J880" i="3"/>
  <c r="M880" i="3"/>
  <c r="N880" i="3" s="1"/>
  <c r="W880" i="3" l="1"/>
  <c r="L880" i="3"/>
  <c r="AA881" i="3"/>
  <c r="AD881" i="3"/>
  <c r="P881" i="3"/>
  <c r="Q881" i="3" s="1"/>
  <c r="R881" i="3" s="1"/>
  <c r="S881" i="3" s="1"/>
  <c r="Z881" i="3"/>
  <c r="AC881" i="3"/>
  <c r="U880" i="3" l="1"/>
  <c r="Y879" i="3"/>
  <c r="T881" i="3"/>
  <c r="E881" i="3" l="1"/>
  <c r="H881" i="3" s="1"/>
  <c r="K881" i="3" s="1"/>
  <c r="AE881" i="3" s="1"/>
  <c r="D881" i="3"/>
  <c r="AG881" i="3"/>
  <c r="AH881" i="3"/>
  <c r="F881" i="3" l="1"/>
  <c r="G881" i="3"/>
  <c r="I881" i="3" s="1"/>
  <c r="V881" i="3"/>
  <c r="A882" i="3"/>
  <c r="B882" i="3" s="1"/>
  <c r="W881" i="3" l="1"/>
  <c r="M881" i="3"/>
  <c r="N881" i="3" s="1"/>
  <c r="J881" i="3"/>
  <c r="L881" i="3" s="1"/>
  <c r="Z882" i="3"/>
  <c r="P882" i="3"/>
  <c r="Q882" i="3" s="1"/>
  <c r="R882" i="3" s="1"/>
  <c r="S882" i="3" s="1"/>
  <c r="AD882" i="3"/>
  <c r="AC882" i="3"/>
  <c r="AA882" i="3"/>
  <c r="T882" i="3" l="1"/>
  <c r="AG882" i="3" s="1"/>
  <c r="U881" i="3"/>
  <c r="Y880" i="3"/>
  <c r="AH882" i="3" l="1"/>
  <c r="D882" i="3"/>
  <c r="E882" i="3"/>
  <c r="H882" i="3" s="1"/>
  <c r="F882" i="3" l="1"/>
  <c r="G882" i="3"/>
  <c r="K882" i="3"/>
  <c r="AE882" i="3" s="1"/>
  <c r="I882" i="3" l="1"/>
  <c r="J882" i="3"/>
  <c r="M882" i="3"/>
  <c r="N882" i="3" s="1"/>
  <c r="V882" i="3"/>
  <c r="A883" i="3"/>
  <c r="B883" i="3" s="1"/>
  <c r="W882" i="3" l="1"/>
  <c r="L882" i="3"/>
  <c r="AC883" i="3"/>
  <c r="AA883" i="3"/>
  <c r="Z883" i="3"/>
  <c r="AD883" i="3"/>
  <c r="P883" i="3"/>
  <c r="Q883" i="3" s="1"/>
  <c r="R883" i="3" s="1"/>
  <c r="S883" i="3" s="1"/>
  <c r="T883" i="3" l="1"/>
  <c r="AG883" i="3" s="1"/>
  <c r="U882" i="3"/>
  <c r="Y881" i="3"/>
  <c r="E883" i="3" l="1"/>
  <c r="H883" i="3" s="1"/>
  <c r="K883" i="3" s="1"/>
  <c r="AE883" i="3" s="1"/>
  <c r="D883" i="3"/>
  <c r="AH883" i="3"/>
  <c r="V883" i="3" l="1"/>
  <c r="A884" i="3"/>
  <c r="B884" i="3" s="1"/>
  <c r="F883" i="3"/>
  <c r="G883" i="3"/>
  <c r="I883" i="3" l="1"/>
  <c r="W883" i="3" s="1"/>
  <c r="J883" i="3"/>
  <c r="M883" i="3"/>
  <c r="N883" i="3" s="1"/>
  <c r="AA884" i="3"/>
  <c r="Z884" i="3"/>
  <c r="P884" i="3"/>
  <c r="Q884" i="3" s="1"/>
  <c r="R884" i="3" s="1"/>
  <c r="S884" i="3" s="1"/>
  <c r="AC884" i="3"/>
  <c r="T884" i="3" l="1"/>
  <c r="L883" i="3"/>
  <c r="AG884" i="3" l="1"/>
  <c r="U883" i="3"/>
  <c r="D884" i="3" s="1"/>
  <c r="AH884" i="3"/>
  <c r="Y882" i="3"/>
  <c r="E884" i="3" l="1"/>
  <c r="H884" i="3" s="1"/>
  <c r="K884" i="3" s="1"/>
  <c r="AE884" i="3" s="1"/>
  <c r="G884" i="3"/>
  <c r="F884" i="3" l="1"/>
  <c r="V884" i="3"/>
  <c r="A885" i="3"/>
  <c r="B885" i="3" s="1"/>
  <c r="I884" i="3"/>
  <c r="J884" i="3"/>
  <c r="AD884" i="3" s="1"/>
  <c r="M884" i="3"/>
  <c r="N884" i="3" s="1"/>
  <c r="W884" i="3" l="1"/>
  <c r="L884" i="3"/>
  <c r="P885" i="3"/>
  <c r="Q885" i="3" s="1"/>
  <c r="R885" i="3" s="1"/>
  <c r="S885" i="3" s="1"/>
  <c r="AD885" i="3"/>
  <c r="Z885" i="3"/>
  <c r="AC885" i="3"/>
  <c r="AA885" i="3"/>
  <c r="U884" i="3" l="1"/>
  <c r="Y883" i="3"/>
  <c r="T885" i="3"/>
  <c r="AH885" i="3" s="1"/>
  <c r="D885" i="3" l="1"/>
  <c r="G885" i="3" s="1"/>
  <c r="E885" i="3"/>
  <c r="H885" i="3" s="1"/>
  <c r="K885" i="3" s="1"/>
  <c r="AE885" i="3" s="1"/>
  <c r="AG885" i="3"/>
  <c r="F885" i="3" l="1"/>
  <c r="V885" i="3"/>
  <c r="A886" i="3"/>
  <c r="B886" i="3" s="1"/>
  <c r="I885" i="3"/>
  <c r="J885" i="3"/>
  <c r="M885" i="3"/>
  <c r="N885" i="3" s="1"/>
  <c r="W885" i="3" l="1"/>
  <c r="L885" i="3"/>
  <c r="P886" i="3"/>
  <c r="Q886" i="3" s="1"/>
  <c r="R886" i="3" s="1"/>
  <c r="S886" i="3" s="1"/>
  <c r="AA886" i="3"/>
  <c r="AC886" i="3"/>
  <c r="AD886" i="3"/>
  <c r="Z886" i="3"/>
  <c r="U885" i="3" l="1"/>
  <c r="Y884" i="3"/>
  <c r="T886" i="3"/>
  <c r="E886" i="3" l="1"/>
  <c r="H886" i="3" s="1"/>
  <c r="K886" i="3" s="1"/>
  <c r="AE886" i="3" s="1"/>
  <c r="AH886" i="3"/>
  <c r="AG886" i="3"/>
  <c r="D886" i="3"/>
  <c r="F886" i="3" l="1"/>
  <c r="G886" i="3"/>
  <c r="V886" i="3"/>
  <c r="A887" i="3"/>
  <c r="B887" i="3" s="1"/>
  <c r="I886" i="3" l="1"/>
  <c r="W886" i="3" s="1"/>
  <c r="J886" i="3"/>
  <c r="M886" i="3"/>
  <c r="N886" i="3" s="1"/>
  <c r="P887" i="3"/>
  <c r="Q887" i="3" s="1"/>
  <c r="R887" i="3" s="1"/>
  <c r="S887" i="3" s="1"/>
  <c r="Z887" i="3"/>
  <c r="AD887" i="3"/>
  <c r="AA887" i="3"/>
  <c r="AC887" i="3"/>
  <c r="T887" i="3" l="1"/>
  <c r="L886" i="3"/>
  <c r="AG887" i="3" l="1"/>
  <c r="AH887" i="3"/>
  <c r="U886" i="3"/>
  <c r="D887" i="3" s="1"/>
  <c r="Y885" i="3"/>
  <c r="E887" i="3" l="1"/>
  <c r="H887" i="3" s="1"/>
  <c r="K887" i="3" s="1"/>
  <c r="AE887" i="3" s="1"/>
  <c r="G887" i="3"/>
  <c r="F887" i="3" l="1"/>
  <c r="I887" i="3"/>
  <c r="J887" i="3"/>
  <c r="M887" i="3"/>
  <c r="N887" i="3" s="1"/>
  <c r="V887" i="3"/>
  <c r="A888" i="3"/>
  <c r="B888" i="3" s="1"/>
  <c r="W887" i="3" l="1"/>
  <c r="L887" i="3"/>
  <c r="AC888" i="3"/>
  <c r="AA888" i="3"/>
  <c r="Z888" i="3"/>
  <c r="P888" i="3"/>
  <c r="Q888" i="3" s="1"/>
  <c r="R888" i="3" s="1"/>
  <c r="S888" i="3" s="1"/>
  <c r="T888" i="3" l="1"/>
  <c r="U887" i="3"/>
  <c r="Y886" i="3"/>
  <c r="E888" i="3" l="1"/>
  <c r="H888" i="3" s="1"/>
  <c r="K888" i="3" s="1"/>
  <c r="AE888" i="3" s="1"/>
  <c r="D888" i="3"/>
  <c r="G888" i="3" s="1"/>
  <c r="AG888" i="3"/>
  <c r="AH888" i="3"/>
  <c r="F888" i="3" l="1"/>
  <c r="I888" i="3"/>
  <c r="J888" i="3"/>
  <c r="AD888" i="3" s="1"/>
  <c r="M888" i="3"/>
  <c r="N888" i="3" s="1"/>
  <c r="V888" i="3"/>
  <c r="A889" i="3"/>
  <c r="B889" i="3" s="1"/>
  <c r="W888" i="3" l="1"/>
  <c r="L888" i="3"/>
  <c r="AA889" i="3"/>
  <c r="Z889" i="3"/>
  <c r="AD889" i="3"/>
  <c r="P889" i="3"/>
  <c r="Q889" i="3" s="1"/>
  <c r="R889" i="3" s="1"/>
  <c r="S889" i="3" s="1"/>
  <c r="AC889" i="3"/>
  <c r="T889" i="3" l="1"/>
  <c r="AG889" i="3" s="1"/>
  <c r="U888" i="3"/>
  <c r="Y887" i="3"/>
  <c r="AH889" i="3" l="1"/>
  <c r="D889" i="3"/>
  <c r="G889" i="3" s="1"/>
  <c r="E889" i="3"/>
  <c r="H889" i="3" s="1"/>
  <c r="I889" i="3" l="1"/>
  <c r="J889" i="3"/>
  <c r="M889" i="3"/>
  <c r="N889" i="3" s="1"/>
  <c r="K889" i="3"/>
  <c r="AE889" i="3" s="1"/>
  <c r="F889" i="3"/>
  <c r="L889" i="3" l="1"/>
  <c r="V889" i="3"/>
  <c r="W889" i="3" s="1"/>
  <c r="A890" i="3"/>
  <c r="B890" i="3" s="1"/>
  <c r="AA890" i="3" l="1"/>
  <c r="P890" i="3"/>
  <c r="Q890" i="3" s="1"/>
  <c r="R890" i="3" s="1"/>
  <c r="S890" i="3" s="1"/>
  <c r="Z890" i="3"/>
  <c r="AC890" i="3"/>
  <c r="AD890" i="3"/>
  <c r="U889" i="3"/>
  <c r="Y888" i="3"/>
  <c r="T890" i="3" l="1"/>
  <c r="AG890" i="3" s="1"/>
  <c r="E890" i="3" l="1"/>
  <c r="H890" i="3" s="1"/>
  <c r="K890" i="3" s="1"/>
  <c r="AE890" i="3" s="1"/>
  <c r="AH890" i="3"/>
  <c r="D890" i="3"/>
  <c r="F890" i="3" l="1"/>
  <c r="G890" i="3"/>
  <c r="V890" i="3"/>
  <c r="A891" i="3"/>
  <c r="B891" i="3" s="1"/>
  <c r="AD891" i="3" l="1"/>
  <c r="P891" i="3"/>
  <c r="Q891" i="3" s="1"/>
  <c r="R891" i="3" s="1"/>
  <c r="S891" i="3" s="1"/>
  <c r="AC891" i="3"/>
  <c r="Z891" i="3"/>
  <c r="AA891" i="3"/>
  <c r="I890" i="3"/>
  <c r="W890" i="3" s="1"/>
  <c r="J890" i="3"/>
  <c r="M890" i="3"/>
  <c r="N890" i="3" s="1"/>
  <c r="L890" i="3" l="1"/>
  <c r="T891" i="3"/>
  <c r="U890" i="3" l="1"/>
  <c r="D891" i="3" s="1"/>
  <c r="AH891" i="3"/>
  <c r="AG891" i="3"/>
  <c r="Y889" i="3"/>
  <c r="E891" i="3" l="1"/>
  <c r="H891" i="3" s="1"/>
  <c r="K891" i="3" s="1"/>
  <c r="AE891" i="3" s="1"/>
  <c r="G891" i="3"/>
  <c r="F891" i="3" l="1"/>
  <c r="I891" i="3"/>
  <c r="J891" i="3"/>
  <c r="M891" i="3"/>
  <c r="N891" i="3" s="1"/>
  <c r="V891" i="3"/>
  <c r="A892" i="3"/>
  <c r="B892" i="3" s="1"/>
  <c r="W891" i="3" l="1"/>
  <c r="L891" i="3"/>
  <c r="P892" i="3"/>
  <c r="Q892" i="3" s="1"/>
  <c r="R892" i="3" s="1"/>
  <c r="S892" i="3" s="1"/>
  <c r="AC892" i="3"/>
  <c r="AD892" i="3"/>
  <c r="Z892" i="3"/>
  <c r="AA892" i="3"/>
  <c r="U891" i="3" l="1"/>
  <c r="Y890" i="3"/>
  <c r="T892" i="3"/>
  <c r="AG892" i="3" s="1"/>
  <c r="AH892" i="3" l="1"/>
  <c r="D892" i="3"/>
  <c r="G892" i="3" s="1"/>
  <c r="E892" i="3"/>
  <c r="H892" i="3" s="1"/>
  <c r="F892" i="3" l="1"/>
  <c r="I892" i="3"/>
  <c r="J892" i="3"/>
  <c r="M892" i="3"/>
  <c r="N892" i="3" s="1"/>
  <c r="K892" i="3"/>
  <c r="AE892" i="3" s="1"/>
  <c r="V892" i="3" l="1"/>
  <c r="W892" i="3" s="1"/>
  <c r="A893" i="3"/>
  <c r="B893" i="3" s="1"/>
  <c r="L892" i="3"/>
  <c r="U892" i="3" l="1"/>
  <c r="Y891" i="3"/>
  <c r="AC893" i="3"/>
  <c r="P893" i="3"/>
  <c r="Q893" i="3" s="1"/>
  <c r="R893" i="3" s="1"/>
  <c r="S893" i="3" s="1"/>
  <c r="AD893" i="3"/>
  <c r="AA893" i="3"/>
  <c r="Z893" i="3"/>
  <c r="T893" i="3" l="1"/>
  <c r="E893" i="3" s="1"/>
  <c r="H893" i="3" s="1"/>
  <c r="AH893" i="3" l="1"/>
  <c r="D893" i="3"/>
  <c r="F893" i="3" s="1"/>
  <c r="AG893" i="3"/>
  <c r="K893" i="3"/>
  <c r="AE893" i="3" s="1"/>
  <c r="G893" i="3" l="1"/>
  <c r="M893" i="3" s="1"/>
  <c r="N893" i="3" s="1"/>
  <c r="V893" i="3"/>
  <c r="A894" i="3"/>
  <c r="B894" i="3" s="1"/>
  <c r="I893" i="3" l="1"/>
  <c r="W893" i="3" s="1"/>
  <c r="J893" i="3"/>
  <c r="L893" i="3" s="1"/>
  <c r="Z894" i="3"/>
  <c r="P894" i="3"/>
  <c r="Q894" i="3" s="1"/>
  <c r="R894" i="3" s="1"/>
  <c r="S894" i="3" s="1"/>
  <c r="AC894" i="3"/>
  <c r="AA894" i="3"/>
  <c r="U893" i="3" l="1"/>
  <c r="Y892" i="3"/>
  <c r="T894" i="3"/>
  <c r="AH894" i="3" s="1"/>
  <c r="D894" i="3" l="1"/>
  <c r="G894" i="3" s="1"/>
  <c r="AG894" i="3"/>
  <c r="E894" i="3"/>
  <c r="H894" i="3" s="1"/>
  <c r="F894" i="3" l="1"/>
  <c r="I894" i="3"/>
  <c r="J894" i="3"/>
  <c r="AD894" i="3" s="1"/>
  <c r="M894" i="3"/>
  <c r="N894" i="3" s="1"/>
  <c r="K894" i="3"/>
  <c r="AE894" i="3" s="1"/>
  <c r="V894" i="3" l="1"/>
  <c r="W894" i="3" s="1"/>
  <c r="A895" i="3"/>
  <c r="B895" i="3" s="1"/>
  <c r="L894" i="3"/>
  <c r="U894" i="3" l="1"/>
  <c r="Y893" i="3"/>
  <c r="AD895" i="3"/>
  <c r="P895" i="3"/>
  <c r="Q895" i="3" s="1"/>
  <c r="R895" i="3" s="1"/>
  <c r="S895" i="3" s="1"/>
  <c r="AA895" i="3"/>
  <c r="AC895" i="3"/>
  <c r="Z895" i="3"/>
  <c r="T895" i="3" l="1"/>
  <c r="AH895" i="3" s="1"/>
  <c r="E895" i="3" l="1"/>
  <c r="H895" i="3" s="1"/>
  <c r="K895" i="3" s="1"/>
  <c r="AE895" i="3" s="1"/>
  <c r="D895" i="3"/>
  <c r="AG895" i="3"/>
  <c r="F895" i="3" l="1"/>
  <c r="G895" i="3"/>
  <c r="V895" i="3"/>
  <c r="A896" i="3"/>
  <c r="B896" i="3" s="1"/>
  <c r="I895" i="3" l="1"/>
  <c r="W895" i="3" s="1"/>
  <c r="J895" i="3"/>
  <c r="M895" i="3"/>
  <c r="N895" i="3" s="1"/>
  <c r="Z896" i="3"/>
  <c r="P896" i="3"/>
  <c r="Q896" i="3" s="1"/>
  <c r="R896" i="3" s="1"/>
  <c r="S896" i="3" s="1"/>
  <c r="AC896" i="3"/>
  <c r="AD896" i="3"/>
  <c r="AA896" i="3"/>
  <c r="T896" i="3" l="1"/>
  <c r="L895" i="3"/>
  <c r="AG896" i="3" l="1"/>
  <c r="AH896" i="3"/>
  <c r="U895" i="3"/>
  <c r="E896" i="3" s="1"/>
  <c r="H896" i="3" s="1"/>
  <c r="Y894" i="3"/>
  <c r="D896" i="3" l="1"/>
  <c r="G896" i="3" s="1"/>
  <c r="K896" i="3"/>
  <c r="AE896" i="3" s="1"/>
  <c r="F896" i="3" l="1"/>
  <c r="V896" i="3"/>
  <c r="A897" i="3"/>
  <c r="B897" i="3" s="1"/>
  <c r="I896" i="3"/>
  <c r="J896" i="3"/>
  <c r="M896" i="3"/>
  <c r="N896" i="3" s="1"/>
  <c r="W896" i="3" l="1"/>
  <c r="L896" i="3"/>
  <c r="Z897" i="3"/>
  <c r="AC897" i="3"/>
  <c r="AA897" i="3"/>
  <c r="P897" i="3"/>
  <c r="Q897" i="3" s="1"/>
  <c r="R897" i="3" s="1"/>
  <c r="S897" i="3" s="1"/>
  <c r="AD897" i="3"/>
  <c r="U896" i="3" l="1"/>
  <c r="Y895" i="3"/>
  <c r="T897" i="3"/>
  <c r="D897" i="3" l="1"/>
  <c r="E897" i="3"/>
  <c r="H897" i="3" s="1"/>
  <c r="AH897" i="3"/>
  <c r="AG897" i="3"/>
  <c r="F897" i="3" l="1"/>
  <c r="G897" i="3"/>
  <c r="M897" i="3" s="1"/>
  <c r="N897" i="3" s="1"/>
  <c r="K897" i="3"/>
  <c r="AE897" i="3" s="1"/>
  <c r="I897" i="3" l="1"/>
  <c r="J897" i="3"/>
  <c r="L897" i="3" s="1"/>
  <c r="V897" i="3"/>
  <c r="A898" i="3"/>
  <c r="B898" i="3" s="1"/>
  <c r="W897" i="3" l="1"/>
  <c r="AA898" i="3"/>
  <c r="P898" i="3"/>
  <c r="Q898" i="3" s="1"/>
  <c r="R898" i="3" s="1"/>
  <c r="S898" i="3" s="1"/>
  <c r="Z898" i="3"/>
  <c r="AC898" i="3"/>
  <c r="U897" i="3"/>
  <c r="Y896" i="3"/>
  <c r="T898" i="3" l="1"/>
  <c r="D898" i="3" s="1"/>
  <c r="G898" i="3" l="1"/>
  <c r="AG898" i="3"/>
  <c r="E898" i="3"/>
  <c r="H898" i="3" s="1"/>
  <c r="AH898" i="3"/>
  <c r="F898" i="3" l="1"/>
  <c r="I898" i="3"/>
  <c r="J898" i="3"/>
  <c r="AD898" i="3" s="1"/>
  <c r="M898" i="3"/>
  <c r="N898" i="3" s="1"/>
  <c r="K898" i="3"/>
  <c r="AE898" i="3" s="1"/>
  <c r="V898" i="3" l="1"/>
  <c r="W898" i="3" s="1"/>
  <c r="A899" i="3"/>
  <c r="B899" i="3" s="1"/>
  <c r="L898" i="3"/>
  <c r="U898" i="3" l="1"/>
  <c r="Y897" i="3"/>
  <c r="AC899" i="3"/>
  <c r="Z899" i="3"/>
  <c r="P899" i="3"/>
  <c r="Q899" i="3" s="1"/>
  <c r="R899" i="3" s="1"/>
  <c r="S899" i="3" s="1"/>
  <c r="AD899" i="3"/>
  <c r="AA899" i="3"/>
  <c r="T899" i="3" l="1"/>
  <c r="E899" i="3" s="1"/>
  <c r="H899" i="3" s="1"/>
  <c r="D899" i="3" l="1"/>
  <c r="G899" i="3" s="1"/>
  <c r="AG899" i="3"/>
  <c r="AH899" i="3"/>
  <c r="K899" i="3"/>
  <c r="AE899" i="3" s="1"/>
  <c r="F899" i="3" l="1"/>
  <c r="I899" i="3"/>
  <c r="J899" i="3"/>
  <c r="M899" i="3"/>
  <c r="N899" i="3" s="1"/>
  <c r="V899" i="3"/>
  <c r="A900" i="3"/>
  <c r="B900" i="3" s="1"/>
  <c r="W899" i="3" l="1"/>
  <c r="L899" i="3"/>
  <c r="P900" i="3"/>
  <c r="Q900" i="3" s="1"/>
  <c r="R900" i="3" s="1"/>
  <c r="S900" i="3" s="1"/>
  <c r="AC900" i="3"/>
  <c r="Z900" i="3"/>
  <c r="AD900" i="3"/>
  <c r="AA900" i="3"/>
  <c r="U899" i="3" l="1"/>
  <c r="Y898" i="3"/>
  <c r="T900" i="3"/>
  <c r="D900" i="3" l="1"/>
  <c r="G900" i="3" s="1"/>
  <c r="AH900" i="3"/>
  <c r="AG900" i="3"/>
  <c r="E900" i="3"/>
  <c r="H900" i="3" s="1"/>
  <c r="K900" i="3" s="1"/>
  <c r="AE900" i="3" s="1"/>
  <c r="F900" i="3" l="1"/>
  <c r="V900" i="3"/>
  <c r="A901" i="3"/>
  <c r="B901" i="3" s="1"/>
  <c r="I900" i="3"/>
  <c r="J900" i="3"/>
  <c r="M900" i="3"/>
  <c r="N900" i="3" s="1"/>
  <c r="L900" i="3" l="1"/>
  <c r="W900" i="3"/>
  <c r="AD901" i="3"/>
  <c r="P901" i="3"/>
  <c r="Q901" i="3" s="1"/>
  <c r="R901" i="3" s="1"/>
  <c r="S901" i="3" s="1"/>
  <c r="AA901" i="3"/>
  <c r="AC901" i="3"/>
  <c r="Z901" i="3"/>
  <c r="U900" i="3" l="1"/>
  <c r="Y899" i="3"/>
  <c r="T901" i="3"/>
  <c r="E901" i="3" l="1"/>
  <c r="H901" i="3" s="1"/>
  <c r="K901" i="3" s="1"/>
  <c r="AE901" i="3" s="1"/>
  <c r="AG901" i="3"/>
  <c r="D901" i="3"/>
  <c r="AH901" i="3"/>
  <c r="F901" i="3" l="1"/>
  <c r="G901" i="3"/>
  <c r="V901" i="3"/>
  <c r="A902" i="3"/>
  <c r="B902" i="3" s="1"/>
  <c r="AD902" i="3" l="1"/>
  <c r="AC902" i="3"/>
  <c r="P902" i="3"/>
  <c r="Q902" i="3" s="1"/>
  <c r="R902" i="3" s="1"/>
  <c r="S902" i="3" s="1"/>
  <c r="Z902" i="3"/>
  <c r="AA902" i="3"/>
  <c r="I901" i="3"/>
  <c r="W901" i="3" s="1"/>
  <c r="J901" i="3"/>
  <c r="M901" i="3"/>
  <c r="N901" i="3" s="1"/>
  <c r="T902" i="3" l="1"/>
  <c r="L901" i="3"/>
  <c r="U901" i="3" l="1"/>
  <c r="E902" i="3" s="1"/>
  <c r="H902" i="3" s="1"/>
  <c r="AH902" i="3"/>
  <c r="AG902" i="3"/>
  <c r="Y900" i="3"/>
  <c r="D902" i="3" l="1"/>
  <c r="F902" i="3" s="1"/>
  <c r="K902" i="3"/>
  <c r="AE902" i="3" s="1"/>
  <c r="G902" i="3" l="1"/>
  <c r="J902" i="3" s="1"/>
  <c r="V902" i="3"/>
  <c r="A903" i="3"/>
  <c r="B903" i="3" s="1"/>
  <c r="M902" i="3" l="1"/>
  <c r="N902" i="3" s="1"/>
  <c r="I902" i="3"/>
  <c r="W902" i="3" s="1"/>
  <c r="L902" i="3"/>
  <c r="Z903" i="3"/>
  <c r="AC903" i="3"/>
  <c r="P903" i="3"/>
  <c r="Q903" i="3" s="1"/>
  <c r="R903" i="3" s="1"/>
  <c r="S903" i="3" s="1"/>
  <c r="AD903" i="3"/>
  <c r="AA903" i="3"/>
  <c r="T903" i="3" l="1"/>
  <c r="AH903" i="3" s="1"/>
  <c r="U902" i="3"/>
  <c r="Y901" i="3"/>
  <c r="D903" i="3" l="1"/>
  <c r="E903" i="3"/>
  <c r="H903" i="3" s="1"/>
  <c r="AG903" i="3"/>
  <c r="K903" i="3" l="1"/>
  <c r="AE903" i="3" s="1"/>
  <c r="F903" i="3"/>
  <c r="G903" i="3"/>
  <c r="I903" i="3" l="1"/>
  <c r="J903" i="3"/>
  <c r="M903" i="3"/>
  <c r="N903" i="3" s="1"/>
  <c r="V903" i="3"/>
  <c r="A904" i="3"/>
  <c r="B904" i="3" s="1"/>
  <c r="W903" i="3" l="1"/>
  <c r="L903" i="3"/>
  <c r="AC904" i="3"/>
  <c r="Z904" i="3"/>
  <c r="P904" i="3"/>
  <c r="Q904" i="3" s="1"/>
  <c r="R904" i="3" s="1"/>
  <c r="S904" i="3" s="1"/>
  <c r="AA904" i="3"/>
  <c r="U903" i="3" l="1"/>
  <c r="Y902" i="3"/>
  <c r="T904" i="3"/>
  <c r="AH904" i="3" s="1"/>
  <c r="E904" i="3" l="1"/>
  <c r="H904" i="3" s="1"/>
  <c r="AG904" i="3"/>
  <c r="D904" i="3"/>
  <c r="K904" i="3" l="1"/>
  <c r="AE904" i="3" s="1"/>
  <c r="F904" i="3"/>
  <c r="G904" i="3"/>
  <c r="V904" i="3" l="1"/>
  <c r="A905" i="3"/>
  <c r="B905" i="3" s="1"/>
  <c r="I904" i="3"/>
  <c r="J904" i="3"/>
  <c r="AD904" i="3" s="1"/>
  <c r="M904" i="3"/>
  <c r="N904" i="3" s="1"/>
  <c r="L904" i="3" l="1"/>
  <c r="W904" i="3"/>
  <c r="AA905" i="3"/>
  <c r="Z905" i="3"/>
  <c r="AD905" i="3"/>
  <c r="AC905" i="3"/>
  <c r="P905" i="3"/>
  <c r="Q905" i="3" s="1"/>
  <c r="R905" i="3" s="1"/>
  <c r="S905" i="3" s="1"/>
  <c r="U904" i="3" l="1"/>
  <c r="Y903" i="3"/>
  <c r="T905" i="3"/>
  <c r="D905" i="3" l="1"/>
  <c r="G905" i="3" s="1"/>
  <c r="E905" i="3"/>
  <c r="H905" i="3" s="1"/>
  <c r="K905" i="3" s="1"/>
  <c r="AE905" i="3" s="1"/>
  <c r="AG905" i="3"/>
  <c r="AH905" i="3"/>
  <c r="F905" i="3" l="1"/>
  <c r="I905" i="3"/>
  <c r="J905" i="3"/>
  <c r="M905" i="3"/>
  <c r="N905" i="3" s="1"/>
  <c r="V905" i="3"/>
  <c r="A906" i="3"/>
  <c r="B906" i="3" s="1"/>
  <c r="L905" i="3" l="1"/>
  <c r="W905" i="3"/>
  <c r="AC906" i="3"/>
  <c r="P906" i="3"/>
  <c r="Q906" i="3" s="1"/>
  <c r="R906" i="3" s="1"/>
  <c r="S906" i="3" s="1"/>
  <c r="Z906" i="3"/>
  <c r="AD906" i="3"/>
  <c r="AA906" i="3"/>
  <c r="T906" i="3" l="1"/>
  <c r="U905" i="3"/>
  <c r="Y904" i="3"/>
  <c r="D906" i="3" l="1"/>
  <c r="G906" i="3" s="1"/>
  <c r="AG906" i="3"/>
  <c r="E906" i="3"/>
  <c r="H906" i="3" s="1"/>
  <c r="AH906" i="3"/>
  <c r="F906" i="3" l="1"/>
  <c r="I906" i="3"/>
  <c r="J906" i="3"/>
  <c r="M906" i="3"/>
  <c r="N906" i="3" s="1"/>
  <c r="K906" i="3"/>
  <c r="AE906" i="3" s="1"/>
  <c r="V906" i="3" l="1"/>
  <c r="W906" i="3" s="1"/>
  <c r="A907" i="3"/>
  <c r="B907" i="3" s="1"/>
  <c r="L906" i="3"/>
  <c r="U906" i="3" l="1"/>
  <c r="Y905" i="3"/>
  <c r="Z907" i="3"/>
  <c r="AC907" i="3"/>
  <c r="AA907" i="3"/>
  <c r="P907" i="3"/>
  <c r="Q907" i="3" s="1"/>
  <c r="R907" i="3" s="1"/>
  <c r="S907" i="3" s="1"/>
  <c r="AD907" i="3"/>
  <c r="T907" i="3" l="1"/>
  <c r="AG907" i="3" s="1"/>
  <c r="E907" i="3" l="1"/>
  <c r="H907" i="3" s="1"/>
  <c r="K907" i="3" s="1"/>
  <c r="AE907" i="3" s="1"/>
  <c r="D907" i="3"/>
  <c r="AH907" i="3"/>
  <c r="V907" i="3" l="1"/>
  <c r="A908" i="3"/>
  <c r="B908" i="3" s="1"/>
  <c r="F907" i="3"/>
  <c r="G907" i="3"/>
  <c r="I907" i="3" l="1"/>
  <c r="W907" i="3" s="1"/>
  <c r="J907" i="3"/>
  <c r="M907" i="3"/>
  <c r="N907" i="3" s="1"/>
  <c r="P908" i="3"/>
  <c r="Q908" i="3" s="1"/>
  <c r="R908" i="3" s="1"/>
  <c r="S908" i="3" s="1"/>
  <c r="AA908" i="3"/>
  <c r="Z908" i="3"/>
  <c r="AC908" i="3"/>
  <c r="T908" i="3" l="1"/>
  <c r="L907" i="3"/>
  <c r="AG908" i="3" l="1"/>
  <c r="AH908" i="3"/>
  <c r="U907" i="3"/>
  <c r="E908" i="3" s="1"/>
  <c r="H908" i="3" s="1"/>
  <c r="Y906" i="3"/>
  <c r="D908" i="3" l="1"/>
  <c r="G908" i="3" s="1"/>
  <c r="K908" i="3"/>
  <c r="AE908" i="3" s="1"/>
  <c r="F908" i="3" l="1"/>
  <c r="I908" i="3"/>
  <c r="J908" i="3"/>
  <c r="AD908" i="3" s="1"/>
  <c r="M908" i="3"/>
  <c r="N908" i="3" s="1"/>
  <c r="V908" i="3"/>
  <c r="A909" i="3"/>
  <c r="B909" i="3" s="1"/>
  <c r="W908" i="3" l="1"/>
  <c r="L908" i="3"/>
  <c r="AA909" i="3"/>
  <c r="Z909" i="3"/>
  <c r="P909" i="3"/>
  <c r="Q909" i="3" s="1"/>
  <c r="R909" i="3" s="1"/>
  <c r="S909" i="3" s="1"/>
  <c r="AD909" i="3"/>
  <c r="AC909" i="3"/>
  <c r="U908" i="3" l="1"/>
  <c r="Y907" i="3"/>
  <c r="T909" i="3"/>
  <c r="AH909" i="3" s="1"/>
  <c r="AG909" i="3" l="1"/>
  <c r="D909" i="3"/>
  <c r="G909" i="3" s="1"/>
  <c r="E909" i="3"/>
  <c r="H909" i="3" s="1"/>
  <c r="K909" i="3" s="1"/>
  <c r="AE909" i="3" s="1"/>
  <c r="F909" i="3" l="1"/>
  <c r="V909" i="3"/>
  <c r="A910" i="3"/>
  <c r="B910" i="3" s="1"/>
  <c r="I909" i="3"/>
  <c r="J909" i="3"/>
  <c r="M909" i="3"/>
  <c r="N909" i="3" s="1"/>
  <c r="W909" i="3" l="1"/>
  <c r="L909" i="3"/>
  <c r="AA910" i="3"/>
  <c r="AC910" i="3"/>
  <c r="P910" i="3"/>
  <c r="Q910" i="3" s="1"/>
  <c r="R910" i="3" s="1"/>
  <c r="S910" i="3" s="1"/>
  <c r="AD910" i="3"/>
  <c r="Z910" i="3"/>
  <c r="U909" i="3" l="1"/>
  <c r="Y908" i="3"/>
  <c r="T910" i="3"/>
  <c r="AH910" i="3" s="1"/>
  <c r="D910" i="3" l="1"/>
  <c r="G910" i="3" s="1"/>
  <c r="AG910" i="3"/>
  <c r="E910" i="3"/>
  <c r="H910" i="3" s="1"/>
  <c r="F910" i="3" l="1"/>
  <c r="I910" i="3"/>
  <c r="J910" i="3"/>
  <c r="M910" i="3"/>
  <c r="N910" i="3" s="1"/>
  <c r="K910" i="3"/>
  <c r="AE910" i="3" s="1"/>
  <c r="V910" i="3" l="1"/>
  <c r="W910" i="3" s="1"/>
  <c r="A911" i="3"/>
  <c r="B911" i="3" s="1"/>
  <c r="L910" i="3"/>
  <c r="U910" i="3" l="1"/>
  <c r="Y909" i="3"/>
  <c r="AD911" i="3"/>
  <c r="AA911" i="3"/>
  <c r="P911" i="3"/>
  <c r="Q911" i="3" s="1"/>
  <c r="R911" i="3" s="1"/>
  <c r="S911" i="3" s="1"/>
  <c r="Z911" i="3"/>
  <c r="AC911" i="3"/>
  <c r="T911" i="3" l="1"/>
  <c r="E911" i="3" s="1"/>
  <c r="H911" i="3" s="1"/>
  <c r="AH911" i="3" l="1"/>
  <c r="D911" i="3"/>
  <c r="G911" i="3" s="1"/>
  <c r="AG911" i="3"/>
  <c r="K911" i="3"/>
  <c r="AE911" i="3" s="1"/>
  <c r="F911" i="3" l="1"/>
  <c r="I911" i="3"/>
  <c r="J911" i="3"/>
  <c r="M911" i="3"/>
  <c r="N911" i="3" s="1"/>
  <c r="V911" i="3"/>
  <c r="A912" i="3"/>
  <c r="B912" i="3" s="1"/>
  <c r="W911" i="3" l="1"/>
  <c r="L911" i="3"/>
  <c r="AA912" i="3"/>
  <c r="AD912" i="3"/>
  <c r="AC912" i="3"/>
  <c r="P912" i="3"/>
  <c r="Q912" i="3" s="1"/>
  <c r="R912" i="3" s="1"/>
  <c r="S912" i="3" s="1"/>
  <c r="Z912" i="3"/>
  <c r="T912" i="3" l="1"/>
  <c r="U911" i="3"/>
  <c r="Y910" i="3"/>
  <c r="D912" i="3" l="1"/>
  <c r="G912" i="3" s="1"/>
  <c r="AG912" i="3"/>
  <c r="AH912" i="3"/>
  <c r="E912" i="3"/>
  <c r="H912" i="3" s="1"/>
  <c r="I912" i="3" l="1"/>
  <c r="J912" i="3"/>
  <c r="M912" i="3"/>
  <c r="N912" i="3" s="1"/>
  <c r="F912" i="3"/>
  <c r="K912" i="3"/>
  <c r="AE912" i="3" s="1"/>
  <c r="L912" i="3" l="1"/>
  <c r="V912" i="3"/>
  <c r="W912" i="3" s="1"/>
  <c r="A913" i="3"/>
  <c r="B913" i="3" s="1"/>
  <c r="U912" i="3" l="1"/>
  <c r="Y911" i="3"/>
  <c r="Z913" i="3"/>
  <c r="AD913" i="3"/>
  <c r="P913" i="3"/>
  <c r="Q913" i="3" s="1"/>
  <c r="R913" i="3" s="1"/>
  <c r="S913" i="3" s="1"/>
  <c r="AA913" i="3"/>
  <c r="AC913" i="3"/>
  <c r="T913" i="3" l="1"/>
  <c r="AH913" i="3" s="1"/>
  <c r="D913" i="3" l="1"/>
  <c r="G913" i="3" s="1"/>
  <c r="AG913" i="3"/>
  <c r="E913" i="3"/>
  <c r="H913" i="3" s="1"/>
  <c r="F913" i="3" l="1"/>
  <c r="I913" i="3"/>
  <c r="J913" i="3"/>
  <c r="M913" i="3"/>
  <c r="N913" i="3" s="1"/>
  <c r="K913" i="3"/>
  <c r="AE913" i="3" s="1"/>
  <c r="V913" i="3" l="1"/>
  <c r="W913" i="3" s="1"/>
  <c r="A914" i="3"/>
  <c r="B914" i="3" s="1"/>
  <c r="L913" i="3"/>
  <c r="U913" i="3" l="1"/>
  <c r="Y912" i="3"/>
  <c r="AA914" i="3"/>
  <c r="Z914" i="3"/>
  <c r="AC914" i="3"/>
  <c r="P914" i="3"/>
  <c r="Q914" i="3" s="1"/>
  <c r="R914" i="3" s="1"/>
  <c r="S914" i="3" s="1"/>
  <c r="T914" i="3" l="1"/>
  <c r="D914" i="3" s="1"/>
  <c r="E914" i="3" l="1"/>
  <c r="H914" i="3" s="1"/>
  <c r="K914" i="3" s="1"/>
  <c r="AE914" i="3" s="1"/>
  <c r="G914" i="3"/>
  <c r="AH914" i="3"/>
  <c r="AG914" i="3"/>
  <c r="F914" i="3" l="1"/>
  <c r="I914" i="3"/>
  <c r="J914" i="3"/>
  <c r="AD914" i="3" s="1"/>
  <c r="M914" i="3"/>
  <c r="N914" i="3" s="1"/>
  <c r="V914" i="3"/>
  <c r="A915" i="3"/>
  <c r="B915" i="3" s="1"/>
  <c r="W914" i="3" l="1"/>
  <c r="L914" i="3"/>
  <c r="P915" i="3"/>
  <c r="Q915" i="3" s="1"/>
  <c r="R915" i="3" s="1"/>
  <c r="S915" i="3" s="1"/>
  <c r="AA915" i="3"/>
  <c r="AC915" i="3"/>
  <c r="Z915" i="3"/>
  <c r="AD915" i="3"/>
  <c r="U914" i="3" l="1"/>
  <c r="Y913" i="3"/>
  <c r="T915" i="3"/>
  <c r="AH915" i="3" s="1"/>
  <c r="E915" i="3" l="1"/>
  <c r="H915" i="3" s="1"/>
  <c r="D915" i="3"/>
  <c r="AG915" i="3"/>
  <c r="K915" i="3" l="1"/>
  <c r="AE915" i="3" s="1"/>
  <c r="F915" i="3"/>
  <c r="G915" i="3"/>
  <c r="I915" i="3" l="1"/>
  <c r="J915" i="3"/>
  <c r="M915" i="3"/>
  <c r="N915" i="3" s="1"/>
  <c r="V915" i="3"/>
  <c r="A916" i="3"/>
  <c r="B916" i="3" s="1"/>
  <c r="W915" i="3" l="1"/>
  <c r="L915" i="3"/>
  <c r="AC916" i="3"/>
  <c r="AA916" i="3"/>
  <c r="Z916" i="3"/>
  <c r="P916" i="3"/>
  <c r="Q916" i="3" s="1"/>
  <c r="R916" i="3" s="1"/>
  <c r="S916" i="3" s="1"/>
  <c r="AD916" i="3"/>
  <c r="U915" i="3" l="1"/>
  <c r="Y914" i="3"/>
  <c r="T916" i="3"/>
  <c r="D916" i="3" l="1"/>
  <c r="G916" i="3" s="1"/>
  <c r="AG916" i="3"/>
  <c r="AH916" i="3"/>
  <c r="E916" i="3"/>
  <c r="H916" i="3" s="1"/>
  <c r="K916" i="3" l="1"/>
  <c r="AE916" i="3" s="1"/>
  <c r="I916" i="3"/>
  <c r="J916" i="3"/>
  <c r="M916" i="3"/>
  <c r="N916" i="3" s="1"/>
  <c r="F916" i="3"/>
  <c r="L916" i="3" l="1"/>
  <c r="V916" i="3"/>
  <c r="W916" i="3" s="1"/>
  <c r="A917" i="3"/>
  <c r="B917" i="3" s="1"/>
  <c r="U916" i="3" l="1"/>
  <c r="Y915" i="3"/>
  <c r="AD917" i="3"/>
  <c r="AC917" i="3"/>
  <c r="Z917" i="3"/>
  <c r="P917" i="3"/>
  <c r="Q917" i="3" s="1"/>
  <c r="R917" i="3" s="1"/>
  <c r="S917" i="3" s="1"/>
  <c r="AA917" i="3"/>
  <c r="T917" i="3" l="1"/>
  <c r="AG917" i="3" s="1"/>
  <c r="E917" i="3" l="1"/>
  <c r="H917" i="3" s="1"/>
  <c r="K917" i="3" s="1"/>
  <c r="AE917" i="3" s="1"/>
  <c r="AH917" i="3"/>
  <c r="D917" i="3"/>
  <c r="F917" i="3" l="1"/>
  <c r="G917" i="3"/>
  <c r="J917" i="3" s="1"/>
  <c r="V917" i="3"/>
  <c r="A918" i="3"/>
  <c r="B918" i="3" s="1"/>
  <c r="M917" i="3" l="1"/>
  <c r="N917" i="3" s="1"/>
  <c r="I917" i="3"/>
  <c r="W917" i="3" s="1"/>
  <c r="L917" i="3"/>
  <c r="AC918" i="3"/>
  <c r="AA918" i="3"/>
  <c r="Z918" i="3"/>
  <c r="P918" i="3"/>
  <c r="Q918" i="3" s="1"/>
  <c r="R918" i="3" s="1"/>
  <c r="S918" i="3" s="1"/>
  <c r="T918" i="3" l="1"/>
  <c r="U917" i="3"/>
  <c r="Y916" i="3"/>
  <c r="E918" i="3" l="1"/>
  <c r="H918" i="3" s="1"/>
  <c r="K918" i="3" s="1"/>
  <c r="AE918" i="3" s="1"/>
  <c r="AH918" i="3"/>
  <c r="D918" i="3"/>
  <c r="G918" i="3" s="1"/>
  <c r="AG918" i="3"/>
  <c r="F918" i="3" l="1"/>
  <c r="I918" i="3"/>
  <c r="J918" i="3"/>
  <c r="AD918" i="3" s="1"/>
  <c r="M918" i="3"/>
  <c r="N918" i="3" s="1"/>
  <c r="V918" i="3"/>
  <c r="A919" i="3"/>
  <c r="B919" i="3" s="1"/>
  <c r="L918" i="3" l="1"/>
  <c r="W918" i="3"/>
  <c r="P919" i="3"/>
  <c r="Q919" i="3" s="1"/>
  <c r="R919" i="3" s="1"/>
  <c r="S919" i="3" s="1"/>
  <c r="Z919" i="3"/>
  <c r="AC919" i="3"/>
  <c r="AD919" i="3"/>
  <c r="AA919" i="3"/>
  <c r="U918" i="3" l="1"/>
  <c r="Y917" i="3"/>
  <c r="T919" i="3"/>
  <c r="AG919" i="3" s="1"/>
  <c r="E919" i="3" l="1"/>
  <c r="H919" i="3" s="1"/>
  <c r="K919" i="3" s="1"/>
  <c r="AE919" i="3" s="1"/>
  <c r="AH919" i="3"/>
  <c r="D919" i="3"/>
  <c r="V919" i="3" l="1"/>
  <c r="A920" i="3"/>
  <c r="B920" i="3" s="1"/>
  <c r="F919" i="3"/>
  <c r="G919" i="3"/>
  <c r="I919" i="3" l="1"/>
  <c r="W919" i="3" s="1"/>
  <c r="J919" i="3"/>
  <c r="M919" i="3"/>
  <c r="N919" i="3" s="1"/>
  <c r="AD920" i="3"/>
  <c r="AC920" i="3"/>
  <c r="P920" i="3"/>
  <c r="Q920" i="3" s="1"/>
  <c r="R920" i="3" s="1"/>
  <c r="S920" i="3" s="1"/>
  <c r="AA920" i="3"/>
  <c r="Z920" i="3"/>
  <c r="T920" i="3" l="1"/>
  <c r="L919" i="3"/>
  <c r="AH920" i="3" l="1"/>
  <c r="U919" i="3"/>
  <c r="E920" i="3" s="1"/>
  <c r="H920" i="3" s="1"/>
  <c r="AG920" i="3"/>
  <c r="Y918" i="3"/>
  <c r="D920" i="3" l="1"/>
  <c r="G920" i="3" s="1"/>
  <c r="K920" i="3"/>
  <c r="AE920" i="3" s="1"/>
  <c r="F920" i="3" l="1"/>
  <c r="V920" i="3"/>
  <c r="A921" i="3"/>
  <c r="B921" i="3" s="1"/>
  <c r="I920" i="3"/>
  <c r="J920" i="3"/>
  <c r="M920" i="3"/>
  <c r="N920" i="3" s="1"/>
  <c r="W920" i="3" l="1"/>
  <c r="L920" i="3"/>
  <c r="AA921" i="3"/>
  <c r="Z921" i="3"/>
  <c r="P921" i="3"/>
  <c r="Q921" i="3" s="1"/>
  <c r="R921" i="3" s="1"/>
  <c r="S921" i="3" s="1"/>
  <c r="AD921" i="3"/>
  <c r="AC921" i="3"/>
  <c r="U920" i="3" l="1"/>
  <c r="Y919" i="3"/>
  <c r="T921" i="3"/>
  <c r="AG921" i="3" s="1"/>
  <c r="E921" i="3" l="1"/>
  <c r="H921" i="3" s="1"/>
  <c r="K921" i="3" s="1"/>
  <c r="AE921" i="3" s="1"/>
  <c r="AH921" i="3"/>
  <c r="D921" i="3"/>
  <c r="G921" i="3" s="1"/>
  <c r="F921" i="3" l="1"/>
  <c r="I921" i="3"/>
  <c r="J921" i="3"/>
  <c r="M921" i="3"/>
  <c r="N921" i="3" s="1"/>
  <c r="V921" i="3"/>
  <c r="A922" i="3"/>
  <c r="B922" i="3" s="1"/>
  <c r="W921" i="3" l="1"/>
  <c r="L921" i="3"/>
  <c r="AC922" i="3"/>
  <c r="AA922" i="3"/>
  <c r="Z922" i="3"/>
  <c r="P922" i="3"/>
  <c r="Q922" i="3" s="1"/>
  <c r="R922" i="3" s="1"/>
  <c r="S922" i="3" s="1"/>
  <c r="AD922" i="3"/>
  <c r="U921" i="3" l="1"/>
  <c r="Y920" i="3"/>
  <c r="T922" i="3"/>
  <c r="E922" i="3" l="1"/>
  <c r="H922" i="3" s="1"/>
  <c r="K922" i="3" s="1"/>
  <c r="AE922" i="3" s="1"/>
  <c r="AH922" i="3"/>
  <c r="D922" i="3"/>
  <c r="AG922" i="3"/>
  <c r="F922" i="3" l="1"/>
  <c r="G922" i="3"/>
  <c r="V922" i="3"/>
  <c r="A923" i="3"/>
  <c r="B923" i="3" s="1"/>
  <c r="AD923" i="3" l="1"/>
  <c r="AC923" i="3"/>
  <c r="Z923" i="3"/>
  <c r="AA923" i="3"/>
  <c r="P923" i="3"/>
  <c r="Q923" i="3" s="1"/>
  <c r="R923" i="3" s="1"/>
  <c r="S923" i="3" s="1"/>
  <c r="I922" i="3"/>
  <c r="W922" i="3" s="1"/>
  <c r="J922" i="3"/>
  <c r="M922" i="3"/>
  <c r="N922" i="3" s="1"/>
  <c r="L922" i="3" l="1"/>
  <c r="T923" i="3"/>
  <c r="AH923" i="3" l="1"/>
  <c r="AG923" i="3"/>
  <c r="U922" i="3"/>
  <c r="D923" i="3" s="1"/>
  <c r="Y921" i="3"/>
  <c r="E923" i="3" l="1"/>
  <c r="H923" i="3" s="1"/>
  <c r="K923" i="3" s="1"/>
  <c r="AE923" i="3" s="1"/>
  <c r="G923" i="3"/>
  <c r="F923" i="3" l="1"/>
  <c r="V923" i="3"/>
  <c r="A924" i="3"/>
  <c r="B924" i="3" s="1"/>
  <c r="I923" i="3"/>
  <c r="J923" i="3"/>
  <c r="M923" i="3"/>
  <c r="N923" i="3" s="1"/>
  <c r="W923" i="3" l="1"/>
  <c r="L923" i="3"/>
  <c r="Z924" i="3"/>
  <c r="AC924" i="3"/>
  <c r="P924" i="3"/>
  <c r="Q924" i="3" s="1"/>
  <c r="R924" i="3" s="1"/>
  <c r="S924" i="3" s="1"/>
  <c r="AA924" i="3"/>
  <c r="U923" i="3" l="1"/>
  <c r="Y922" i="3"/>
  <c r="T924" i="3"/>
  <c r="AH924" i="3" s="1"/>
  <c r="D924" i="3" l="1"/>
  <c r="G924" i="3" s="1"/>
  <c r="AG924" i="3"/>
  <c r="E924" i="3"/>
  <c r="H924" i="3" s="1"/>
  <c r="K924" i="3" s="1"/>
  <c r="AE924" i="3" s="1"/>
  <c r="F924" i="3" l="1"/>
  <c r="I924" i="3"/>
  <c r="J924" i="3"/>
  <c r="AD924" i="3" s="1"/>
  <c r="M924" i="3"/>
  <c r="N924" i="3" s="1"/>
  <c r="V924" i="3"/>
  <c r="A925" i="3"/>
  <c r="B925" i="3" s="1"/>
  <c r="W924" i="3" l="1"/>
  <c r="L924" i="3"/>
  <c r="Z925" i="3"/>
  <c r="AA925" i="3"/>
  <c r="AD925" i="3"/>
  <c r="AC925" i="3"/>
  <c r="P925" i="3"/>
  <c r="Q925" i="3" s="1"/>
  <c r="R925" i="3" s="1"/>
  <c r="S925" i="3" s="1"/>
  <c r="T925" i="3" l="1"/>
  <c r="AG925" i="3" s="1"/>
  <c r="U924" i="3"/>
  <c r="Y923" i="3"/>
  <c r="AH925" i="3" l="1"/>
  <c r="E925" i="3"/>
  <c r="H925" i="3" s="1"/>
  <c r="D925" i="3"/>
  <c r="K925" i="3" l="1"/>
  <c r="AE925" i="3" s="1"/>
  <c r="F925" i="3"/>
  <c r="G925" i="3"/>
  <c r="I925" i="3" l="1"/>
  <c r="J925" i="3"/>
  <c r="M925" i="3"/>
  <c r="N925" i="3" s="1"/>
  <c r="V925" i="3"/>
  <c r="A926" i="3"/>
  <c r="B926" i="3" s="1"/>
  <c r="W925" i="3" l="1"/>
  <c r="L925" i="3"/>
  <c r="AC926" i="3"/>
  <c r="AA926" i="3"/>
  <c r="AD926" i="3"/>
  <c r="P926" i="3"/>
  <c r="Q926" i="3" s="1"/>
  <c r="R926" i="3" s="1"/>
  <c r="S926" i="3" s="1"/>
  <c r="Z926" i="3"/>
  <c r="U925" i="3" l="1"/>
  <c r="Y924" i="3"/>
  <c r="T926" i="3"/>
  <c r="AG926" i="3" s="1"/>
  <c r="E926" i="3" l="1"/>
  <c r="H926" i="3" s="1"/>
  <c r="K926" i="3" s="1"/>
  <c r="AE926" i="3" s="1"/>
  <c r="AH926" i="3"/>
  <c r="D926" i="3"/>
  <c r="V926" i="3" l="1"/>
  <c r="A927" i="3"/>
  <c r="B927" i="3" s="1"/>
  <c r="F926" i="3"/>
  <c r="G926" i="3"/>
  <c r="I926" i="3" l="1"/>
  <c r="W926" i="3" s="1"/>
  <c r="J926" i="3"/>
  <c r="M926" i="3"/>
  <c r="N926" i="3" s="1"/>
  <c r="AD927" i="3"/>
  <c r="Z927" i="3"/>
  <c r="P927" i="3"/>
  <c r="Q927" i="3" s="1"/>
  <c r="R927" i="3" s="1"/>
  <c r="S927" i="3" s="1"/>
  <c r="AA927" i="3"/>
  <c r="AC927" i="3"/>
  <c r="T927" i="3" l="1"/>
  <c r="L926" i="3"/>
  <c r="U926" i="3" l="1"/>
  <c r="D927" i="3" s="1"/>
  <c r="AG927" i="3"/>
  <c r="AH927" i="3"/>
  <c r="Y925" i="3"/>
  <c r="G927" i="3" l="1"/>
  <c r="E927" i="3"/>
  <c r="H927" i="3" s="1"/>
  <c r="F927" i="3" l="1"/>
  <c r="K927" i="3"/>
  <c r="AE927" i="3" s="1"/>
  <c r="I927" i="3"/>
  <c r="J927" i="3"/>
  <c r="M927" i="3"/>
  <c r="N927" i="3" s="1"/>
  <c r="L927" i="3" l="1"/>
  <c r="V927" i="3"/>
  <c r="W927" i="3" s="1"/>
  <c r="A928" i="3"/>
  <c r="B928" i="3" s="1"/>
  <c r="U927" i="3" l="1"/>
  <c r="Y926" i="3"/>
  <c r="AC928" i="3"/>
  <c r="AA928" i="3"/>
  <c r="Z928" i="3"/>
  <c r="P928" i="3"/>
  <c r="Q928" i="3" s="1"/>
  <c r="R928" i="3" s="1"/>
  <c r="S928" i="3" s="1"/>
  <c r="T928" i="3" l="1"/>
  <c r="D928" i="3" s="1"/>
  <c r="AH928" i="3" l="1"/>
  <c r="E928" i="3"/>
  <c r="H928" i="3" s="1"/>
  <c r="K928" i="3" s="1"/>
  <c r="AE928" i="3" s="1"/>
  <c r="AG928" i="3"/>
  <c r="G928" i="3"/>
  <c r="F928" i="3" l="1"/>
  <c r="I928" i="3"/>
  <c r="J928" i="3"/>
  <c r="AD928" i="3" s="1"/>
  <c r="M928" i="3"/>
  <c r="N928" i="3" s="1"/>
  <c r="V928" i="3"/>
  <c r="A929" i="3"/>
  <c r="B929" i="3" s="1"/>
  <c r="L928" i="3" l="1"/>
  <c r="P929" i="3"/>
  <c r="Q929" i="3" s="1"/>
  <c r="R929" i="3" s="1"/>
  <c r="S929" i="3" s="1"/>
  <c r="AD929" i="3"/>
  <c r="AC929" i="3"/>
  <c r="Z929" i="3"/>
  <c r="AA929" i="3"/>
  <c r="W928" i="3"/>
  <c r="T929" i="3" l="1"/>
  <c r="AG929" i="3" s="1"/>
  <c r="U928" i="3"/>
  <c r="Y927" i="3"/>
  <c r="AH929" i="3" l="1"/>
  <c r="D929" i="3"/>
  <c r="E929" i="3"/>
  <c r="H929" i="3" s="1"/>
  <c r="F929" i="3" l="1"/>
  <c r="G929" i="3"/>
  <c r="K929" i="3"/>
  <c r="AE929" i="3" s="1"/>
  <c r="V929" i="3" l="1"/>
  <c r="A930" i="3"/>
  <c r="B930" i="3" s="1"/>
  <c r="I929" i="3"/>
  <c r="J929" i="3"/>
  <c r="M929" i="3"/>
  <c r="N929" i="3" s="1"/>
  <c r="L929" i="3" l="1"/>
  <c r="AD930" i="3"/>
  <c r="P930" i="3"/>
  <c r="Q930" i="3" s="1"/>
  <c r="R930" i="3" s="1"/>
  <c r="S930" i="3" s="1"/>
  <c r="AC930" i="3"/>
  <c r="Z930" i="3"/>
  <c r="AA930" i="3"/>
  <c r="W929" i="3"/>
  <c r="T930" i="3" l="1"/>
  <c r="U929" i="3"/>
  <c r="Y928" i="3"/>
  <c r="D930" i="3" l="1"/>
  <c r="G930" i="3" s="1"/>
  <c r="AH930" i="3"/>
  <c r="E930" i="3"/>
  <c r="H930" i="3" s="1"/>
  <c r="AG930" i="3"/>
  <c r="F930" i="3" l="1"/>
  <c r="I930" i="3"/>
  <c r="J930" i="3"/>
  <c r="M930" i="3"/>
  <c r="N930" i="3" s="1"/>
  <c r="K930" i="3"/>
  <c r="AE930" i="3" s="1"/>
  <c r="V930" i="3" l="1"/>
  <c r="W930" i="3" s="1"/>
  <c r="A931" i="3"/>
  <c r="B931" i="3" s="1"/>
  <c r="L930" i="3"/>
  <c r="U930" i="3" l="1"/>
  <c r="Y929" i="3"/>
  <c r="AC931" i="3"/>
  <c r="AA931" i="3"/>
  <c r="Z931" i="3"/>
  <c r="P931" i="3"/>
  <c r="Q931" i="3" s="1"/>
  <c r="R931" i="3" s="1"/>
  <c r="S931" i="3" s="1"/>
  <c r="AD931" i="3"/>
  <c r="T931" i="3" l="1"/>
  <c r="AH931" i="3" s="1"/>
  <c r="E931" i="3" l="1"/>
  <c r="H931" i="3" s="1"/>
  <c r="D931" i="3"/>
  <c r="AG931" i="3"/>
  <c r="K931" i="3" l="1"/>
  <c r="AE931" i="3" s="1"/>
  <c r="F931" i="3"/>
  <c r="G931" i="3"/>
  <c r="I931" i="3" l="1"/>
  <c r="J931" i="3"/>
  <c r="M931" i="3"/>
  <c r="N931" i="3" s="1"/>
  <c r="V931" i="3"/>
  <c r="A932" i="3"/>
  <c r="B932" i="3" s="1"/>
  <c r="W931" i="3" l="1"/>
  <c r="L931" i="3"/>
  <c r="AA932" i="3"/>
  <c r="AD932" i="3"/>
  <c r="Z932" i="3"/>
  <c r="AC932" i="3"/>
  <c r="P932" i="3"/>
  <c r="Q932" i="3" s="1"/>
  <c r="R932" i="3" s="1"/>
  <c r="S932" i="3" s="1"/>
  <c r="U931" i="3" l="1"/>
  <c r="Y930" i="3"/>
  <c r="T932" i="3"/>
  <c r="AH932" i="3" s="1"/>
  <c r="E932" i="3" l="1"/>
  <c r="H932" i="3" s="1"/>
  <c r="D932" i="3"/>
  <c r="AG932" i="3"/>
  <c r="K932" i="3" l="1"/>
  <c r="AE932" i="3" s="1"/>
  <c r="F932" i="3"/>
  <c r="G932" i="3"/>
  <c r="V932" i="3" l="1"/>
  <c r="A933" i="3"/>
  <c r="B933" i="3" s="1"/>
  <c r="I932" i="3"/>
  <c r="J932" i="3"/>
  <c r="M932" i="3"/>
  <c r="N932" i="3" s="1"/>
  <c r="L932" i="3" l="1"/>
  <c r="W932" i="3"/>
  <c r="AA933" i="3"/>
  <c r="P933" i="3"/>
  <c r="Q933" i="3" s="1"/>
  <c r="R933" i="3" s="1"/>
  <c r="S933" i="3" s="1"/>
  <c r="Z933" i="3"/>
  <c r="AD933" i="3"/>
  <c r="AC933" i="3"/>
  <c r="U932" i="3" l="1"/>
  <c r="Y931" i="3"/>
  <c r="T933" i="3"/>
  <c r="D933" i="3" l="1"/>
  <c r="G933" i="3" s="1"/>
  <c r="AH933" i="3"/>
  <c r="AG933" i="3"/>
  <c r="E933" i="3"/>
  <c r="H933" i="3" s="1"/>
  <c r="K933" i="3" l="1"/>
  <c r="AE933" i="3" s="1"/>
  <c r="I933" i="3"/>
  <c r="J933" i="3"/>
  <c r="M933" i="3"/>
  <c r="N933" i="3" s="1"/>
  <c r="F933" i="3"/>
  <c r="V933" i="3" l="1"/>
  <c r="W933" i="3" s="1"/>
  <c r="A934" i="3"/>
  <c r="B934" i="3" s="1"/>
  <c r="L933" i="3"/>
  <c r="U933" i="3" l="1"/>
  <c r="Y932" i="3"/>
  <c r="AC934" i="3"/>
  <c r="Z934" i="3"/>
  <c r="P934" i="3"/>
  <c r="Q934" i="3" s="1"/>
  <c r="R934" i="3" s="1"/>
  <c r="S934" i="3" s="1"/>
  <c r="AA934" i="3"/>
  <c r="T934" i="3" l="1"/>
  <c r="AH934" i="3" s="1"/>
  <c r="AG934" i="3" l="1"/>
  <c r="D934" i="3"/>
  <c r="E934" i="3"/>
  <c r="H934" i="3" s="1"/>
  <c r="K934" i="3" l="1"/>
  <c r="AE934" i="3" s="1"/>
  <c r="F934" i="3"/>
  <c r="G934" i="3"/>
  <c r="V934" i="3" l="1"/>
  <c r="A935" i="3"/>
  <c r="B935" i="3" s="1"/>
  <c r="I934" i="3"/>
  <c r="J934" i="3"/>
  <c r="AD934" i="3" s="1"/>
  <c r="M934" i="3"/>
  <c r="N934" i="3" s="1"/>
  <c r="W934" i="3" l="1"/>
  <c r="L934" i="3"/>
  <c r="AD935" i="3"/>
  <c r="P935" i="3"/>
  <c r="Q935" i="3" s="1"/>
  <c r="R935" i="3" s="1"/>
  <c r="S935" i="3" s="1"/>
  <c r="AA935" i="3"/>
  <c r="AC935" i="3"/>
  <c r="Z935" i="3"/>
  <c r="T935" i="3" l="1"/>
  <c r="U934" i="3"/>
  <c r="Y933" i="3"/>
  <c r="E935" i="3" l="1"/>
  <c r="H935" i="3" s="1"/>
  <c r="K935" i="3" s="1"/>
  <c r="AE935" i="3" s="1"/>
  <c r="AH935" i="3"/>
  <c r="AG935" i="3"/>
  <c r="D935" i="3"/>
  <c r="V935" i="3" l="1"/>
  <c r="A936" i="3"/>
  <c r="B936" i="3" s="1"/>
  <c r="F935" i="3"/>
  <c r="G935" i="3"/>
  <c r="I935" i="3" l="1"/>
  <c r="W935" i="3" s="1"/>
  <c r="J935" i="3"/>
  <c r="M935" i="3"/>
  <c r="N935" i="3" s="1"/>
  <c r="P936" i="3"/>
  <c r="Q936" i="3" s="1"/>
  <c r="R936" i="3" s="1"/>
  <c r="S936" i="3" s="1"/>
  <c r="AD936" i="3"/>
  <c r="AC936" i="3"/>
  <c r="Z936" i="3"/>
  <c r="AA936" i="3"/>
  <c r="T936" i="3" l="1"/>
  <c r="L935" i="3"/>
  <c r="AH936" i="3" l="1"/>
  <c r="U935" i="3"/>
  <c r="E936" i="3" s="1"/>
  <c r="H936" i="3" s="1"/>
  <c r="AG936" i="3"/>
  <c r="Y934" i="3"/>
  <c r="D936" i="3" l="1"/>
  <c r="F936" i="3" s="1"/>
  <c r="K936" i="3"/>
  <c r="AE936" i="3" s="1"/>
  <c r="G936" i="3" l="1"/>
  <c r="J936" i="3" s="1"/>
  <c r="V936" i="3"/>
  <c r="A937" i="3"/>
  <c r="B937" i="3" s="1"/>
  <c r="M936" i="3" l="1"/>
  <c r="N936" i="3" s="1"/>
  <c r="I936" i="3"/>
  <c r="W936" i="3" s="1"/>
  <c r="L936" i="3"/>
  <c r="AD937" i="3"/>
  <c r="P937" i="3"/>
  <c r="Q937" i="3" s="1"/>
  <c r="R937" i="3" s="1"/>
  <c r="S937" i="3" s="1"/>
  <c r="AA937" i="3"/>
  <c r="Z937" i="3"/>
  <c r="AC937" i="3"/>
  <c r="U936" i="3" l="1"/>
  <c r="Y935" i="3"/>
  <c r="T937" i="3"/>
  <c r="AG937" i="3" s="1"/>
  <c r="E937" i="3" l="1"/>
  <c r="H937" i="3" s="1"/>
  <c r="K937" i="3" s="1"/>
  <c r="AE937" i="3" s="1"/>
  <c r="D937" i="3"/>
  <c r="G937" i="3" s="1"/>
  <c r="AH937" i="3"/>
  <c r="F937" i="3" l="1"/>
  <c r="V937" i="3"/>
  <c r="A938" i="3"/>
  <c r="B938" i="3" s="1"/>
  <c r="I937" i="3"/>
  <c r="J937" i="3"/>
  <c r="M937" i="3"/>
  <c r="N937" i="3" s="1"/>
  <c r="W937" i="3" l="1"/>
  <c r="L937" i="3"/>
  <c r="Z938" i="3"/>
  <c r="P938" i="3"/>
  <c r="Q938" i="3" s="1"/>
  <c r="R938" i="3" s="1"/>
  <c r="S938" i="3" s="1"/>
  <c r="AA938" i="3"/>
  <c r="AC938" i="3"/>
  <c r="T938" i="3" l="1"/>
  <c r="AG938" i="3" s="1"/>
  <c r="U937" i="3"/>
  <c r="Y936" i="3"/>
  <c r="D938" i="3" l="1"/>
  <c r="AH938" i="3"/>
  <c r="E938" i="3"/>
  <c r="H938" i="3" s="1"/>
  <c r="F938" i="3" l="1"/>
  <c r="G938" i="3"/>
  <c r="J938" i="3" s="1"/>
  <c r="AD938" i="3" s="1"/>
  <c r="K938" i="3"/>
  <c r="AE938" i="3" s="1"/>
  <c r="I938" i="3" l="1"/>
  <c r="M938" i="3"/>
  <c r="N938" i="3" s="1"/>
  <c r="V938" i="3"/>
  <c r="A939" i="3"/>
  <c r="B939" i="3" s="1"/>
  <c r="L938" i="3"/>
  <c r="W938" i="3" l="1"/>
  <c r="U938" i="3"/>
  <c r="Y937" i="3"/>
  <c r="AA939" i="3"/>
  <c r="P939" i="3"/>
  <c r="Q939" i="3" s="1"/>
  <c r="R939" i="3" s="1"/>
  <c r="S939" i="3" s="1"/>
  <c r="Z939" i="3"/>
  <c r="AD939" i="3"/>
  <c r="AC939" i="3"/>
  <c r="T939" i="3" l="1"/>
  <c r="E939" i="3" s="1"/>
  <c r="H939" i="3" s="1"/>
  <c r="K939" i="3" l="1"/>
  <c r="AE939" i="3" s="1"/>
  <c r="AG939" i="3"/>
  <c r="D939" i="3"/>
  <c r="AH939" i="3"/>
  <c r="F939" i="3" l="1"/>
  <c r="G939" i="3"/>
  <c r="V939" i="3"/>
  <c r="A940" i="3"/>
  <c r="B940" i="3" s="1"/>
  <c r="AC940" i="3" l="1"/>
  <c r="Z940" i="3"/>
  <c r="P940" i="3"/>
  <c r="Q940" i="3" s="1"/>
  <c r="R940" i="3" s="1"/>
  <c r="S940" i="3" s="1"/>
  <c r="AA940" i="3"/>
  <c r="AD940" i="3"/>
  <c r="I939" i="3"/>
  <c r="W939" i="3" s="1"/>
  <c r="J939" i="3"/>
  <c r="M939" i="3"/>
  <c r="N939" i="3" s="1"/>
  <c r="T940" i="3" l="1"/>
  <c r="L939" i="3"/>
  <c r="AG940" i="3" l="1"/>
  <c r="AH940" i="3"/>
  <c r="U939" i="3"/>
  <c r="D940" i="3" s="1"/>
  <c r="Y938" i="3"/>
  <c r="E940" i="3" l="1"/>
  <c r="H940" i="3" s="1"/>
  <c r="K940" i="3" s="1"/>
  <c r="AE940" i="3" s="1"/>
  <c r="G940" i="3"/>
  <c r="F940" i="3" l="1"/>
  <c r="I940" i="3"/>
  <c r="J940" i="3"/>
  <c r="M940" i="3"/>
  <c r="N940" i="3" s="1"/>
  <c r="V940" i="3"/>
  <c r="A941" i="3"/>
  <c r="B941" i="3" s="1"/>
  <c r="W940" i="3" l="1"/>
  <c r="L940" i="3"/>
  <c r="AD941" i="3"/>
  <c r="P941" i="3"/>
  <c r="Q941" i="3" s="1"/>
  <c r="R941" i="3" s="1"/>
  <c r="S941" i="3" s="1"/>
  <c r="Z941" i="3"/>
  <c r="AC941" i="3"/>
  <c r="AA941" i="3"/>
  <c r="T941" i="3" l="1"/>
  <c r="U940" i="3"/>
  <c r="Y939" i="3"/>
  <c r="E941" i="3" l="1"/>
  <c r="H941" i="3" s="1"/>
  <c r="K941" i="3" s="1"/>
  <c r="AE941" i="3" s="1"/>
  <c r="AH941" i="3"/>
  <c r="AG941" i="3"/>
  <c r="D941" i="3"/>
  <c r="F941" i="3" l="1"/>
  <c r="G941" i="3"/>
  <c r="V941" i="3"/>
  <c r="A942" i="3"/>
  <c r="B942" i="3" s="1"/>
  <c r="Z942" i="3" l="1"/>
  <c r="AD942" i="3"/>
  <c r="AC942" i="3"/>
  <c r="AA942" i="3"/>
  <c r="P942" i="3"/>
  <c r="Q942" i="3" s="1"/>
  <c r="R942" i="3" s="1"/>
  <c r="S942" i="3" s="1"/>
  <c r="I941" i="3"/>
  <c r="W941" i="3" s="1"/>
  <c r="J941" i="3"/>
  <c r="M941" i="3"/>
  <c r="N941" i="3" s="1"/>
  <c r="T942" i="3" l="1"/>
  <c r="L941" i="3"/>
  <c r="U941" i="3" l="1"/>
  <c r="E942" i="3" s="1"/>
  <c r="H942" i="3" s="1"/>
  <c r="AG942" i="3"/>
  <c r="AH942" i="3"/>
  <c r="Y940" i="3"/>
  <c r="D942" i="3" l="1"/>
  <c r="G942" i="3" s="1"/>
  <c r="K942" i="3"/>
  <c r="AE942" i="3" s="1"/>
  <c r="F942" i="3" l="1"/>
  <c r="I942" i="3"/>
  <c r="J942" i="3"/>
  <c r="M942" i="3"/>
  <c r="N942" i="3" s="1"/>
  <c r="V942" i="3"/>
  <c r="A943" i="3"/>
  <c r="B943" i="3" s="1"/>
  <c r="W942" i="3" l="1"/>
  <c r="L942" i="3"/>
  <c r="AA943" i="3"/>
  <c r="AC943" i="3"/>
  <c r="P943" i="3"/>
  <c r="Q943" i="3" s="1"/>
  <c r="R943" i="3" s="1"/>
  <c r="S943" i="3" s="1"/>
  <c r="Z943" i="3"/>
  <c r="AD943" i="3"/>
  <c r="U942" i="3" l="1"/>
  <c r="Y941" i="3"/>
  <c r="T943" i="3"/>
  <c r="AG943" i="3" s="1"/>
  <c r="E943" i="3" l="1"/>
  <c r="H943" i="3" s="1"/>
  <c r="K943" i="3" s="1"/>
  <c r="AE943" i="3" s="1"/>
  <c r="D943" i="3"/>
  <c r="AH943" i="3"/>
  <c r="F943" i="3" l="1"/>
  <c r="G943" i="3"/>
  <c r="M943" i="3" s="1"/>
  <c r="N943" i="3" s="1"/>
  <c r="V943" i="3"/>
  <c r="A944" i="3"/>
  <c r="B944" i="3" s="1"/>
  <c r="I943" i="3" l="1"/>
  <c r="W943" i="3" s="1"/>
  <c r="J943" i="3"/>
  <c r="L943" i="3" s="1"/>
  <c r="P944" i="3"/>
  <c r="Q944" i="3" s="1"/>
  <c r="R944" i="3" s="1"/>
  <c r="S944" i="3" s="1"/>
  <c r="AC944" i="3"/>
  <c r="Z944" i="3"/>
  <c r="AA944" i="3"/>
  <c r="U943" i="3" l="1"/>
  <c r="Y942" i="3"/>
  <c r="T944" i="3"/>
  <c r="AH944" i="3" s="1"/>
  <c r="D944" i="3" l="1"/>
  <c r="E944" i="3"/>
  <c r="H944" i="3" s="1"/>
  <c r="AG944" i="3"/>
  <c r="F944" i="3" l="1"/>
  <c r="G944" i="3"/>
  <c r="K944" i="3"/>
  <c r="AE944" i="3" s="1"/>
  <c r="I944" i="3" l="1"/>
  <c r="J944" i="3"/>
  <c r="AD944" i="3" s="1"/>
  <c r="M944" i="3"/>
  <c r="N944" i="3" s="1"/>
  <c r="V944" i="3"/>
  <c r="A945" i="3"/>
  <c r="B945" i="3" s="1"/>
  <c r="W944" i="3" l="1"/>
  <c r="L944" i="3"/>
  <c r="P945" i="3"/>
  <c r="Q945" i="3" s="1"/>
  <c r="R945" i="3" s="1"/>
  <c r="S945" i="3" s="1"/>
  <c r="AC945" i="3"/>
  <c r="Z945" i="3"/>
  <c r="AD945" i="3"/>
  <c r="AA945" i="3"/>
  <c r="U944" i="3" l="1"/>
  <c r="Y943" i="3"/>
  <c r="T945" i="3"/>
  <c r="D945" i="3" l="1"/>
  <c r="G945" i="3" s="1"/>
  <c r="AH945" i="3"/>
  <c r="E945" i="3"/>
  <c r="H945" i="3" s="1"/>
  <c r="AG945" i="3"/>
  <c r="F945" i="3" l="1"/>
  <c r="I945" i="3"/>
  <c r="J945" i="3"/>
  <c r="M945" i="3"/>
  <c r="N945" i="3" s="1"/>
  <c r="K945" i="3"/>
  <c r="AE945" i="3" s="1"/>
  <c r="V945" i="3" l="1"/>
  <c r="W945" i="3" s="1"/>
  <c r="A946" i="3"/>
  <c r="B946" i="3" s="1"/>
  <c r="L945" i="3"/>
  <c r="U945" i="3" l="1"/>
  <c r="Y944" i="3"/>
  <c r="P946" i="3"/>
  <c r="Q946" i="3" s="1"/>
  <c r="R946" i="3" s="1"/>
  <c r="S946" i="3" s="1"/>
  <c r="AC946" i="3"/>
  <c r="AA946" i="3"/>
  <c r="AD946" i="3"/>
  <c r="Z946" i="3"/>
  <c r="T946" i="3" l="1"/>
  <c r="E946" i="3" s="1"/>
  <c r="H946" i="3" s="1"/>
  <c r="K946" i="3" l="1"/>
  <c r="AE946" i="3" s="1"/>
  <c r="AG946" i="3"/>
  <c r="D946" i="3"/>
  <c r="AH946" i="3"/>
  <c r="F946" i="3" l="1"/>
  <c r="G946" i="3"/>
  <c r="V946" i="3"/>
  <c r="A947" i="3"/>
  <c r="B947" i="3" s="1"/>
  <c r="Z947" i="3" l="1"/>
  <c r="AC947" i="3"/>
  <c r="P947" i="3"/>
  <c r="Q947" i="3" s="1"/>
  <c r="R947" i="3" s="1"/>
  <c r="S947" i="3" s="1"/>
  <c r="AA947" i="3"/>
  <c r="AD947" i="3"/>
  <c r="I946" i="3"/>
  <c r="W946" i="3" s="1"/>
  <c r="J946" i="3"/>
  <c r="M946" i="3"/>
  <c r="N946" i="3" s="1"/>
  <c r="L946" i="3" l="1"/>
  <c r="T947" i="3"/>
  <c r="AH947" i="3" l="1"/>
  <c r="AG947" i="3"/>
  <c r="U946" i="3"/>
  <c r="E947" i="3" s="1"/>
  <c r="H947" i="3" s="1"/>
  <c r="Y945" i="3"/>
  <c r="D947" i="3" l="1"/>
  <c r="G947" i="3" s="1"/>
  <c r="K947" i="3"/>
  <c r="AE947" i="3" s="1"/>
  <c r="F947" i="3" l="1"/>
  <c r="V947" i="3"/>
  <c r="A948" i="3"/>
  <c r="B948" i="3" s="1"/>
  <c r="I947" i="3"/>
  <c r="J947" i="3"/>
  <c r="M947" i="3"/>
  <c r="N947" i="3" s="1"/>
  <c r="W947" i="3" l="1"/>
  <c r="L947" i="3"/>
  <c r="P948" i="3"/>
  <c r="Q948" i="3" s="1"/>
  <c r="R948" i="3" s="1"/>
  <c r="S948" i="3" s="1"/>
  <c r="AA948" i="3"/>
  <c r="Z948" i="3"/>
  <c r="AC948" i="3"/>
  <c r="U947" i="3" l="1"/>
  <c r="Y946" i="3"/>
  <c r="T948" i="3"/>
  <c r="AH948" i="3" s="1"/>
  <c r="AG948" i="3" l="1"/>
  <c r="E948" i="3"/>
  <c r="H948" i="3" s="1"/>
  <c r="D948" i="3"/>
  <c r="K948" i="3" l="1"/>
  <c r="AE948" i="3" s="1"/>
  <c r="F948" i="3"/>
  <c r="G948" i="3"/>
  <c r="I948" i="3" l="1"/>
  <c r="J948" i="3"/>
  <c r="AD948" i="3" s="1"/>
  <c r="M948" i="3"/>
  <c r="N948" i="3" s="1"/>
  <c r="V948" i="3"/>
  <c r="A949" i="3"/>
  <c r="B949" i="3" s="1"/>
  <c r="W948" i="3" l="1"/>
  <c r="L948" i="3"/>
  <c r="AD949" i="3"/>
  <c r="AA949" i="3"/>
  <c r="AC949" i="3"/>
  <c r="Z949" i="3"/>
  <c r="P949" i="3"/>
  <c r="Q949" i="3" s="1"/>
  <c r="R949" i="3" s="1"/>
  <c r="S949" i="3" s="1"/>
  <c r="U948" i="3" l="1"/>
  <c r="Y947" i="3"/>
  <c r="T949" i="3"/>
  <c r="AH949" i="3" s="1"/>
  <c r="AG949" i="3" l="1"/>
  <c r="D949" i="3"/>
  <c r="G949" i="3" s="1"/>
  <c r="E949" i="3"/>
  <c r="H949" i="3" s="1"/>
  <c r="K949" i="3" s="1"/>
  <c r="AE949" i="3" s="1"/>
  <c r="F949" i="3" l="1"/>
  <c r="I949" i="3"/>
  <c r="J949" i="3"/>
  <c r="M949" i="3"/>
  <c r="N949" i="3" s="1"/>
  <c r="V949" i="3"/>
  <c r="A950" i="3"/>
  <c r="B950" i="3" s="1"/>
  <c r="W949" i="3" l="1"/>
  <c r="L949" i="3"/>
  <c r="Z950" i="3"/>
  <c r="AC950" i="3"/>
  <c r="P950" i="3"/>
  <c r="Q950" i="3" s="1"/>
  <c r="R950" i="3" s="1"/>
  <c r="S950" i="3" s="1"/>
  <c r="AD950" i="3"/>
  <c r="AA950" i="3"/>
  <c r="T950" i="3" l="1"/>
  <c r="U949" i="3"/>
  <c r="Y948" i="3"/>
  <c r="D950" i="3" l="1"/>
  <c r="G950" i="3" s="1"/>
  <c r="AG950" i="3"/>
  <c r="E950" i="3"/>
  <c r="H950" i="3" s="1"/>
  <c r="K950" i="3" s="1"/>
  <c r="AE950" i="3" s="1"/>
  <c r="AH950" i="3"/>
  <c r="F950" i="3" l="1"/>
  <c r="I950" i="3"/>
  <c r="J950" i="3"/>
  <c r="M950" i="3"/>
  <c r="N950" i="3" s="1"/>
  <c r="V950" i="3"/>
  <c r="A951" i="3"/>
  <c r="B951" i="3" s="1"/>
  <c r="W950" i="3" l="1"/>
  <c r="P951" i="3"/>
  <c r="Q951" i="3" s="1"/>
  <c r="R951" i="3" s="1"/>
  <c r="S951" i="3" s="1"/>
  <c r="AA951" i="3"/>
  <c r="AC951" i="3"/>
  <c r="AD951" i="3"/>
  <c r="Z951" i="3"/>
  <c r="L950" i="3"/>
  <c r="T951" i="3" l="1"/>
  <c r="U950" i="3"/>
  <c r="Y949" i="3"/>
  <c r="D951" i="3" l="1"/>
  <c r="G951" i="3" s="1"/>
  <c r="AH951" i="3"/>
  <c r="AG951" i="3"/>
  <c r="E951" i="3"/>
  <c r="H951" i="3" s="1"/>
  <c r="K951" i="3" s="1"/>
  <c r="AE951" i="3" s="1"/>
  <c r="F951" i="3" l="1"/>
  <c r="I951" i="3"/>
  <c r="J951" i="3"/>
  <c r="M951" i="3"/>
  <c r="N951" i="3" s="1"/>
  <c r="V951" i="3"/>
  <c r="A952" i="3"/>
  <c r="B952" i="3" s="1"/>
  <c r="AC952" i="3" l="1"/>
  <c r="Z952" i="3"/>
  <c r="AD952" i="3"/>
  <c r="P952" i="3"/>
  <c r="Q952" i="3" s="1"/>
  <c r="R952" i="3" s="1"/>
  <c r="S952" i="3" s="1"/>
  <c r="AA952" i="3"/>
  <c r="W951" i="3"/>
  <c r="L951" i="3"/>
  <c r="U951" i="3" l="1"/>
  <c r="Y950" i="3"/>
  <c r="T952" i="3"/>
  <c r="D952" i="3" l="1"/>
  <c r="G952" i="3" s="1"/>
  <c r="E952" i="3"/>
  <c r="H952" i="3" s="1"/>
  <c r="AH952" i="3"/>
  <c r="AG952" i="3"/>
  <c r="F952" i="3" l="1"/>
  <c r="I952" i="3"/>
  <c r="J952" i="3"/>
  <c r="M952" i="3"/>
  <c r="N952" i="3" s="1"/>
  <c r="K952" i="3"/>
  <c r="AE952" i="3" s="1"/>
  <c r="V952" i="3" l="1"/>
  <c r="W952" i="3" s="1"/>
  <c r="A953" i="3"/>
  <c r="B953" i="3" s="1"/>
  <c r="L952" i="3"/>
  <c r="U952" i="3" l="1"/>
  <c r="Y951" i="3"/>
  <c r="Z953" i="3"/>
  <c r="AA953" i="3"/>
  <c r="AD953" i="3"/>
  <c r="P953" i="3"/>
  <c r="Q953" i="3" s="1"/>
  <c r="R953" i="3" s="1"/>
  <c r="S953" i="3" s="1"/>
  <c r="AC953" i="3"/>
  <c r="T953" i="3" l="1"/>
  <c r="AG953" i="3" s="1"/>
  <c r="E953" i="3" l="1"/>
  <c r="H953" i="3" s="1"/>
  <c r="K953" i="3" s="1"/>
  <c r="AE953" i="3" s="1"/>
  <c r="AH953" i="3"/>
  <c r="D953" i="3"/>
  <c r="G953" i="3" s="1"/>
  <c r="F953" i="3" l="1"/>
  <c r="I953" i="3"/>
  <c r="J953" i="3"/>
  <c r="M953" i="3"/>
  <c r="N953" i="3" s="1"/>
  <c r="V953" i="3"/>
  <c r="A954" i="3"/>
  <c r="B954" i="3" s="1"/>
  <c r="W953" i="3" l="1"/>
  <c r="L953" i="3"/>
  <c r="AA954" i="3"/>
  <c r="P954" i="3"/>
  <c r="Q954" i="3" s="1"/>
  <c r="R954" i="3" s="1"/>
  <c r="S954" i="3" s="1"/>
  <c r="AC954" i="3"/>
  <c r="Z954" i="3"/>
  <c r="T954" i="3" l="1"/>
  <c r="U953" i="3"/>
  <c r="Y952" i="3"/>
  <c r="E954" i="3" l="1"/>
  <c r="H954" i="3" s="1"/>
  <c r="K954" i="3" s="1"/>
  <c r="AE954" i="3" s="1"/>
  <c r="AG954" i="3"/>
  <c r="AH954" i="3"/>
  <c r="D954" i="3"/>
  <c r="G954" i="3" s="1"/>
  <c r="F954" i="3" l="1"/>
  <c r="V954" i="3"/>
  <c r="A955" i="3"/>
  <c r="B955" i="3" s="1"/>
  <c r="I954" i="3"/>
  <c r="J954" i="3"/>
  <c r="AD954" i="3" s="1"/>
  <c r="M954" i="3"/>
  <c r="N954" i="3" s="1"/>
  <c r="W954" i="3" l="1"/>
  <c r="L954" i="3"/>
  <c r="P955" i="3"/>
  <c r="Q955" i="3" s="1"/>
  <c r="R955" i="3" s="1"/>
  <c r="S955" i="3" s="1"/>
  <c r="AA955" i="3"/>
  <c r="AC955" i="3"/>
  <c r="Z955" i="3"/>
  <c r="U954" i="3" l="1"/>
  <c r="Y953" i="3"/>
  <c r="T955" i="3"/>
  <c r="AG955" i="3" s="1"/>
  <c r="AH955" i="3" l="1"/>
  <c r="D955" i="3"/>
  <c r="E955" i="3"/>
  <c r="H955" i="3" s="1"/>
  <c r="F955" i="3" l="1"/>
  <c r="G955" i="3"/>
  <c r="K955" i="3"/>
  <c r="AE955" i="3" s="1"/>
  <c r="I955" i="3" l="1"/>
  <c r="J955" i="3"/>
  <c r="AD955" i="3" s="1"/>
  <c r="M955" i="3"/>
  <c r="N955" i="3" s="1"/>
  <c r="V955" i="3"/>
  <c r="A956" i="3"/>
  <c r="B956" i="3" s="1"/>
  <c r="W955" i="3" l="1"/>
  <c r="L955" i="3"/>
  <c r="AA956" i="3"/>
  <c r="P956" i="3"/>
  <c r="Q956" i="3" s="1"/>
  <c r="R956" i="3" s="1"/>
  <c r="S956" i="3" s="1"/>
  <c r="Z956" i="3"/>
  <c r="AC956" i="3"/>
  <c r="U955" i="3" l="1"/>
  <c r="Y954" i="3"/>
  <c r="T956" i="3"/>
  <c r="AH956" i="3" s="1"/>
  <c r="AG956" i="3" l="1"/>
  <c r="E956" i="3"/>
  <c r="H956" i="3" s="1"/>
  <c r="K956" i="3" s="1"/>
  <c r="AE956" i="3" s="1"/>
  <c r="D956" i="3"/>
  <c r="V956" i="3" l="1"/>
  <c r="A957" i="3"/>
  <c r="B957" i="3" s="1"/>
  <c r="F956" i="3"/>
  <c r="G956" i="3"/>
  <c r="I956" i="3" l="1"/>
  <c r="W956" i="3" s="1"/>
  <c r="J956" i="3"/>
  <c r="AD956" i="3" s="1"/>
  <c r="M956" i="3"/>
  <c r="N956" i="3" s="1"/>
  <c r="AA957" i="3"/>
  <c r="Z957" i="3"/>
  <c r="P957" i="3"/>
  <c r="Q957" i="3" s="1"/>
  <c r="R957" i="3" s="1"/>
  <c r="S957" i="3" s="1"/>
  <c r="AC957" i="3"/>
  <c r="T957" i="3" l="1"/>
  <c r="L956" i="3"/>
  <c r="AG957" i="3" l="1"/>
  <c r="U956" i="3"/>
  <c r="E957" i="3" s="1"/>
  <c r="H957" i="3" s="1"/>
  <c r="AH957" i="3"/>
  <c r="Y955" i="3"/>
  <c r="D957" i="3" l="1"/>
  <c r="G957" i="3" s="1"/>
  <c r="K957" i="3"/>
  <c r="AE957" i="3" s="1"/>
  <c r="F957" i="3" l="1"/>
  <c r="I957" i="3"/>
  <c r="J957" i="3"/>
  <c r="AD957" i="3" s="1"/>
  <c r="M957" i="3"/>
  <c r="N957" i="3" s="1"/>
  <c r="V957" i="3"/>
  <c r="A958" i="3"/>
  <c r="B958" i="3" s="1"/>
  <c r="W957" i="3" l="1"/>
  <c r="L957" i="3"/>
  <c r="AC958" i="3"/>
  <c r="AA958" i="3"/>
  <c r="P958" i="3"/>
  <c r="Q958" i="3" s="1"/>
  <c r="R958" i="3" s="1"/>
  <c r="S958" i="3" s="1"/>
  <c r="Z958" i="3"/>
  <c r="T958" i="3" l="1"/>
  <c r="AH958" i="3" s="1"/>
  <c r="U957" i="3"/>
  <c r="Y956" i="3"/>
  <c r="AG958" i="3" l="1"/>
  <c r="D958" i="3"/>
  <c r="E958" i="3"/>
  <c r="H958" i="3" s="1"/>
  <c r="K958" i="3" l="1"/>
  <c r="AE958" i="3" s="1"/>
  <c r="F958" i="3"/>
  <c r="G958" i="3"/>
  <c r="V958" i="3" l="1"/>
  <c r="A959" i="3"/>
  <c r="B959" i="3" s="1"/>
  <c r="I958" i="3"/>
  <c r="J958" i="3"/>
  <c r="AD958" i="3" s="1"/>
  <c r="M958" i="3"/>
  <c r="N958" i="3" s="1"/>
  <c r="W958" i="3" l="1"/>
  <c r="L958" i="3"/>
  <c r="Z959" i="3"/>
  <c r="AC959" i="3"/>
  <c r="P959" i="3"/>
  <c r="Q959" i="3" s="1"/>
  <c r="R959" i="3" s="1"/>
  <c r="S959" i="3" s="1"/>
  <c r="AA959" i="3"/>
  <c r="T959" i="3" l="1"/>
  <c r="AH959" i="3" s="1"/>
  <c r="U958" i="3"/>
  <c r="Y957" i="3"/>
  <c r="AG959" i="3" l="1"/>
  <c r="E959" i="3"/>
  <c r="H959" i="3" s="1"/>
  <c r="K959" i="3" s="1"/>
  <c r="AE959" i="3" s="1"/>
  <c r="D959" i="3"/>
  <c r="F959" i="3" l="1"/>
  <c r="G959" i="3"/>
  <c r="V959" i="3"/>
  <c r="A960" i="3"/>
  <c r="B960" i="3" s="1"/>
  <c r="Z960" i="3" l="1"/>
  <c r="AA960" i="3"/>
  <c r="P960" i="3"/>
  <c r="Q960" i="3" s="1"/>
  <c r="R960" i="3" s="1"/>
  <c r="S960" i="3" s="1"/>
  <c r="AC960" i="3"/>
  <c r="I959" i="3"/>
  <c r="W959" i="3" s="1"/>
  <c r="J959" i="3"/>
  <c r="AD959" i="3" s="1"/>
  <c r="M959" i="3"/>
  <c r="N959" i="3" s="1"/>
  <c r="T960" i="3" l="1"/>
  <c r="L959" i="3"/>
  <c r="U959" i="3" l="1"/>
  <c r="E960" i="3" s="1"/>
  <c r="H960" i="3" s="1"/>
  <c r="AG960" i="3"/>
  <c r="AH960" i="3"/>
  <c r="Y958" i="3"/>
  <c r="D960" i="3" l="1"/>
  <c r="G960" i="3" s="1"/>
  <c r="K960" i="3"/>
  <c r="AE960" i="3" s="1"/>
  <c r="F960" i="3" l="1"/>
  <c r="I960" i="3"/>
  <c r="J960" i="3"/>
  <c r="AD960" i="3" s="1"/>
  <c r="M960" i="3"/>
  <c r="N960" i="3" s="1"/>
  <c r="V960" i="3"/>
  <c r="A961" i="3"/>
  <c r="B961" i="3" s="1"/>
  <c r="W960" i="3" l="1"/>
  <c r="P961" i="3"/>
  <c r="Q961" i="3" s="1"/>
  <c r="R961" i="3" s="1"/>
  <c r="S961" i="3" s="1"/>
  <c r="AC961" i="3"/>
  <c r="Z961" i="3"/>
  <c r="AA961" i="3"/>
  <c r="L960" i="3"/>
  <c r="U960" i="3" l="1"/>
  <c r="Y959" i="3"/>
  <c r="T961" i="3"/>
  <c r="D961" i="3" l="1"/>
  <c r="G961" i="3" s="1"/>
  <c r="AH961" i="3"/>
  <c r="AG961" i="3"/>
  <c r="E961" i="3"/>
  <c r="H961" i="3" s="1"/>
  <c r="K961" i="3" l="1"/>
  <c r="AE961" i="3" s="1"/>
  <c r="I961" i="3"/>
  <c r="J961" i="3"/>
  <c r="AD961" i="3" s="1"/>
  <c r="M961" i="3"/>
  <c r="N961" i="3" s="1"/>
  <c r="F961" i="3"/>
  <c r="L961" i="3" l="1"/>
  <c r="V961" i="3"/>
  <c r="W961" i="3" s="1"/>
  <c r="A962" i="3"/>
  <c r="B962" i="3" s="1"/>
  <c r="Z962" i="3" l="1"/>
  <c r="AA962" i="3"/>
  <c r="P962" i="3"/>
  <c r="Q962" i="3" s="1"/>
  <c r="R962" i="3" s="1"/>
  <c r="S962" i="3" s="1"/>
  <c r="AC962" i="3"/>
  <c r="U961" i="3"/>
  <c r="Y960" i="3"/>
  <c r="T962" i="3" l="1"/>
  <c r="E962" i="3" s="1"/>
  <c r="H962" i="3" s="1"/>
  <c r="AH962" i="3" l="1"/>
  <c r="K962" i="3"/>
  <c r="AE962" i="3" s="1"/>
  <c r="D962" i="3"/>
  <c r="AG962" i="3"/>
  <c r="V962" i="3" l="1"/>
  <c r="A963" i="3"/>
  <c r="B963" i="3" s="1"/>
  <c r="F962" i="3"/>
  <c r="G962" i="3"/>
  <c r="P963" i="3" l="1"/>
  <c r="Q963" i="3" s="1"/>
  <c r="R963" i="3" s="1"/>
  <c r="S963" i="3" s="1"/>
  <c r="AC963" i="3"/>
  <c r="Z963" i="3"/>
  <c r="AA963" i="3"/>
  <c r="I962" i="3"/>
  <c r="W962" i="3" s="1"/>
  <c r="J962" i="3"/>
  <c r="AD962" i="3" s="1"/>
  <c r="M962" i="3"/>
  <c r="N962" i="3" s="1"/>
  <c r="T963" i="3" l="1"/>
  <c r="L962" i="3"/>
  <c r="U962" i="3" l="1"/>
  <c r="E963" i="3" s="1"/>
  <c r="H963" i="3" s="1"/>
  <c r="AG963" i="3"/>
  <c r="AH963" i="3"/>
  <c r="Y961" i="3"/>
  <c r="D963" i="3" l="1"/>
  <c r="G963" i="3" s="1"/>
  <c r="K963" i="3"/>
  <c r="AE963" i="3" s="1"/>
  <c r="F963" i="3" l="1"/>
  <c r="I963" i="3"/>
  <c r="J963" i="3"/>
  <c r="AD963" i="3" s="1"/>
  <c r="M963" i="3"/>
  <c r="N963" i="3" s="1"/>
  <c r="V963" i="3"/>
  <c r="A964" i="3"/>
  <c r="B964" i="3" s="1"/>
  <c r="W963" i="3" l="1"/>
  <c r="L963" i="3"/>
  <c r="Z964" i="3"/>
  <c r="P964" i="3"/>
  <c r="Q964" i="3" s="1"/>
  <c r="R964" i="3" s="1"/>
  <c r="S964" i="3" s="1"/>
  <c r="AA964" i="3"/>
  <c r="AC964" i="3"/>
  <c r="U963" i="3" l="1"/>
  <c r="Y962" i="3"/>
  <c r="T964" i="3"/>
  <c r="D964" i="3" l="1"/>
  <c r="G964" i="3" s="1"/>
  <c r="E964" i="3"/>
  <c r="H964" i="3" s="1"/>
  <c r="K964" i="3" s="1"/>
  <c r="AE964" i="3" s="1"/>
  <c r="AH964" i="3"/>
  <c r="AG964" i="3"/>
  <c r="F964" i="3" l="1"/>
  <c r="I964" i="3"/>
  <c r="J964" i="3"/>
  <c r="AD964" i="3" s="1"/>
  <c r="M964" i="3"/>
  <c r="N964" i="3" s="1"/>
  <c r="V964" i="3"/>
  <c r="A965" i="3"/>
  <c r="B965" i="3" s="1"/>
  <c r="W964" i="3" l="1"/>
  <c r="L964" i="3"/>
  <c r="AC965" i="3"/>
  <c r="AD965" i="3"/>
  <c r="P965" i="3"/>
  <c r="Q965" i="3" s="1"/>
  <c r="R965" i="3" s="1"/>
  <c r="S965" i="3" s="1"/>
  <c r="AA965" i="3"/>
  <c r="Z965" i="3"/>
  <c r="U964" i="3" l="1"/>
  <c r="Y963" i="3"/>
  <c r="T965" i="3"/>
  <c r="AH965" i="3" s="1"/>
  <c r="AG965" i="3" l="1"/>
  <c r="E965" i="3"/>
  <c r="H965" i="3" s="1"/>
  <c r="D965" i="3"/>
  <c r="F965" i="3" l="1"/>
  <c r="G965" i="3"/>
  <c r="K965" i="3"/>
  <c r="AE965" i="3" s="1"/>
  <c r="V965" i="3" l="1"/>
  <c r="A966" i="3"/>
  <c r="B966" i="3" s="1"/>
  <c r="I965" i="3"/>
  <c r="J965" i="3"/>
  <c r="M965" i="3"/>
  <c r="N965" i="3" s="1"/>
  <c r="L965" i="3" l="1"/>
  <c r="P966" i="3"/>
  <c r="Q966" i="3" s="1"/>
  <c r="R966" i="3" s="1"/>
  <c r="S966" i="3" s="1"/>
  <c r="AD966" i="3"/>
  <c r="AA966" i="3"/>
  <c r="Z966" i="3"/>
  <c r="AC966" i="3"/>
  <c r="W965" i="3"/>
  <c r="T966" i="3" l="1"/>
  <c r="AG966" i="3" s="1"/>
  <c r="U965" i="3"/>
  <c r="Y964" i="3"/>
  <c r="E966" i="3" l="1"/>
  <c r="H966" i="3" s="1"/>
  <c r="D966" i="3"/>
  <c r="AH966" i="3"/>
  <c r="K966" i="3" l="1"/>
  <c r="AE966" i="3" s="1"/>
  <c r="F966" i="3"/>
  <c r="G966" i="3"/>
  <c r="I966" i="3" l="1"/>
  <c r="J966" i="3"/>
  <c r="M966" i="3"/>
  <c r="N966" i="3" s="1"/>
  <c r="V966" i="3"/>
  <c r="A967" i="3"/>
  <c r="B967" i="3" s="1"/>
  <c r="W966" i="3" l="1"/>
  <c r="L966" i="3"/>
  <c r="AA967" i="3"/>
  <c r="P967" i="3"/>
  <c r="Q967" i="3" s="1"/>
  <c r="R967" i="3" s="1"/>
  <c r="S967" i="3" s="1"/>
  <c r="AC967" i="3"/>
  <c r="Z967" i="3"/>
  <c r="AD967" i="3"/>
  <c r="U966" i="3" l="1"/>
  <c r="Y965" i="3"/>
  <c r="T967" i="3"/>
  <c r="E967" i="3" l="1"/>
  <c r="H967" i="3" s="1"/>
  <c r="K967" i="3" s="1"/>
  <c r="AE967" i="3" s="1"/>
  <c r="AH967" i="3"/>
  <c r="AG967" i="3"/>
  <c r="D967" i="3"/>
  <c r="V967" i="3" l="1"/>
  <c r="A968" i="3"/>
  <c r="B968" i="3" s="1"/>
  <c r="F967" i="3"/>
  <c r="G967" i="3"/>
  <c r="I967" i="3" l="1"/>
  <c r="W967" i="3" s="1"/>
  <c r="J967" i="3"/>
  <c r="M967" i="3"/>
  <c r="N967" i="3" s="1"/>
  <c r="Z968" i="3"/>
  <c r="AA968" i="3"/>
  <c r="P968" i="3"/>
  <c r="Q968" i="3" s="1"/>
  <c r="R968" i="3" s="1"/>
  <c r="S968" i="3" s="1"/>
  <c r="AC968" i="3"/>
  <c r="L967" i="3" l="1"/>
  <c r="T968" i="3"/>
  <c r="AH968" i="3" l="1"/>
  <c r="AG968" i="3"/>
  <c r="U967" i="3"/>
  <c r="E968" i="3" s="1"/>
  <c r="H968" i="3" s="1"/>
  <c r="Y966" i="3"/>
  <c r="K968" i="3" l="1"/>
  <c r="AE968" i="3" s="1"/>
  <c r="D968" i="3"/>
  <c r="V968" i="3" l="1"/>
  <c r="A969" i="3"/>
  <c r="B969" i="3" s="1"/>
  <c r="F968" i="3"/>
  <c r="G968" i="3"/>
  <c r="I968" i="3" l="1"/>
  <c r="W968" i="3" s="1"/>
  <c r="J968" i="3"/>
  <c r="AD968" i="3" s="1"/>
  <c r="M968" i="3"/>
  <c r="N968" i="3" s="1"/>
  <c r="AA969" i="3"/>
  <c r="Z969" i="3"/>
  <c r="AD969" i="3"/>
  <c r="P969" i="3"/>
  <c r="Q969" i="3" s="1"/>
  <c r="R969" i="3" s="1"/>
  <c r="S969" i="3" s="1"/>
  <c r="AC969" i="3"/>
  <c r="T969" i="3" l="1"/>
  <c r="L968" i="3"/>
  <c r="AH969" i="3" l="1"/>
  <c r="U968" i="3"/>
  <c r="D969" i="3" s="1"/>
  <c r="AG969" i="3"/>
  <c r="Y967" i="3"/>
  <c r="G969" i="3" l="1"/>
  <c r="E969" i="3"/>
  <c r="H969" i="3" s="1"/>
  <c r="F969" i="3" l="1"/>
  <c r="I969" i="3"/>
  <c r="J969" i="3"/>
  <c r="M969" i="3"/>
  <c r="N969" i="3" s="1"/>
  <c r="K969" i="3"/>
  <c r="AE969" i="3" s="1"/>
  <c r="V969" i="3" l="1"/>
  <c r="W969" i="3" s="1"/>
  <c r="A970" i="3"/>
  <c r="B970" i="3" s="1"/>
  <c r="L969" i="3"/>
  <c r="U969" i="3" l="1"/>
  <c r="Y968" i="3"/>
  <c r="AA970" i="3"/>
  <c r="P970" i="3"/>
  <c r="Q970" i="3" s="1"/>
  <c r="R970" i="3" s="1"/>
  <c r="S970" i="3" s="1"/>
  <c r="AC970" i="3"/>
  <c r="Z970" i="3"/>
  <c r="AD970" i="3"/>
  <c r="T970" i="3" l="1"/>
  <c r="E970" i="3" s="1"/>
  <c r="H970" i="3" s="1"/>
  <c r="AH970" i="3" l="1"/>
  <c r="K970" i="3"/>
  <c r="AE970" i="3" s="1"/>
  <c r="D970" i="3"/>
  <c r="AG970" i="3"/>
  <c r="V970" i="3" l="1"/>
  <c r="A971" i="3"/>
  <c r="B971" i="3" s="1"/>
  <c r="F970" i="3"/>
  <c r="G970" i="3"/>
  <c r="I970" i="3" l="1"/>
  <c r="W970" i="3" s="1"/>
  <c r="J970" i="3"/>
  <c r="M970" i="3"/>
  <c r="N970" i="3" s="1"/>
  <c r="P971" i="3"/>
  <c r="Q971" i="3" s="1"/>
  <c r="R971" i="3" s="1"/>
  <c r="S971" i="3" s="1"/>
  <c r="AD971" i="3"/>
  <c r="Z971" i="3"/>
  <c r="AC971" i="3"/>
  <c r="AA971" i="3"/>
  <c r="T971" i="3" l="1"/>
  <c r="L970" i="3"/>
  <c r="U970" i="3" l="1"/>
  <c r="E971" i="3" s="1"/>
  <c r="H971" i="3" s="1"/>
  <c r="AH971" i="3"/>
  <c r="AG971" i="3"/>
  <c r="Y969" i="3"/>
  <c r="K971" i="3" l="1"/>
  <c r="AE971" i="3" s="1"/>
  <c r="D971" i="3"/>
  <c r="V971" i="3" l="1"/>
  <c r="A972" i="3"/>
  <c r="B972" i="3" s="1"/>
  <c r="F971" i="3"/>
  <c r="G971" i="3"/>
  <c r="I971" i="3" l="1"/>
  <c r="W971" i="3" s="1"/>
  <c r="J971" i="3"/>
  <c r="M971" i="3"/>
  <c r="N971" i="3" s="1"/>
  <c r="AC972" i="3"/>
  <c r="AD972" i="3"/>
  <c r="Z972" i="3"/>
  <c r="P972" i="3"/>
  <c r="Q972" i="3" s="1"/>
  <c r="R972" i="3" s="1"/>
  <c r="S972" i="3" s="1"/>
  <c r="AA972" i="3"/>
  <c r="T972" i="3" l="1"/>
  <c r="L971" i="3"/>
  <c r="U971" i="3" l="1"/>
  <c r="D972" i="3" s="1"/>
  <c r="AH972" i="3"/>
  <c r="AG972" i="3"/>
  <c r="Y970" i="3"/>
  <c r="E972" i="3" l="1"/>
  <c r="H972" i="3" s="1"/>
  <c r="K972" i="3" s="1"/>
  <c r="AE972" i="3" s="1"/>
  <c r="G972" i="3"/>
  <c r="F972" i="3" l="1"/>
  <c r="V972" i="3"/>
  <c r="A973" i="3"/>
  <c r="B973" i="3" s="1"/>
  <c r="I972" i="3"/>
  <c r="J972" i="3"/>
  <c r="M972" i="3"/>
  <c r="N972" i="3" s="1"/>
  <c r="W972" i="3" l="1"/>
  <c r="L972" i="3"/>
  <c r="AC973" i="3"/>
  <c r="P973" i="3"/>
  <c r="Q973" i="3" s="1"/>
  <c r="R973" i="3" s="1"/>
  <c r="S973" i="3" s="1"/>
  <c r="Z973" i="3"/>
  <c r="AD973" i="3"/>
  <c r="AA973" i="3"/>
  <c r="U972" i="3" l="1"/>
  <c r="Y971" i="3"/>
  <c r="T973" i="3"/>
  <c r="AG973" i="3" s="1"/>
  <c r="D973" i="3" l="1"/>
  <c r="G973" i="3" s="1"/>
  <c r="E973" i="3"/>
  <c r="H973" i="3" s="1"/>
  <c r="K973" i="3" s="1"/>
  <c r="AE973" i="3" s="1"/>
  <c r="AH973" i="3"/>
  <c r="F973" i="3" l="1"/>
  <c r="I973" i="3"/>
  <c r="J973" i="3"/>
  <c r="M973" i="3"/>
  <c r="N973" i="3" s="1"/>
  <c r="V973" i="3"/>
  <c r="A974" i="3"/>
  <c r="B974" i="3" s="1"/>
  <c r="W973" i="3" l="1"/>
  <c r="L973" i="3"/>
  <c r="P974" i="3"/>
  <c r="Q974" i="3" s="1"/>
  <c r="R974" i="3" s="1"/>
  <c r="S974" i="3" s="1"/>
  <c r="AA974" i="3"/>
  <c r="Z974" i="3"/>
  <c r="AC974" i="3"/>
  <c r="T974" i="3" l="1"/>
  <c r="AG974" i="3" s="1"/>
  <c r="U973" i="3"/>
  <c r="Y972" i="3"/>
  <c r="AH974" i="3" l="1"/>
  <c r="E974" i="3"/>
  <c r="H974" i="3" s="1"/>
  <c r="D974" i="3"/>
  <c r="K974" i="3" l="1"/>
  <c r="AE974" i="3" s="1"/>
  <c r="F974" i="3"/>
  <c r="G974" i="3"/>
  <c r="I974" i="3" l="1"/>
  <c r="J974" i="3"/>
  <c r="AD974" i="3" s="1"/>
  <c r="M974" i="3"/>
  <c r="N974" i="3" s="1"/>
  <c r="V974" i="3"/>
  <c r="A975" i="3"/>
  <c r="B975" i="3" s="1"/>
  <c r="W974" i="3" l="1"/>
  <c r="L974" i="3"/>
  <c r="AD975" i="3"/>
  <c r="P975" i="3"/>
  <c r="Q975" i="3" s="1"/>
  <c r="R975" i="3" s="1"/>
  <c r="S975" i="3" s="1"/>
  <c r="AC975" i="3"/>
  <c r="Z975" i="3"/>
  <c r="AA975" i="3"/>
  <c r="U974" i="3" l="1"/>
  <c r="Y973" i="3"/>
  <c r="T975" i="3"/>
  <c r="D975" i="3" l="1"/>
  <c r="G975" i="3" s="1"/>
  <c r="AH975" i="3"/>
  <c r="E975" i="3"/>
  <c r="H975" i="3" s="1"/>
  <c r="K975" i="3" s="1"/>
  <c r="AE975" i="3" s="1"/>
  <c r="AG975" i="3"/>
  <c r="F975" i="3" l="1"/>
  <c r="V975" i="3"/>
  <c r="A976" i="3"/>
  <c r="B976" i="3" s="1"/>
  <c r="I975" i="3"/>
  <c r="J975" i="3"/>
  <c r="M975" i="3"/>
  <c r="N975" i="3" s="1"/>
  <c r="W975" i="3" l="1"/>
  <c r="L975" i="3"/>
  <c r="AA976" i="3"/>
  <c r="AC976" i="3"/>
  <c r="Z976" i="3"/>
  <c r="AD976" i="3"/>
  <c r="P976" i="3"/>
  <c r="Q976" i="3" s="1"/>
  <c r="R976" i="3" s="1"/>
  <c r="S976" i="3" s="1"/>
  <c r="U975" i="3" l="1"/>
  <c r="Y974" i="3"/>
  <c r="T976" i="3"/>
  <c r="AG976" i="3" s="1"/>
  <c r="AH976" i="3" l="1"/>
  <c r="E976" i="3"/>
  <c r="H976" i="3" s="1"/>
  <c r="D976" i="3"/>
  <c r="K976" i="3" l="1"/>
  <c r="AE976" i="3" s="1"/>
  <c r="F976" i="3"/>
  <c r="G976" i="3"/>
  <c r="I976" i="3" l="1"/>
  <c r="J976" i="3"/>
  <c r="M976" i="3"/>
  <c r="N976" i="3" s="1"/>
  <c r="V976" i="3"/>
  <c r="A977" i="3"/>
  <c r="B977" i="3" s="1"/>
  <c r="W976" i="3" l="1"/>
  <c r="L976" i="3"/>
  <c r="Z977" i="3"/>
  <c r="P977" i="3"/>
  <c r="Q977" i="3" s="1"/>
  <c r="R977" i="3" s="1"/>
  <c r="S977" i="3" s="1"/>
  <c r="AC977" i="3"/>
  <c r="AA977" i="3"/>
  <c r="AD977" i="3"/>
  <c r="T977" i="3" l="1"/>
  <c r="U976" i="3"/>
  <c r="Y975" i="3"/>
  <c r="E977" i="3" l="1"/>
  <c r="H977" i="3" s="1"/>
  <c r="K977" i="3" s="1"/>
  <c r="AE977" i="3" s="1"/>
  <c r="AG977" i="3"/>
  <c r="D977" i="3"/>
  <c r="G977" i="3" s="1"/>
  <c r="AH977" i="3"/>
  <c r="F977" i="3" l="1"/>
  <c r="I977" i="3"/>
  <c r="J977" i="3"/>
  <c r="M977" i="3"/>
  <c r="N977" i="3" s="1"/>
  <c r="V977" i="3"/>
  <c r="A978" i="3"/>
  <c r="B978" i="3" s="1"/>
  <c r="W977" i="3" l="1"/>
  <c r="L977" i="3"/>
  <c r="AC978" i="3"/>
  <c r="Z978" i="3"/>
  <c r="AA978" i="3"/>
  <c r="P978" i="3"/>
  <c r="Q978" i="3" s="1"/>
  <c r="R978" i="3" s="1"/>
  <c r="S978" i="3" s="1"/>
  <c r="T978" i="3" l="1"/>
  <c r="U977" i="3"/>
  <c r="Y976" i="3"/>
  <c r="D978" i="3" l="1"/>
  <c r="G978" i="3" s="1"/>
  <c r="E978" i="3"/>
  <c r="H978" i="3" s="1"/>
  <c r="K978" i="3" s="1"/>
  <c r="AE978" i="3" s="1"/>
  <c r="AH978" i="3"/>
  <c r="AG978" i="3"/>
  <c r="F978" i="3" l="1"/>
  <c r="I978" i="3"/>
  <c r="J978" i="3"/>
  <c r="AD978" i="3" s="1"/>
  <c r="M978" i="3"/>
  <c r="N978" i="3" s="1"/>
  <c r="V978" i="3"/>
  <c r="A979" i="3"/>
  <c r="B979" i="3" s="1"/>
  <c r="W978" i="3" l="1"/>
  <c r="L978" i="3"/>
  <c r="AC979" i="3"/>
  <c r="AA979" i="3"/>
  <c r="AD979" i="3"/>
  <c r="Z979" i="3"/>
  <c r="P979" i="3"/>
  <c r="Q979" i="3" s="1"/>
  <c r="R979" i="3" s="1"/>
  <c r="S979" i="3" s="1"/>
  <c r="T979" i="3" l="1"/>
  <c r="U978" i="3"/>
  <c r="Y977" i="3"/>
  <c r="D979" i="3" l="1"/>
  <c r="G979" i="3" s="1"/>
  <c r="AH979" i="3"/>
  <c r="E979" i="3"/>
  <c r="H979" i="3" s="1"/>
  <c r="K979" i="3" s="1"/>
  <c r="AE979" i="3" s="1"/>
  <c r="AG979" i="3"/>
  <c r="F979" i="3" l="1"/>
  <c r="V979" i="3"/>
  <c r="A980" i="3"/>
  <c r="B980" i="3" s="1"/>
  <c r="I979" i="3"/>
  <c r="J979" i="3"/>
  <c r="M979" i="3"/>
  <c r="N979" i="3" s="1"/>
  <c r="W979" i="3" l="1"/>
  <c r="L979" i="3"/>
  <c r="P980" i="3"/>
  <c r="Q980" i="3" s="1"/>
  <c r="R980" i="3" s="1"/>
  <c r="S980" i="3" s="1"/>
  <c r="AA980" i="3"/>
  <c r="AD980" i="3"/>
  <c r="AC980" i="3"/>
  <c r="Z980" i="3"/>
  <c r="U979" i="3" l="1"/>
  <c r="Y978" i="3"/>
  <c r="T980" i="3"/>
  <c r="AH980" i="3" s="1"/>
  <c r="D980" i="3" l="1"/>
  <c r="G980" i="3" s="1"/>
  <c r="E980" i="3"/>
  <c r="H980" i="3" s="1"/>
  <c r="K980" i="3" s="1"/>
  <c r="AE980" i="3" s="1"/>
  <c r="AG980" i="3"/>
  <c r="F980" i="3" l="1"/>
  <c r="I980" i="3"/>
  <c r="J980" i="3"/>
  <c r="M980" i="3"/>
  <c r="N980" i="3" s="1"/>
  <c r="V980" i="3"/>
  <c r="A981" i="3"/>
  <c r="B981" i="3" s="1"/>
  <c r="W980" i="3" l="1"/>
  <c r="L980" i="3"/>
  <c r="AD981" i="3"/>
  <c r="AA981" i="3"/>
  <c r="AC981" i="3"/>
  <c r="Z981" i="3"/>
  <c r="P981" i="3"/>
  <c r="Q981" i="3" s="1"/>
  <c r="R981" i="3" s="1"/>
  <c r="S981" i="3" s="1"/>
  <c r="U980" i="3" l="1"/>
  <c r="Y979" i="3"/>
  <c r="T981" i="3"/>
  <c r="AH981" i="3" s="1"/>
  <c r="D981" i="3" l="1"/>
  <c r="G981" i="3" s="1"/>
  <c r="AG981" i="3"/>
  <c r="E981" i="3"/>
  <c r="H981" i="3" s="1"/>
  <c r="F981" i="3" l="1"/>
  <c r="I981" i="3"/>
  <c r="J981" i="3"/>
  <c r="M981" i="3"/>
  <c r="N981" i="3" s="1"/>
  <c r="K981" i="3"/>
  <c r="AE981" i="3" s="1"/>
  <c r="V981" i="3" l="1"/>
  <c r="W981" i="3" s="1"/>
  <c r="A982" i="3"/>
  <c r="B982" i="3" s="1"/>
  <c r="L981" i="3"/>
  <c r="U981" i="3" l="1"/>
  <c r="Y980" i="3"/>
  <c r="P982" i="3"/>
  <c r="Q982" i="3" s="1"/>
  <c r="R982" i="3" s="1"/>
  <c r="S982" i="3" s="1"/>
  <c r="AD982" i="3"/>
  <c r="AC982" i="3"/>
  <c r="AA982" i="3"/>
  <c r="Z982" i="3"/>
  <c r="T982" i="3" l="1"/>
  <c r="E982" i="3" s="1"/>
  <c r="H982" i="3" s="1"/>
  <c r="AG982" i="3" l="1"/>
  <c r="AH982" i="3"/>
  <c r="D982" i="3"/>
  <c r="G982" i="3" s="1"/>
  <c r="K982" i="3"/>
  <c r="AE982" i="3" s="1"/>
  <c r="F982" i="3" l="1"/>
  <c r="I982" i="3"/>
  <c r="J982" i="3"/>
  <c r="M982" i="3"/>
  <c r="N982" i="3" s="1"/>
  <c r="V982" i="3"/>
  <c r="A983" i="3"/>
  <c r="B983" i="3" s="1"/>
  <c r="W982" i="3" l="1"/>
  <c r="L982" i="3"/>
  <c r="AD983" i="3"/>
  <c r="Z983" i="3"/>
  <c r="P983" i="3"/>
  <c r="Q983" i="3" s="1"/>
  <c r="R983" i="3" s="1"/>
  <c r="S983" i="3" s="1"/>
  <c r="AA983" i="3"/>
  <c r="AC983" i="3"/>
  <c r="U982" i="3" l="1"/>
  <c r="Y981" i="3"/>
  <c r="T983" i="3"/>
  <c r="AG983" i="3" s="1"/>
  <c r="E983" i="3" l="1"/>
  <c r="H983" i="3" s="1"/>
  <c r="K983" i="3" s="1"/>
  <c r="AE983" i="3" s="1"/>
  <c r="D983" i="3"/>
  <c r="AH983" i="3"/>
  <c r="F983" i="3" l="1"/>
  <c r="G983" i="3"/>
  <c r="M983" i="3" s="1"/>
  <c r="N983" i="3" s="1"/>
  <c r="V983" i="3"/>
  <c r="A984" i="3"/>
  <c r="B984" i="3" s="1"/>
  <c r="I983" i="3" l="1"/>
  <c r="W983" i="3" s="1"/>
  <c r="J983" i="3"/>
  <c r="L983" i="3" s="1"/>
  <c r="P984" i="3"/>
  <c r="Q984" i="3" s="1"/>
  <c r="R984" i="3" s="1"/>
  <c r="S984" i="3" s="1"/>
  <c r="AA984" i="3"/>
  <c r="Z984" i="3"/>
  <c r="AC984" i="3"/>
  <c r="U983" i="3" l="1"/>
  <c r="Y982" i="3"/>
  <c r="T984" i="3"/>
  <c r="E984" i="3" l="1"/>
  <c r="H984" i="3" s="1"/>
  <c r="K984" i="3" s="1"/>
  <c r="AE984" i="3" s="1"/>
  <c r="AG984" i="3"/>
  <c r="D984" i="3"/>
  <c r="AH984" i="3"/>
  <c r="F984" i="3" l="1"/>
  <c r="G984" i="3"/>
  <c r="V984" i="3"/>
  <c r="A985" i="3"/>
  <c r="B985" i="3" s="1"/>
  <c r="AA985" i="3" l="1"/>
  <c r="Z985" i="3"/>
  <c r="P985" i="3"/>
  <c r="Q985" i="3" s="1"/>
  <c r="R985" i="3" s="1"/>
  <c r="S985" i="3" s="1"/>
  <c r="AD985" i="3"/>
  <c r="AC985" i="3"/>
  <c r="I984" i="3"/>
  <c r="W984" i="3" s="1"/>
  <c r="J984" i="3"/>
  <c r="AD984" i="3" s="1"/>
  <c r="M984" i="3"/>
  <c r="N984" i="3" s="1"/>
  <c r="T985" i="3" l="1"/>
  <c r="L984" i="3"/>
  <c r="AG985" i="3" l="1"/>
  <c r="AH985" i="3"/>
  <c r="U984" i="3"/>
  <c r="D985" i="3" s="1"/>
  <c r="Y983" i="3"/>
  <c r="G985" i="3" l="1"/>
  <c r="E985" i="3"/>
  <c r="H985" i="3" s="1"/>
  <c r="I985" i="3" l="1"/>
  <c r="J985" i="3"/>
  <c r="M985" i="3"/>
  <c r="N985" i="3" s="1"/>
  <c r="F985" i="3"/>
  <c r="K985" i="3"/>
  <c r="AE985" i="3" s="1"/>
  <c r="L985" i="3" l="1"/>
  <c r="V985" i="3"/>
  <c r="W985" i="3" s="1"/>
  <c r="A986" i="3"/>
  <c r="B986" i="3" s="1"/>
  <c r="U985" i="3" l="1"/>
  <c r="Y984" i="3"/>
  <c r="AC986" i="3"/>
  <c r="P986" i="3"/>
  <c r="Q986" i="3" s="1"/>
  <c r="R986" i="3" s="1"/>
  <c r="S986" i="3" s="1"/>
  <c r="Z986" i="3"/>
  <c r="AD986" i="3"/>
  <c r="AA986" i="3"/>
  <c r="T986" i="3" l="1"/>
  <c r="E986" i="3" s="1"/>
  <c r="H986" i="3" s="1"/>
  <c r="AG986" i="3" l="1"/>
  <c r="K986" i="3"/>
  <c r="AE986" i="3" s="1"/>
  <c r="AH986" i="3"/>
  <c r="D986" i="3"/>
  <c r="F986" i="3" l="1"/>
  <c r="G986" i="3"/>
  <c r="V986" i="3"/>
  <c r="A987" i="3"/>
  <c r="B987" i="3" s="1"/>
  <c r="Z987" i="3" l="1"/>
  <c r="AC987" i="3"/>
  <c r="P987" i="3"/>
  <c r="Q987" i="3" s="1"/>
  <c r="R987" i="3" s="1"/>
  <c r="S987" i="3" s="1"/>
  <c r="AD987" i="3"/>
  <c r="AA987" i="3"/>
  <c r="I986" i="3"/>
  <c r="W986" i="3" s="1"/>
  <c r="J986" i="3"/>
  <c r="M986" i="3"/>
  <c r="N986" i="3" s="1"/>
  <c r="L986" i="3" l="1"/>
  <c r="T987" i="3"/>
  <c r="U986" i="3" l="1"/>
  <c r="E987" i="3" s="1"/>
  <c r="H987" i="3" s="1"/>
  <c r="AH987" i="3"/>
  <c r="AG987" i="3"/>
  <c r="Y985" i="3"/>
  <c r="K987" i="3" l="1"/>
  <c r="AE987" i="3" s="1"/>
  <c r="D987" i="3"/>
  <c r="V987" i="3" l="1"/>
  <c r="A988" i="3"/>
  <c r="B988" i="3" s="1"/>
  <c r="F987" i="3"/>
  <c r="G987" i="3"/>
  <c r="I987" i="3" l="1"/>
  <c r="W987" i="3" s="1"/>
  <c r="J987" i="3"/>
  <c r="M987" i="3"/>
  <c r="N987" i="3" s="1"/>
  <c r="AC988" i="3"/>
  <c r="Z988" i="3"/>
  <c r="AA988" i="3"/>
  <c r="P988" i="3"/>
  <c r="Q988" i="3" s="1"/>
  <c r="R988" i="3" s="1"/>
  <c r="S988" i="3" s="1"/>
  <c r="L987" i="3" l="1"/>
  <c r="T988" i="3"/>
  <c r="AH988" i="3" l="1"/>
  <c r="U987" i="3"/>
  <c r="E988" i="3" s="1"/>
  <c r="H988" i="3" s="1"/>
  <c r="AG988" i="3"/>
  <c r="Y986" i="3"/>
  <c r="D988" i="3" l="1"/>
  <c r="G988" i="3" s="1"/>
  <c r="K988" i="3"/>
  <c r="AE988" i="3" s="1"/>
  <c r="F988" i="3" l="1"/>
  <c r="I988" i="3"/>
  <c r="J988" i="3"/>
  <c r="AD988" i="3" s="1"/>
  <c r="M988" i="3"/>
  <c r="N988" i="3" s="1"/>
  <c r="V988" i="3"/>
  <c r="A989" i="3"/>
  <c r="B989" i="3" s="1"/>
  <c r="W988" i="3" l="1"/>
  <c r="L988" i="3"/>
  <c r="AC989" i="3"/>
  <c r="AD989" i="3"/>
  <c r="P989" i="3"/>
  <c r="Q989" i="3" s="1"/>
  <c r="R989" i="3" s="1"/>
  <c r="S989" i="3" s="1"/>
  <c r="Z989" i="3"/>
  <c r="AA989" i="3"/>
  <c r="T989" i="3" l="1"/>
  <c r="U988" i="3"/>
  <c r="Y987" i="3"/>
  <c r="D989" i="3" l="1"/>
  <c r="G989" i="3" s="1"/>
  <c r="AG989" i="3"/>
  <c r="E989" i="3"/>
  <c r="H989" i="3" s="1"/>
  <c r="AH989" i="3"/>
  <c r="F989" i="3" l="1"/>
  <c r="I989" i="3"/>
  <c r="J989" i="3"/>
  <c r="M989" i="3"/>
  <c r="N989" i="3" s="1"/>
  <c r="K989" i="3"/>
  <c r="AE989" i="3" s="1"/>
  <c r="L989" i="3" l="1"/>
  <c r="V989" i="3"/>
  <c r="W989" i="3" s="1"/>
  <c r="A990" i="3"/>
  <c r="B990" i="3" s="1"/>
  <c r="U989" i="3" l="1"/>
  <c r="Y988" i="3"/>
  <c r="AC990" i="3"/>
  <c r="AD990" i="3"/>
  <c r="AA990" i="3"/>
  <c r="Z990" i="3"/>
  <c r="P990" i="3"/>
  <c r="Q990" i="3" s="1"/>
  <c r="R990" i="3" s="1"/>
  <c r="S990" i="3" s="1"/>
  <c r="T990" i="3" l="1"/>
  <c r="E990" i="3" s="1"/>
  <c r="H990" i="3" s="1"/>
  <c r="AH990" i="3" l="1"/>
  <c r="D990" i="3"/>
  <c r="G990" i="3" s="1"/>
  <c r="AG990" i="3"/>
  <c r="K990" i="3"/>
  <c r="AE990" i="3" s="1"/>
  <c r="F990" i="3" l="1"/>
  <c r="V990" i="3"/>
  <c r="A991" i="3"/>
  <c r="B991" i="3" s="1"/>
  <c r="I990" i="3"/>
  <c r="J990" i="3"/>
  <c r="M990" i="3"/>
  <c r="N990" i="3" s="1"/>
  <c r="L990" i="3" l="1"/>
  <c r="W990" i="3"/>
  <c r="AA991" i="3"/>
  <c r="AD991" i="3"/>
  <c r="P991" i="3"/>
  <c r="Q991" i="3" s="1"/>
  <c r="R991" i="3" s="1"/>
  <c r="S991" i="3" s="1"/>
  <c r="Z991" i="3"/>
  <c r="AC991" i="3"/>
  <c r="U990" i="3" l="1"/>
  <c r="Y989" i="3"/>
  <c r="T991" i="3"/>
  <c r="D991" i="3" l="1"/>
  <c r="G991" i="3" s="1"/>
  <c r="E991" i="3"/>
  <c r="H991" i="3" s="1"/>
  <c r="K991" i="3" s="1"/>
  <c r="AE991" i="3" s="1"/>
  <c r="AG991" i="3"/>
  <c r="AH991" i="3"/>
  <c r="F991" i="3" l="1"/>
  <c r="V991" i="3"/>
  <c r="A992" i="3"/>
  <c r="B992" i="3" s="1"/>
  <c r="I991" i="3"/>
  <c r="J991" i="3"/>
  <c r="M991" i="3"/>
  <c r="N991" i="3" s="1"/>
  <c r="W991" i="3" l="1"/>
  <c r="L991" i="3"/>
  <c r="AC992" i="3"/>
  <c r="AD992" i="3"/>
  <c r="Z992" i="3"/>
  <c r="AA992" i="3"/>
  <c r="P992" i="3"/>
  <c r="Q992" i="3" s="1"/>
  <c r="R992" i="3" s="1"/>
  <c r="S992" i="3" s="1"/>
  <c r="U991" i="3" l="1"/>
  <c r="Y990" i="3"/>
  <c r="T992" i="3"/>
  <c r="AG992" i="3" s="1"/>
  <c r="D992" i="3" l="1"/>
  <c r="AH992" i="3"/>
  <c r="E992" i="3"/>
  <c r="H992" i="3" s="1"/>
  <c r="K992" i="3" s="1"/>
  <c r="AE992" i="3" s="1"/>
  <c r="F992" i="3" l="1"/>
  <c r="G992" i="3"/>
  <c r="M992" i="3" s="1"/>
  <c r="N992" i="3" s="1"/>
  <c r="V992" i="3"/>
  <c r="A993" i="3"/>
  <c r="B993" i="3" s="1"/>
  <c r="I992" i="3" l="1"/>
  <c r="W992" i="3" s="1"/>
  <c r="J992" i="3"/>
  <c r="L992" i="3" s="1"/>
  <c r="AD993" i="3"/>
  <c r="Z993" i="3"/>
  <c r="AA993" i="3"/>
  <c r="P993" i="3"/>
  <c r="Q993" i="3" s="1"/>
  <c r="R993" i="3" s="1"/>
  <c r="S993" i="3" s="1"/>
  <c r="AC993" i="3"/>
  <c r="U992" i="3" l="1"/>
  <c r="Y991" i="3"/>
  <c r="T993" i="3"/>
  <c r="AH993" i="3" s="1"/>
  <c r="D993" i="3" l="1"/>
  <c r="G993" i="3" s="1"/>
  <c r="E993" i="3"/>
  <c r="H993" i="3" s="1"/>
  <c r="K993" i="3" s="1"/>
  <c r="AE993" i="3" s="1"/>
  <c r="AG993" i="3"/>
  <c r="F993" i="3" l="1"/>
  <c r="V993" i="3"/>
  <c r="A994" i="3"/>
  <c r="B994" i="3" s="1"/>
  <c r="I993" i="3"/>
  <c r="J993" i="3"/>
  <c r="M993" i="3"/>
  <c r="N993" i="3" s="1"/>
  <c r="L993" i="3" l="1"/>
  <c r="W993" i="3"/>
  <c r="AA994" i="3"/>
  <c r="P994" i="3"/>
  <c r="Q994" i="3" s="1"/>
  <c r="R994" i="3" s="1"/>
  <c r="S994" i="3" s="1"/>
  <c r="Z994" i="3"/>
  <c r="AC994" i="3"/>
  <c r="U993" i="3" l="1"/>
  <c r="Y992" i="3"/>
  <c r="T994" i="3"/>
  <c r="AH994" i="3" s="1"/>
  <c r="E994" i="3" l="1"/>
  <c r="H994" i="3" s="1"/>
  <c r="K994" i="3" s="1"/>
  <c r="AE994" i="3" s="1"/>
  <c r="D994" i="3"/>
  <c r="AG994" i="3"/>
  <c r="F994" i="3" l="1"/>
  <c r="G994" i="3"/>
  <c r="J994" i="3" s="1"/>
  <c r="AD994" i="3" s="1"/>
  <c r="V994" i="3"/>
  <c r="A995" i="3"/>
  <c r="B995" i="3" s="1"/>
  <c r="M994" i="3" l="1"/>
  <c r="N994" i="3" s="1"/>
  <c r="I994" i="3"/>
  <c r="W994" i="3" s="1"/>
  <c r="L994" i="3"/>
  <c r="AA995" i="3"/>
  <c r="AD995" i="3"/>
  <c r="P995" i="3"/>
  <c r="Q995" i="3" s="1"/>
  <c r="R995" i="3" s="1"/>
  <c r="S995" i="3" s="1"/>
  <c r="AC995" i="3"/>
  <c r="Z995" i="3"/>
  <c r="T995" i="3" l="1"/>
  <c r="U994" i="3"/>
  <c r="Y993" i="3"/>
  <c r="D995" i="3" l="1"/>
  <c r="G995" i="3" s="1"/>
  <c r="E995" i="3"/>
  <c r="H995" i="3" s="1"/>
  <c r="K995" i="3" s="1"/>
  <c r="AE995" i="3" s="1"/>
  <c r="AH995" i="3"/>
  <c r="AG995" i="3"/>
  <c r="F995" i="3" l="1"/>
  <c r="I995" i="3"/>
  <c r="J995" i="3"/>
  <c r="M995" i="3"/>
  <c r="N995" i="3" s="1"/>
  <c r="V995" i="3"/>
  <c r="A996" i="3"/>
  <c r="B996" i="3" s="1"/>
  <c r="W995" i="3" l="1"/>
  <c r="L995" i="3"/>
  <c r="Z996" i="3"/>
  <c r="AD996" i="3"/>
  <c r="P996" i="3"/>
  <c r="Q996" i="3" s="1"/>
  <c r="R996" i="3" s="1"/>
  <c r="S996" i="3" s="1"/>
  <c r="AA996" i="3"/>
  <c r="AC996" i="3"/>
  <c r="U995" i="3" l="1"/>
  <c r="Y994" i="3"/>
  <c r="T996" i="3"/>
  <c r="D996" i="3" l="1"/>
  <c r="G996" i="3" s="1"/>
  <c r="AG996" i="3"/>
  <c r="E996" i="3"/>
  <c r="H996" i="3" s="1"/>
  <c r="K996" i="3" s="1"/>
  <c r="AE996" i="3" s="1"/>
  <c r="AH996" i="3"/>
  <c r="F996" i="3" l="1"/>
  <c r="I996" i="3"/>
  <c r="J996" i="3"/>
  <c r="M996" i="3"/>
  <c r="N996" i="3" s="1"/>
  <c r="V996" i="3"/>
  <c r="A997" i="3"/>
  <c r="B997" i="3" s="1"/>
  <c r="AD997" i="3" l="1"/>
  <c r="P997" i="3"/>
  <c r="Q997" i="3" s="1"/>
  <c r="R997" i="3" s="1"/>
  <c r="S997" i="3" s="1"/>
  <c r="Z997" i="3"/>
  <c r="AA997" i="3"/>
  <c r="AC997" i="3"/>
  <c r="L996" i="3"/>
  <c r="W996" i="3"/>
  <c r="U996" i="3" l="1"/>
  <c r="Y995" i="3"/>
  <c r="T997" i="3"/>
  <c r="AH997" i="3" s="1"/>
  <c r="AG997" i="3" l="1"/>
  <c r="D997" i="3"/>
  <c r="E997" i="3"/>
  <c r="H997" i="3" s="1"/>
  <c r="K997" i="3" s="1"/>
  <c r="AE997" i="3" s="1"/>
  <c r="F997" i="3" l="1"/>
  <c r="G997" i="3"/>
  <c r="I997" i="3" s="1"/>
  <c r="V997" i="3"/>
  <c r="A998" i="3"/>
  <c r="B998" i="3" s="1"/>
  <c r="J997" i="3" l="1"/>
  <c r="L997" i="3" s="1"/>
  <c r="M997" i="3"/>
  <c r="N997" i="3" s="1"/>
  <c r="W997" i="3"/>
  <c r="Z998" i="3"/>
  <c r="P998" i="3"/>
  <c r="Q998" i="3" s="1"/>
  <c r="R998" i="3" s="1"/>
  <c r="S998" i="3" s="1"/>
  <c r="AC998" i="3"/>
  <c r="AA998" i="3"/>
  <c r="T998" i="3" l="1"/>
  <c r="AG998" i="3" s="1"/>
  <c r="U997" i="3"/>
  <c r="Y996" i="3"/>
  <c r="E998" i="3" l="1"/>
  <c r="H998" i="3" s="1"/>
  <c r="K998" i="3" s="1"/>
  <c r="AE998" i="3" s="1"/>
  <c r="AH998" i="3"/>
  <c r="D998" i="3"/>
  <c r="V998" i="3" l="1"/>
  <c r="A999" i="3"/>
  <c r="B999" i="3" s="1"/>
  <c r="F998" i="3"/>
  <c r="G998" i="3"/>
  <c r="I998" i="3" l="1"/>
  <c r="W998" i="3" s="1"/>
  <c r="J998" i="3"/>
  <c r="AD998" i="3" s="1"/>
  <c r="M998" i="3"/>
  <c r="N998" i="3" s="1"/>
  <c r="AD999" i="3"/>
  <c r="Z999" i="3"/>
  <c r="AC999" i="3"/>
  <c r="AA999" i="3"/>
  <c r="P999" i="3"/>
  <c r="Q999" i="3" s="1"/>
  <c r="R999" i="3" s="1"/>
  <c r="S999" i="3" s="1"/>
  <c r="T999" i="3" l="1"/>
  <c r="L998" i="3"/>
  <c r="AG999" i="3" l="1"/>
  <c r="U998" i="3"/>
  <c r="D999" i="3" s="1"/>
  <c r="AH999" i="3"/>
  <c r="Y997" i="3"/>
  <c r="E999" i="3" l="1"/>
  <c r="H999" i="3" s="1"/>
  <c r="K999" i="3" s="1"/>
  <c r="AE999" i="3" s="1"/>
  <c r="G999" i="3"/>
  <c r="F999" i="3" l="1"/>
  <c r="I999" i="3"/>
  <c r="J999" i="3"/>
  <c r="M999" i="3"/>
  <c r="N999" i="3" s="1"/>
  <c r="V999" i="3"/>
  <c r="A1000" i="3"/>
  <c r="B1000" i="3" s="1"/>
  <c r="W999" i="3" l="1"/>
  <c r="L999" i="3"/>
  <c r="AC1000" i="3"/>
  <c r="AD1000" i="3"/>
  <c r="P1000" i="3"/>
  <c r="Q1000" i="3" s="1"/>
  <c r="R1000" i="3" s="1"/>
  <c r="S1000" i="3" s="1"/>
  <c r="Z1000" i="3"/>
  <c r="AA1000" i="3"/>
  <c r="U999" i="3" l="1"/>
  <c r="Y998" i="3"/>
  <c r="T1000" i="3"/>
  <c r="AG1000" i="3" s="1"/>
  <c r="D1000" i="3" l="1"/>
  <c r="G1000" i="3" s="1"/>
  <c r="AH1000" i="3"/>
  <c r="E1000" i="3"/>
  <c r="H1000" i="3" s="1"/>
  <c r="K1000" i="3" s="1"/>
  <c r="AE1000" i="3" s="1"/>
  <c r="F1000" i="3" l="1"/>
  <c r="I1000" i="3"/>
  <c r="J1000" i="3"/>
  <c r="M1000" i="3"/>
  <c r="N1000" i="3" s="1"/>
  <c r="V1000" i="3"/>
  <c r="A1001" i="3"/>
  <c r="B1001" i="3" s="1"/>
  <c r="W1000" i="3" l="1"/>
  <c r="L1000" i="3"/>
  <c r="P1001" i="3"/>
  <c r="Q1001" i="3" s="1"/>
  <c r="R1001" i="3" s="1"/>
  <c r="S1001" i="3" s="1"/>
  <c r="Z1001" i="3"/>
  <c r="AC1001" i="3"/>
  <c r="AA1001" i="3"/>
  <c r="AD1001" i="3"/>
  <c r="U1000" i="3" l="1"/>
  <c r="Y999" i="3"/>
  <c r="T1001" i="3"/>
  <c r="D1001" i="3" l="1"/>
  <c r="G1001" i="3" s="1"/>
  <c r="E1001" i="3"/>
  <c r="H1001" i="3" s="1"/>
  <c r="AG1001" i="3"/>
  <c r="AH1001" i="3"/>
  <c r="F1001" i="3" l="1"/>
  <c r="I1001" i="3"/>
  <c r="J1001" i="3"/>
  <c r="M1001" i="3"/>
  <c r="N1001" i="3" s="1"/>
  <c r="K1001" i="3"/>
  <c r="AE1001" i="3" s="1"/>
  <c r="V1001" i="3" l="1"/>
  <c r="W1001" i="3" s="1"/>
  <c r="A1002" i="3"/>
  <c r="B1002" i="3" s="1"/>
  <c r="L1001" i="3"/>
  <c r="U1001" i="3" l="1"/>
  <c r="Y1000" i="3"/>
  <c r="AD1002" i="3"/>
  <c r="AA1002" i="3"/>
  <c r="Z1002" i="3"/>
  <c r="AC1002" i="3"/>
  <c r="P1002" i="3"/>
  <c r="Q1002" i="3" s="1"/>
  <c r="R1002" i="3" s="1"/>
  <c r="S1002" i="3" s="1"/>
  <c r="T1002" i="3" l="1"/>
  <c r="AG1002" i="3" s="1"/>
  <c r="AH1002" i="3" l="1"/>
  <c r="D1002" i="3"/>
  <c r="G1002" i="3" s="1"/>
  <c r="E1002" i="3"/>
  <c r="H1002" i="3" s="1"/>
  <c r="K1002" i="3" s="1"/>
  <c r="AE1002" i="3" s="1"/>
  <c r="F1002" i="3" l="1"/>
  <c r="I1002" i="3"/>
  <c r="J1002" i="3"/>
  <c r="M1002" i="3"/>
  <c r="N1002" i="3" s="1"/>
  <c r="V1002" i="3"/>
  <c r="A1003" i="3"/>
  <c r="B1003" i="3" s="1"/>
  <c r="W1002" i="3" l="1"/>
  <c r="L1002" i="3"/>
  <c r="AC1003" i="3"/>
  <c r="P1003" i="3"/>
  <c r="Q1003" i="3" s="1"/>
  <c r="R1003" i="3" s="1"/>
  <c r="S1003" i="3" s="1"/>
  <c r="AA1003" i="3"/>
  <c r="Z1003" i="3"/>
  <c r="AD1003" i="3"/>
  <c r="T1003" i="3" l="1"/>
  <c r="AH1003" i="3" s="1"/>
  <c r="U1002" i="3"/>
  <c r="Y1001" i="3"/>
  <c r="D1003" i="3" l="1"/>
  <c r="G1003" i="3" s="1"/>
  <c r="E1003" i="3"/>
  <c r="H1003" i="3" s="1"/>
  <c r="K1003" i="3" s="1"/>
  <c r="AE1003" i="3" s="1"/>
  <c r="AG1003" i="3"/>
  <c r="F1003" i="3" l="1"/>
  <c r="I1003" i="3"/>
  <c r="J1003" i="3"/>
  <c r="M1003" i="3"/>
  <c r="N1003" i="3" s="1"/>
  <c r="V1003" i="3"/>
  <c r="A1004" i="3"/>
  <c r="B1004" i="3" s="1"/>
  <c r="W1003" i="3" l="1"/>
  <c r="L1003" i="3"/>
  <c r="P1004" i="3"/>
  <c r="Q1004" i="3" s="1"/>
  <c r="R1004" i="3" s="1"/>
  <c r="S1004" i="3" s="1"/>
  <c r="T1004" i="3" s="1"/>
  <c r="AA1004" i="3"/>
  <c r="Z1004" i="3"/>
  <c r="AC1004" i="3"/>
  <c r="AG1004" i="3" l="1"/>
  <c r="AH1004" i="3"/>
  <c r="U1003" i="3"/>
  <c r="D1004" i="3" s="1"/>
  <c r="Y1002" i="3"/>
  <c r="J50" i="1"/>
  <c r="L50" i="1"/>
  <c r="I50" i="1"/>
  <c r="J26" i="1"/>
  <c r="K50" i="1"/>
  <c r="M50" i="1"/>
  <c r="K26" i="1"/>
  <c r="I26" i="1"/>
  <c r="K28" i="1"/>
  <c r="I48" i="1"/>
  <c r="L48" i="1"/>
  <c r="M48" i="1"/>
  <c r="K48" i="1"/>
  <c r="J48" i="1"/>
  <c r="I28" i="1"/>
  <c r="J28" i="1"/>
  <c r="E1004" i="3" l="1"/>
  <c r="H1004" i="3" s="1"/>
  <c r="K1004" i="3" s="1"/>
  <c r="AE1004" i="3" s="1"/>
  <c r="C125" i="1"/>
  <c r="C158" i="1"/>
  <c r="C33" i="1"/>
  <c r="C129" i="1"/>
  <c r="C124" i="1"/>
  <c r="C127" i="1"/>
  <c r="C35" i="1"/>
  <c r="J49" i="1" s="1"/>
  <c r="C132" i="1"/>
  <c r="C133" i="1" s="1"/>
  <c r="M26" i="1"/>
  <c r="I72" i="7"/>
  <c r="I73" i="7" s="1"/>
  <c r="I70" i="7"/>
  <c r="G1004" i="3"/>
  <c r="B129" i="1"/>
  <c r="B124" i="1"/>
  <c r="B128" i="1"/>
  <c r="D158" i="1"/>
  <c r="B125" i="1"/>
  <c r="B127" i="1"/>
  <c r="B130" i="1"/>
  <c r="B126" i="1"/>
  <c r="D33" i="1"/>
  <c r="D35" i="1"/>
  <c r="J51" i="1" s="1"/>
  <c r="C149" i="1"/>
  <c r="C150" i="1" s="1"/>
  <c r="C141" i="1"/>
  <c r="C144" i="1"/>
  <c r="C146" i="1"/>
  <c r="C142" i="1"/>
  <c r="B141" i="1"/>
  <c r="B144" i="1"/>
  <c r="B143" i="1"/>
  <c r="B147" i="1"/>
  <c r="B145" i="1"/>
  <c r="B142" i="1"/>
  <c r="B146" i="1"/>
  <c r="M28" i="1"/>
  <c r="H72" i="7"/>
  <c r="H73" i="7" s="1"/>
  <c r="H70" i="7"/>
  <c r="F1004" i="3" l="1"/>
  <c r="L25" i="1" s="1"/>
  <c r="H51" i="1"/>
  <c r="D34" i="1"/>
  <c r="L44" i="1"/>
  <c r="I1004" i="3"/>
  <c r="J1004" i="3"/>
  <c r="M1004" i="3"/>
  <c r="N1004" i="3" s="1"/>
  <c r="E31" i="7"/>
  <c r="H49" i="1"/>
  <c r="C34" i="1"/>
  <c r="V1004" i="3"/>
  <c r="L1004" i="3" l="1"/>
  <c r="Y1004" i="3" s="1"/>
  <c r="AD1004" i="3"/>
  <c r="W1004" i="3"/>
  <c r="B136" i="1"/>
  <c r="B138" i="1"/>
  <c r="B134" i="1"/>
  <c r="B133" i="1" s="1"/>
  <c r="F137" i="1"/>
  <c r="F138" i="1"/>
  <c r="C136" i="1"/>
  <c r="C138" i="1"/>
  <c r="K25" i="1"/>
  <c r="K44" i="1"/>
  <c r="B151" i="1"/>
  <c r="B150" i="1" s="1"/>
  <c r="B155" i="1"/>
  <c r="B153" i="1"/>
  <c r="H117" i="7"/>
  <c r="E62" i="7"/>
  <c r="F62" i="7" s="1"/>
  <c r="E120" i="7"/>
  <c r="F120" i="7" s="1"/>
  <c r="E119" i="7"/>
  <c r="F119" i="7" s="1"/>
  <c r="E133" i="7"/>
  <c r="E63" i="7"/>
  <c r="F63" i="7" s="1"/>
  <c r="H59" i="7"/>
  <c r="L31" i="7"/>
  <c r="E65" i="7"/>
  <c r="F65" i="7" s="1"/>
  <c r="Y1003" i="3" l="1"/>
  <c r="M43" i="1" s="1"/>
  <c r="U1004" i="3"/>
  <c r="J45" i="1"/>
  <c r="I43" i="1"/>
  <c r="K43" i="1"/>
  <c r="H27" i="1"/>
  <c r="J31" i="7" s="1"/>
  <c r="L45" i="1"/>
  <c r="M45" i="1"/>
  <c r="K45" i="1"/>
  <c r="H45" i="1"/>
  <c r="I46" i="1"/>
  <c r="H46" i="1"/>
  <c r="J27" i="1"/>
  <c r="D164" i="1" s="1"/>
  <c r="M46" i="1"/>
  <c r="K27" i="1"/>
  <c r="K31" i="7" s="1"/>
  <c r="K24" i="1"/>
  <c r="S26" i="6" s="1"/>
  <c r="L43" i="1"/>
  <c r="L46" i="1"/>
  <c r="I27" i="1"/>
  <c r="B164" i="1" s="1"/>
  <c r="J43" i="1"/>
  <c r="I45" i="1"/>
  <c r="J46" i="1"/>
  <c r="H29" i="1"/>
  <c r="F155" i="1" s="1"/>
  <c r="M31" i="7"/>
  <c r="E121" i="7"/>
  <c r="F121" i="7" s="1"/>
  <c r="H116" i="7"/>
  <c r="H58" i="7"/>
  <c r="E64" i="7"/>
  <c r="F64" i="7" s="1"/>
  <c r="H55" i="7" l="1"/>
  <c r="H112" i="7"/>
  <c r="H53" i="7"/>
  <c r="P32" i="1"/>
  <c r="P33" i="1"/>
  <c r="I67" i="7"/>
  <c r="H43" i="1"/>
  <c r="K46" i="1"/>
  <c r="H47" i="1"/>
  <c r="M47" i="1"/>
  <c r="L47" i="1"/>
  <c r="K47" i="1"/>
  <c r="K29" i="1" s="1"/>
  <c r="M29" i="1" s="1"/>
  <c r="J47" i="1"/>
  <c r="J29" i="1"/>
  <c r="P31" i="1"/>
  <c r="F197" i="1"/>
  <c r="F194" i="1"/>
  <c r="F175" i="1"/>
  <c r="D189" i="1"/>
  <c r="F165" i="1"/>
  <c r="F167" i="1"/>
  <c r="D169" i="1"/>
  <c r="D195" i="1"/>
  <c r="D197" i="1"/>
  <c r="D199" i="1"/>
  <c r="D176" i="1"/>
  <c r="D171" i="1"/>
  <c r="D200" i="1"/>
  <c r="D162" i="1"/>
  <c r="D188" i="1"/>
  <c r="F198" i="1"/>
  <c r="D168" i="1"/>
  <c r="D194" i="1"/>
  <c r="F187" i="1"/>
  <c r="F166" i="1"/>
  <c r="F174" i="1"/>
  <c r="F188" i="1"/>
  <c r="F172" i="1"/>
  <c r="F173" i="1"/>
  <c r="D167" i="1"/>
  <c r="F22" i="1"/>
  <c r="D180" i="1"/>
  <c r="F201" i="1"/>
  <c r="D163" i="1"/>
  <c r="F200" i="1"/>
  <c r="D165" i="1"/>
  <c r="D173" i="1"/>
  <c r="D184" i="1"/>
  <c r="F168" i="1"/>
  <c r="F169" i="1"/>
  <c r="D193" i="1"/>
  <c r="F186" i="1"/>
  <c r="F170" i="1"/>
  <c r="H44" i="7"/>
  <c r="D174" i="1"/>
  <c r="D172" i="1"/>
  <c r="F176" i="1"/>
  <c r="D182" i="1"/>
  <c r="D192" i="1"/>
  <c r="D186" i="1"/>
  <c r="F164" i="1"/>
  <c r="F199" i="1"/>
  <c r="D196" i="1"/>
  <c r="F183" i="1"/>
  <c r="D191" i="1"/>
  <c r="F189" i="1"/>
  <c r="F163" i="1"/>
  <c r="F177" i="1"/>
  <c r="D166" i="1"/>
  <c r="D187" i="1"/>
  <c r="D198" i="1"/>
  <c r="F195" i="1"/>
  <c r="H11" i="7"/>
  <c r="F185" i="1"/>
  <c r="D183" i="1"/>
  <c r="F190" i="1"/>
  <c r="F184" i="1"/>
  <c r="F191" i="1"/>
  <c r="F182" i="1"/>
  <c r="D181" i="1"/>
  <c r="D185" i="1"/>
  <c r="F196" i="1"/>
  <c r="D177" i="1"/>
  <c r="F193" i="1"/>
  <c r="F171" i="1"/>
  <c r="D190" i="1"/>
  <c r="F192" i="1"/>
  <c r="D175" i="1"/>
  <c r="F178" i="1"/>
  <c r="F181" i="1"/>
  <c r="D170" i="1"/>
  <c r="B172" i="1"/>
  <c r="B182" i="1"/>
  <c r="B171" i="1"/>
  <c r="B187" i="1"/>
  <c r="B165" i="1"/>
  <c r="B176" i="1"/>
  <c r="B167" i="1"/>
  <c r="B175" i="1"/>
  <c r="B173" i="1"/>
  <c r="B185" i="1"/>
  <c r="H113" i="7"/>
  <c r="B181" i="1"/>
  <c r="B200" i="1"/>
  <c r="B189" i="1"/>
  <c r="B166" i="1"/>
  <c r="B186" i="1"/>
  <c r="B169" i="1"/>
  <c r="H114" i="7"/>
  <c r="B199" i="1"/>
  <c r="B198" i="1"/>
  <c r="B180" i="1"/>
  <c r="B192" i="1"/>
  <c r="C159" i="1"/>
  <c r="B193" i="1"/>
  <c r="E128" i="7"/>
  <c r="F128" i="7" s="1"/>
  <c r="B195" i="1"/>
  <c r="B174" i="1"/>
  <c r="B183" i="1"/>
  <c r="B191" i="1"/>
  <c r="B194" i="1"/>
  <c r="B177" i="1"/>
  <c r="B184" i="1"/>
  <c r="B196" i="1"/>
  <c r="F136" i="1"/>
  <c r="C137" i="1" s="1"/>
  <c r="B190" i="1"/>
  <c r="B163" i="1"/>
  <c r="B170" i="1"/>
  <c r="B197" i="1"/>
  <c r="H31" i="7"/>
  <c r="B162" i="1"/>
  <c r="B168" i="1"/>
  <c r="H54" i="7"/>
  <c r="B188" i="1"/>
  <c r="B159" i="1"/>
  <c r="H57" i="7"/>
  <c r="F154" i="1"/>
  <c r="B152" i="1" l="1"/>
  <c r="H115" i="7"/>
  <c r="S25" i="6"/>
  <c r="D31" i="7"/>
  <c r="D159" i="1"/>
  <c r="H19" i="7"/>
  <c r="C121" i="1"/>
  <c r="P30" i="1"/>
  <c r="B121" i="1"/>
  <c r="H56" i="7"/>
  <c r="E129" i="7"/>
  <c r="F129" i="7" s="1"/>
  <c r="B154" i="1"/>
  <c r="C135" i="1"/>
  <c r="C154" i="1"/>
  <c r="C152" i="1"/>
  <c r="B135" i="1"/>
  <c r="B137" i="1"/>
  <c r="C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M363040</author>
    <author>Léo Côme</author>
    <author>collectif</author>
  </authors>
  <commentList>
    <comment ref="M5" authorId="0" shapeId="0" xr:uid="{00000000-0006-0000-0000-000001000000}">
      <text>
        <r>
          <rPr>
            <sz val="8"/>
            <color indexed="8"/>
            <rFont val="Tahoma"/>
            <family val="2"/>
          </rPr>
          <t xml:space="preserve">Définir les propriétés du 1er changement de diamètre.
Laisser cette colonne vide si la fusée n'a pas de Jupe ou Rétreint.
</t>
        </r>
        <r>
          <rPr>
            <i/>
            <sz val="8"/>
            <color indexed="8"/>
            <rFont val="Tahoma"/>
            <family val="2"/>
          </rPr>
          <t>Set properties of the 1st diameter transition.
Leave this column blank if no skirt/shrink on the rocket.</t>
        </r>
      </text>
    </comment>
    <comment ref="O5" authorId="0" shapeId="0" xr:uid="{00000000-0006-0000-0000-000002000000}">
      <text>
        <r>
          <rPr>
            <sz val="8"/>
            <color indexed="8"/>
            <rFont val="Tahoma"/>
            <family val="2"/>
          </rPr>
          <t xml:space="preserve">Définir les propriétés du 2e changement de diamètre.
Laisser cette colonne vide si la fusée n'a pas de 2e Jupe ou Rétreint.
</t>
        </r>
        <r>
          <rPr>
            <i/>
            <sz val="8"/>
            <color indexed="8"/>
            <rFont val="Tahoma"/>
            <family val="2"/>
          </rPr>
          <t>Set properties of the 2nd diameter transition.
Leave this column blank if no 2nd skirt/shrink on the rocket.</t>
        </r>
      </text>
    </comment>
    <comment ref="L6" authorId="1" shapeId="0" xr:uid="{00000000-0006-0000-0000-000003000000}">
      <text>
        <r>
          <rPr>
            <b/>
            <sz val="8"/>
            <color indexed="8"/>
            <rFont val="Tahoma"/>
            <family val="2"/>
          </rPr>
          <t>Hauteur</t>
        </r>
        <r>
          <rPr>
            <sz val="8"/>
            <color indexed="8"/>
            <rFont val="Tahoma"/>
            <family val="2"/>
          </rPr>
          <t xml:space="preserve"> du changement de diamètre (cf. schéma sur fond bleu).
</t>
        </r>
        <r>
          <rPr>
            <i/>
            <sz val="8"/>
            <color indexed="8"/>
            <rFont val="Tahoma"/>
            <family val="2"/>
          </rPr>
          <t>Height of the tronconical transition (cf. blue schematic).</t>
        </r>
      </text>
    </comment>
    <comment ref="L7" authorId="1" shapeId="0" xr:uid="{00000000-0006-0000-0000-000004000000}">
      <text>
        <r>
          <rPr>
            <sz val="8"/>
            <color indexed="8"/>
            <rFont val="Tahoma"/>
            <family val="2"/>
          </rPr>
          <t xml:space="preserve">Diamètre de la partie située </t>
        </r>
        <r>
          <rPr>
            <b/>
            <sz val="8"/>
            <color indexed="8"/>
            <rFont val="Tahoma"/>
            <family val="2"/>
          </rPr>
          <t>au dessus</t>
        </r>
        <r>
          <rPr>
            <sz val="8"/>
            <color indexed="8"/>
            <rFont val="Tahoma"/>
            <family val="2"/>
          </rPr>
          <t xml:space="preserve"> du changement de diamètre.
</t>
        </r>
        <r>
          <rPr>
            <i/>
            <sz val="8"/>
            <color indexed="8"/>
            <rFont val="Tahoma"/>
            <family val="2"/>
          </rPr>
          <t>Upper Diameter (cf. blue schematic).</t>
        </r>
      </text>
    </comment>
    <comment ref="L8" authorId="1" shapeId="0" xr:uid="{00000000-0006-0000-0000-000005000000}">
      <text>
        <r>
          <rPr>
            <sz val="8"/>
            <color indexed="8"/>
            <rFont val="Tahoma"/>
            <family val="2"/>
          </rPr>
          <t xml:space="preserve">Diamètre de la partie située </t>
        </r>
        <r>
          <rPr>
            <b/>
            <sz val="8"/>
            <color indexed="8"/>
            <rFont val="Tahoma"/>
            <family val="2"/>
          </rPr>
          <t>en dessous</t>
        </r>
        <r>
          <rPr>
            <sz val="8"/>
            <color indexed="8"/>
            <rFont val="Tahoma"/>
            <family val="2"/>
          </rPr>
          <t xml:space="preserve"> du changement de diamètre.
</t>
        </r>
        <r>
          <rPr>
            <i/>
            <sz val="8"/>
            <color indexed="8"/>
            <rFont val="Tahoma"/>
            <family val="2"/>
          </rPr>
          <t>Lower Diameter (cf. blue schematic).</t>
        </r>
      </text>
    </comment>
    <comment ref="L9" authorId="0" shapeId="0" xr:uid="{00000000-0006-0000-0000-000006000000}">
      <text>
        <r>
          <rPr>
            <sz val="8"/>
            <color indexed="8"/>
            <rFont val="Tahoma"/>
            <family val="2"/>
          </rPr>
          <t xml:space="preserve">Distance entre la pointe de l'ogive et le haut du changement de diamètre.
</t>
        </r>
        <r>
          <rPr>
            <i/>
            <sz val="8"/>
            <color indexed="8"/>
            <rFont val="Tahoma"/>
            <family val="2"/>
          </rPr>
          <t>Distance betwenn the tip of the nose cone and the top of the skirt/shrink.</t>
        </r>
      </text>
    </comment>
    <comment ref="S12" authorId="0" shapeId="0" xr:uid="{00000000-0006-0000-0000-000008000000}">
      <text>
        <r>
          <rPr>
            <sz val="8"/>
            <color indexed="8"/>
            <rFont val="Tahoma"/>
            <family val="2"/>
          </rPr>
          <t xml:space="preserve">Distance entre la pointe de l'ogive et le </t>
        </r>
        <r>
          <rPr>
            <b/>
            <sz val="8"/>
            <color indexed="8"/>
            <rFont val="Tahoma"/>
            <family val="2"/>
          </rPr>
          <t>haut</t>
        </r>
        <r>
          <rPr>
            <sz val="8"/>
            <color indexed="8"/>
            <rFont val="Tahoma"/>
            <family val="2"/>
          </rPr>
          <t xml:space="preserve"> du propulseur (hors ergot).
</t>
        </r>
        <r>
          <rPr>
            <i/>
            <sz val="8"/>
            <color indexed="8"/>
            <rFont val="Tahoma"/>
            <family val="2"/>
          </rPr>
          <t xml:space="preserve">Distance between the tip of the nose cone and the </t>
        </r>
        <r>
          <rPr>
            <b/>
            <i/>
            <sz val="8"/>
            <color indexed="8"/>
            <rFont val="Tahoma"/>
            <family val="2"/>
          </rPr>
          <t xml:space="preserve">top </t>
        </r>
        <r>
          <rPr>
            <i/>
            <sz val="8"/>
            <color indexed="8"/>
            <rFont val="Tahoma"/>
            <family val="2"/>
          </rPr>
          <t>of the motor.</t>
        </r>
      </text>
    </comment>
    <comment ref="B13" authorId="0" shapeId="0" xr:uid="{00000000-0006-0000-0000-000007000000}">
      <text>
        <r>
          <rPr>
            <sz val="8"/>
            <color indexed="8"/>
            <rFont val="Tahoma"/>
            <family val="2"/>
          </rPr>
          <t xml:space="preserve">Position du </t>
        </r>
        <r>
          <rPr>
            <b/>
            <sz val="8"/>
            <color indexed="8"/>
            <rFont val="Tahoma"/>
            <family val="2"/>
          </rPr>
          <t>Centre de Masse</t>
        </r>
        <r>
          <rPr>
            <sz val="8"/>
            <color indexed="8"/>
            <rFont val="Tahoma"/>
            <family val="2"/>
          </rPr>
          <t xml:space="preserve"> (CdG) par rapport à la pointe de l'ogive,
à mesurer ou estimer sur votre fusée.
</t>
        </r>
        <r>
          <rPr>
            <i/>
            <sz val="8"/>
            <color indexed="8"/>
            <rFont val="Tahoma"/>
            <family val="2"/>
          </rPr>
          <t>Position of Center of Mass (CoG) from the top of the nose cone.</t>
        </r>
      </text>
    </comment>
    <comment ref="L13" authorId="1" shapeId="0" xr:uid="{00000000-0006-0000-0000-00000A000000}">
      <text>
        <r>
          <rPr>
            <sz val="8"/>
            <color indexed="8"/>
            <rFont val="Tahoma"/>
            <family val="2"/>
          </rPr>
          <t xml:space="preserve">Centre de Masse du propulseur par rapport au haut du propulseur.
</t>
        </r>
        <r>
          <rPr>
            <i/>
            <sz val="8"/>
            <color indexed="8"/>
            <rFont val="Tahoma"/>
            <family val="2"/>
          </rPr>
          <t>Motor Center of Mass, mesured from top of motor.</t>
        </r>
      </text>
    </comment>
    <comment ref="B14" authorId="0" shapeId="0" xr:uid="{00000000-0006-0000-0000-000009000000}">
      <text>
        <r>
          <rPr>
            <sz val="8"/>
            <color indexed="8"/>
            <rFont val="Tahoma"/>
            <family val="2"/>
          </rPr>
          <t xml:space="preserve">Longueur totale du fuselage avec l'ogive,
hors propu hors antenne hors ailerons.
</t>
        </r>
        <r>
          <rPr>
            <i/>
            <sz val="8"/>
            <color indexed="8"/>
            <rFont val="Tahoma"/>
            <family val="2"/>
          </rPr>
          <t>Total length of the body including nose cone.</t>
        </r>
      </text>
    </comment>
    <comment ref="S14" authorId="0" shapeId="0" xr:uid="{00000000-0006-0000-0000-00000C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B15" authorId="0" shapeId="0" xr:uid="{00000000-0006-0000-0000-00000B000000}">
      <text>
        <r>
          <rPr>
            <sz val="8"/>
            <color indexed="8"/>
            <rFont val="Tahoma"/>
            <family val="2"/>
          </rPr>
          <t xml:space="preserve">Diamètre de référence, utilisé pour calculer : Cnα, Finesse, Marge Statique.
Par défaut D_réf = D_ogive ; on peux écraser avec le diamètre "principal".
</t>
        </r>
        <r>
          <rPr>
            <i/>
            <sz val="8"/>
            <color indexed="8"/>
            <rFont val="Tahoma"/>
            <family val="2"/>
          </rPr>
          <t>Reference Diameter, used to compute: Cnα, Finesse, Static Margin.
By default D_ref = D_ogive ; one can overwrtie with the "main" diameter.</t>
        </r>
      </text>
    </comment>
    <comment ref="L15" authorId="1" shapeId="0" xr:uid="{00000000-0006-0000-0000-00000D000000}">
      <text>
        <r>
          <rPr>
            <sz val="8"/>
            <color indexed="8"/>
            <rFont val="Tahoma"/>
            <family val="2"/>
          </rPr>
          <t xml:space="preserve">Les positions des </t>
        </r>
        <r>
          <rPr>
            <sz val="8"/>
            <color indexed="12"/>
            <rFont val="Tahoma"/>
            <family val="2"/>
          </rPr>
          <t>Centres de Masse</t>
        </r>
        <r>
          <rPr>
            <sz val="8"/>
            <color indexed="8"/>
            <rFont val="Tahoma"/>
            <family val="2"/>
          </rPr>
          <t xml:space="preserve"> de la fusée avec propulseur plein et vide
sont représentées sur le schéma de la fusée par un </t>
        </r>
        <r>
          <rPr>
            <sz val="8"/>
            <color indexed="12"/>
            <rFont val="Tahoma"/>
            <family val="2"/>
          </rPr>
          <t>segment vertical bleu</t>
        </r>
        <r>
          <rPr>
            <sz val="8"/>
            <color indexed="8"/>
            <rFont val="Tahoma"/>
            <family val="2"/>
          </rPr>
          <t xml:space="preserve">.
</t>
        </r>
        <r>
          <rPr>
            <i/>
            <sz val="8"/>
            <color indexed="8"/>
            <rFont val="Tahoma"/>
            <family val="2"/>
          </rPr>
          <t xml:space="preserve">Rocket Center of Mass are shown whith a </t>
        </r>
        <r>
          <rPr>
            <i/>
            <sz val="8"/>
            <color indexed="12"/>
            <rFont val="Tahoma"/>
            <family val="2"/>
          </rPr>
          <t>blue segment</t>
        </r>
        <r>
          <rPr>
            <i/>
            <sz val="8"/>
            <color indexed="8"/>
            <rFont val="Tahoma"/>
            <family val="2"/>
          </rPr>
          <t xml:space="preserve"> in Rocket schematic.</t>
        </r>
      </text>
    </comment>
    <comment ref="S17" authorId="0" shapeId="0" xr:uid="{00000000-0006-0000-0000-00000E000000}">
      <text>
        <r>
          <rPr>
            <sz val="8"/>
            <color indexed="8"/>
            <rFont val="Tahoma"/>
            <family val="2"/>
          </rPr>
          <t xml:space="preserve">Distance entre la pointe de l'ogive et le point </t>
        </r>
        <r>
          <rPr>
            <b/>
            <sz val="8"/>
            <color indexed="8"/>
            <rFont val="Tahoma"/>
            <family val="2"/>
          </rPr>
          <t>supérieur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upper</t>
        </r>
        <r>
          <rPr>
            <i/>
            <sz val="8"/>
            <color indexed="8"/>
            <rFont val="Tahoma"/>
            <family val="2"/>
          </rPr>
          <t xml:space="preserve"> point of fins attachment on the rocket.</t>
        </r>
      </text>
    </comment>
    <comment ref="S18" authorId="1" shapeId="0" xr:uid="{00000000-0006-0000-0000-000010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B19" authorId="0" shapeId="0" xr:uid="{00000000-0006-0000-0000-00000F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S19" authorId="0" shapeId="0" xr:uid="{00000000-0006-0000-0000-000011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24" authorId="0" shapeId="0" xr:uid="{00000000-0006-0000-0000-000012000000}">
      <text>
        <r>
          <rPr>
            <sz val="8"/>
            <color indexed="8"/>
            <rFont val="Tahoma"/>
            <family val="2"/>
          </rPr>
          <t xml:space="preserve">Diamètre à la base de l'ogive.
</t>
        </r>
        <r>
          <rPr>
            <i/>
            <sz val="8"/>
            <color indexed="8"/>
            <rFont val="Tahoma"/>
            <family val="2"/>
          </rPr>
          <t>Diameter at the basement of the nose cone.</t>
        </r>
      </text>
    </comment>
    <comment ref="E25" authorId="1" shapeId="0" xr:uid="{00000000-0006-0000-0000-000013000000}">
      <text>
        <r>
          <rPr>
            <sz val="8"/>
            <color indexed="8"/>
            <rFont val="Tahoma"/>
            <family val="2"/>
          </rPr>
          <t xml:space="preserve">Les parties masquées des ailerons du bas sont représentées 
sur le schéma de la fusée par des </t>
        </r>
        <r>
          <rPr>
            <sz val="8"/>
            <color indexed="10"/>
            <rFont val="Tahoma"/>
            <family val="2"/>
          </rPr>
          <t>zones en rouge</t>
        </r>
        <r>
          <rPr>
            <sz val="8"/>
            <color indexed="8"/>
            <rFont val="Tahoma"/>
            <family val="2"/>
          </rPr>
          <t xml:space="preserve">.
Ce sont les parties situées juste en dessous des ailerons du haut.
</t>
        </r>
        <r>
          <rPr>
            <i/>
            <sz val="8"/>
            <color indexed="8"/>
            <rFont val="Tahoma"/>
            <family val="2"/>
          </rPr>
          <t xml:space="preserve">The fin-fin interaction zone is located just below the upper fins,
shown in </t>
        </r>
        <r>
          <rPr>
            <i/>
            <sz val="8"/>
            <color indexed="10"/>
            <rFont val="Tahoma"/>
            <family val="2"/>
          </rPr>
          <t>red</t>
        </r>
        <r>
          <rPr>
            <i/>
            <sz val="8"/>
            <color indexed="8"/>
            <rFont val="Tahoma"/>
            <family val="2"/>
          </rPr>
          <t xml:space="preserve"> in the Rocket schematic.</t>
        </r>
      </text>
    </comment>
    <comment ref="F27" authorId="0" shapeId="0" xr:uid="{00000000-0006-0000-0000-000015000000}">
      <text>
        <r>
          <rPr>
            <sz val="8"/>
            <color indexed="8"/>
            <rFont val="Tahoma"/>
            <family val="2"/>
          </rPr>
          <t xml:space="preserve">La </t>
        </r>
        <r>
          <rPr>
            <b/>
            <sz val="8"/>
            <color indexed="8"/>
            <rFont val="Tahoma"/>
            <family val="2"/>
          </rPr>
          <t>Finesse</t>
        </r>
        <r>
          <rPr>
            <sz val="8"/>
            <color indexed="8"/>
            <rFont val="Tahoma"/>
            <family val="2"/>
          </rPr>
          <t xml:space="preserve"> représente l'allongement de la fusée, rapport Longueur/Diamètre.
</t>
        </r>
        <r>
          <rPr>
            <i/>
            <sz val="8"/>
            <color indexed="8"/>
            <rFont val="Tahoma"/>
            <family val="2"/>
          </rPr>
          <t>Finesse represents the relative length of the rocket. Finesse = L/D</t>
        </r>
      </text>
    </comment>
    <comment ref="B28" authorId="1" shapeId="0" xr:uid="{00000000-0006-0000-0000-000014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F28" authorId="0" shapeId="0" xr:uid="{00000000-0006-0000-0000-000017000000}">
      <text>
        <r>
          <rPr>
            <sz val="8"/>
            <color indexed="8"/>
            <rFont val="Tahoma"/>
            <family val="2"/>
          </rPr>
          <t xml:space="preserve">Le gradient de </t>
        </r>
        <r>
          <rPr>
            <b/>
            <sz val="8"/>
            <color indexed="16"/>
            <rFont val="Tahoma"/>
            <family val="2"/>
          </rPr>
          <t>Portance</t>
        </r>
        <r>
          <rPr>
            <sz val="8"/>
            <color indexed="8"/>
            <rFont val="Tahoma"/>
            <family val="2"/>
          </rPr>
          <t xml:space="preserve"> Cnα indique l'efficacité des ailerons.
Pour l'augmenter, il faut augmenter la taille des ailerons, et inversement.
</t>
        </r>
        <r>
          <rPr>
            <i/>
            <sz val="8"/>
            <color indexed="16"/>
            <rFont val="Tahoma"/>
            <family val="2"/>
          </rPr>
          <t>Lift</t>
        </r>
        <r>
          <rPr>
            <i/>
            <sz val="8"/>
            <color indexed="8"/>
            <rFont val="Tahoma"/>
            <family val="2"/>
          </rPr>
          <t xml:space="preserve"> gradient, Cnα, represents the fins efficiency. 
To increase it, one must increase the size of the fins, and conversely.</t>
        </r>
      </text>
    </comment>
    <comment ref="B29" authorId="1" shapeId="0" xr:uid="{00000000-0006-0000-0000-000016000000}">
      <text>
        <r>
          <rPr>
            <sz val="8"/>
            <color indexed="8"/>
            <rFont val="Tahoma"/>
            <family val="2"/>
          </rPr>
          <t xml:space="preserve">Longueur du </t>
        </r>
        <r>
          <rPr>
            <b/>
            <sz val="8"/>
            <color indexed="8"/>
            <rFont val="Tahoma"/>
            <family val="2"/>
          </rPr>
          <t>saumo</t>
        </r>
        <r>
          <rPr>
            <b/>
            <u/>
            <sz val="8"/>
            <color indexed="8"/>
            <rFont val="Tahoma"/>
            <family val="2"/>
          </rPr>
          <t>n</t>
        </r>
        <r>
          <rPr>
            <sz val="8"/>
            <color indexed="8"/>
            <rFont val="Tahoma"/>
            <family val="2"/>
          </rPr>
          <t xml:space="preserve"> d'un aileron.
</t>
        </r>
        <r>
          <rPr>
            <i/>
            <sz val="8"/>
            <color indexed="8"/>
            <rFont val="Tahoma"/>
            <family val="2"/>
          </rPr>
          <t>Tip edge length of one fin.</t>
        </r>
      </text>
    </comment>
    <comment ref="F29" authorId="0" shapeId="0" xr:uid="{00000000-0006-0000-0000-000019000000}">
      <text>
        <r>
          <rPr>
            <sz val="8"/>
            <color indexed="8"/>
            <rFont val="Tahoma"/>
            <family val="2"/>
          </rPr>
          <t xml:space="preserve">La </t>
        </r>
        <r>
          <rPr>
            <b/>
            <sz val="8"/>
            <color indexed="8"/>
            <rFont val="Tahoma"/>
            <family val="2"/>
          </rPr>
          <t>Marge Statique</t>
        </r>
        <r>
          <rPr>
            <sz val="8"/>
            <color indexed="8"/>
            <rFont val="Tahoma"/>
            <family val="2"/>
          </rPr>
          <t xml:space="preserve">, MS, est la distance entre le Centre de Masse et le Centre de Pression, 
exprimée en nombre de Diamètre de Référence, pour une fusée avec propulseur plein puis vide.
Pour augmenter la MS, il faut soit :
- abaisser le Centre de Portance (position des ailerons)
- rehausser le Centre de Masse
</t>
        </r>
        <r>
          <rPr>
            <i/>
            <sz val="8"/>
            <color indexed="8"/>
            <rFont val="Tahoma"/>
            <family val="2"/>
          </rPr>
          <t>Static Margin, MS, is the distance between the Center of Mass and the Center of Pressure, 
measured in number of reference diameter, for a rocket with loaded motor, then empty motor.
In order to increase MS, one must either:
- lower the Center of Pressure (position of fins)
- Move up the Center of Mass</t>
        </r>
      </text>
    </comment>
    <comment ref="B30" authorId="1" shapeId="0" xr:uid="{00000000-0006-0000-0000-000018000000}">
      <text>
        <r>
          <rPr>
            <b/>
            <sz val="8"/>
            <color indexed="8"/>
            <rFont val="Tahoma"/>
            <family val="2"/>
          </rPr>
          <t>Flèche</t>
        </r>
        <r>
          <rPr>
            <sz val="8"/>
            <color indexed="8"/>
            <rFont val="Tahoma"/>
            <family val="2"/>
          </rPr>
          <t xml:space="preserve"> du bord d'attaque (négatif si besoin).
</t>
        </r>
        <r>
          <rPr>
            <i/>
            <sz val="8"/>
            <color indexed="8"/>
            <rFont val="Tahoma"/>
            <family val="2"/>
          </rPr>
          <t>Offset of the Leading edge.</t>
        </r>
      </text>
    </comment>
    <comment ref="F30" authorId="0" shapeId="0" xr:uid="{00000000-0006-0000-0000-00001B000000}">
      <text>
        <r>
          <rPr>
            <sz val="8"/>
            <color indexed="8"/>
            <rFont val="Tahoma"/>
            <family val="2"/>
          </rPr>
          <t xml:space="preserve">Le </t>
        </r>
        <r>
          <rPr>
            <b/>
            <sz val="8"/>
            <color indexed="8"/>
            <rFont val="Tahoma"/>
            <family val="2"/>
          </rPr>
          <t>produit</t>
        </r>
        <r>
          <rPr>
            <sz val="8"/>
            <color indexed="8"/>
            <rFont val="Tahoma"/>
            <family val="2"/>
          </rPr>
          <t xml:space="preserve"> MS*Cnα représente le </t>
        </r>
        <r>
          <rPr>
            <b/>
            <sz val="8"/>
            <color indexed="8"/>
            <rFont val="Tahoma"/>
            <family val="2"/>
          </rPr>
          <t>couple</t>
        </r>
        <r>
          <rPr>
            <sz val="8"/>
            <color indexed="8"/>
            <rFont val="Tahoma"/>
            <family val="2"/>
          </rPr>
          <t xml:space="preserve"> de rappel de la Portance.
Pour augmenter le produit, il faut augmenter la MS et/ou le Cnα, et inversement.
</t>
        </r>
        <r>
          <rPr>
            <i/>
            <sz val="8"/>
            <color indexed="8"/>
            <rFont val="Tahoma"/>
            <family val="2"/>
          </rPr>
          <t>The product MS*Cnα represents the lift torque.
To increase it, one must increase the Static Margin and/or the Cnα, and conversely.</t>
        </r>
      </text>
    </comment>
    <comment ref="B31" authorId="1" shapeId="0" xr:uid="{00000000-0006-0000-0000-00001A000000}">
      <text>
        <r>
          <rPr>
            <b/>
            <u/>
            <sz val="8"/>
            <color indexed="8"/>
            <rFont val="Tahoma"/>
            <family val="2"/>
          </rPr>
          <t>E</t>
        </r>
        <r>
          <rPr>
            <b/>
            <sz val="8"/>
            <color indexed="8"/>
            <rFont val="Tahoma"/>
            <family val="2"/>
          </rPr>
          <t>nvergure</t>
        </r>
        <r>
          <rPr>
            <sz val="8"/>
            <color indexed="8"/>
            <rFont val="Tahoma"/>
            <family val="2"/>
          </rPr>
          <t xml:space="preserve"> d'un aileron.
</t>
        </r>
        <r>
          <rPr>
            <i/>
            <sz val="8"/>
            <color indexed="8"/>
            <rFont val="Tahoma"/>
            <family val="2"/>
          </rPr>
          <t>Span of one fin.</t>
        </r>
      </text>
    </comment>
    <comment ref="F31" authorId="0" shapeId="0" xr:uid="{00000000-0006-0000-0000-00001C000000}">
      <text>
        <r>
          <rPr>
            <sz val="8"/>
            <color indexed="8"/>
            <rFont val="Tahoma"/>
            <family val="2"/>
          </rPr>
          <t xml:space="preserve">Le Xcp est la </t>
        </r>
        <r>
          <rPr>
            <b/>
            <sz val="8"/>
            <color indexed="16"/>
            <rFont val="Tahoma"/>
            <family val="2"/>
          </rPr>
          <t>position du Centre de Poussée Aérodynamique</t>
        </r>
        <r>
          <rPr>
            <sz val="8"/>
            <color indexed="8"/>
            <rFont val="Tahoma"/>
            <family val="2"/>
          </rPr>
          <t xml:space="preserve"> (CPA), 
aussi appelé Centre de Pression (CP), Centre Latéral de Poussée (CLP), 
ou Foyer, exprimée par rapport à la pointe de l'ogive.
</t>
        </r>
        <r>
          <rPr>
            <i/>
            <sz val="8"/>
            <color indexed="8"/>
            <rFont val="Tahoma"/>
            <family val="2"/>
          </rPr>
          <t>Xcp is the location of the Aerodynamics Center of Pressure, 
measured from the tip of the nose cone.</t>
        </r>
      </text>
    </comment>
    <comment ref="F32" authorId="2" shapeId="0" xr:uid="{00000000-0006-0000-0000-00001D000000}">
      <text>
        <r>
          <rPr>
            <sz val="8"/>
            <color indexed="8"/>
            <rFont val="Tahoma"/>
            <family val="2"/>
          </rPr>
          <t xml:space="preserve">Cette Marge Statique est la distance entre le Centre de Masse et le Centre de Pression, 
exprimée en </t>
        </r>
        <r>
          <rPr>
            <b/>
            <sz val="8"/>
            <color indexed="8"/>
            <rFont val="Tahoma"/>
            <family val="2"/>
          </rPr>
          <t>% de la Longueur</t>
        </r>
        <r>
          <rPr>
            <sz val="8"/>
            <color indexed="8"/>
            <rFont val="Tahoma"/>
            <family val="2"/>
          </rPr>
          <t xml:space="preserve"> de la fusée, pour une fusée avec propulseur plein puis vide.
</t>
        </r>
        <r>
          <rPr>
            <i/>
            <sz val="8"/>
            <color indexed="8"/>
            <rFont val="Tahoma"/>
            <family val="2"/>
          </rPr>
          <t>This Static Margin is the distance between the Center of Mass and the Center of Pressure, 
measured in % of rocket length, for a rocket with loaded motor, then empty motor.</t>
        </r>
      </text>
    </comment>
    <comment ref="B34" authorId="0" shapeId="0" xr:uid="{00000000-0006-0000-0000-00001E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35" authorId="0" shapeId="0" xr:uid="{00000000-0006-0000-0000-00001F000000}">
      <text>
        <r>
          <rPr>
            <sz val="8"/>
            <color indexed="8"/>
            <rFont val="Tahoma"/>
            <family val="2"/>
          </rPr>
          <t xml:space="preserve">Diamètre du fuselage au niveau des ailerons.
</t>
        </r>
        <r>
          <rPr>
            <i/>
            <sz val="8"/>
            <color indexed="8"/>
            <rFont val="Tahoma"/>
            <family val="2"/>
          </rPr>
          <t>Diameter of the body at the level of the fins.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xml:space="preserve"> </author>
    <author>Léo Côme</author>
    <author>Léo</author>
    <author>Sylvain Besson</author>
    <author>collectif</author>
  </authors>
  <commentList>
    <comment ref="B11" authorId="0" shapeId="0" xr:uid="{00000000-0006-0000-0100-000001000000}">
      <text>
        <r>
          <rPr>
            <sz val="8"/>
            <color indexed="8"/>
            <rFont val="Tahoma"/>
            <family val="2"/>
          </rPr>
          <t xml:space="preserve">Masse au décollage, à changer dans la feuille Stabilito,
ou à l'aide des boutons (revérifiez alors la stabilité).
</t>
        </r>
        <r>
          <rPr>
            <i/>
            <sz val="8"/>
            <color indexed="8"/>
            <rFont val="Tahoma"/>
            <family val="2"/>
          </rPr>
          <t>Lift-Off mass, to be changed in Stabilito sheet,
or with the buttons (then recheck stability).</t>
        </r>
      </text>
    </comment>
    <comment ref="B12" authorId="0" shapeId="0" xr:uid="{00000000-0006-0000-0100-000002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5" authorId="1" shapeId="0" xr:uid="{00000000-0006-0000-0100-000003000000}">
      <text>
        <r>
          <rPr>
            <sz val="8"/>
            <color indexed="8"/>
            <rFont val="Tahoma"/>
            <family val="2"/>
          </rPr>
          <t xml:space="preserve">La Surface de Référence utilisée pour le calcul de la Traînée est la surface projetée dans l'axe de la fusée. Ce </t>
        </r>
        <r>
          <rPr>
            <b/>
            <sz val="8"/>
            <color indexed="8"/>
            <rFont val="Tahoma"/>
            <family val="2"/>
          </rPr>
          <t>Maître Couple</t>
        </r>
        <r>
          <rPr>
            <sz val="8"/>
            <color indexed="8"/>
            <rFont val="Tahoma"/>
            <family val="2"/>
          </rPr>
          <t xml:space="preserve"> inclut donc l'épaisseur des ailerons.
</t>
        </r>
        <r>
          <rPr>
            <i/>
            <sz val="8"/>
            <color indexed="8"/>
            <rFont val="Tahoma"/>
            <family val="2"/>
          </rPr>
          <t>Reference Surface used to compute the Drag. It includes Fin thickness.</t>
        </r>
      </text>
    </comment>
    <comment ref="B16" authorId="1" shapeId="0" xr:uid="{00000000-0006-0000-0100-000004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 ref="B19" authorId="1" shapeId="0" xr:uid="{00000000-0006-0000-0100-000005000000}">
      <text>
        <r>
          <rPr>
            <b/>
            <sz val="8"/>
            <color indexed="8"/>
            <rFont val="Tahoma"/>
            <family val="2"/>
          </rPr>
          <t>Longueur de la rampe de lancement.</t>
        </r>
        <r>
          <rPr>
            <sz val="8"/>
            <color indexed="8"/>
            <rFont val="Tahoma"/>
            <family val="2"/>
          </rPr>
          <t xml:space="preserve">
</t>
        </r>
        <r>
          <rPr>
            <i/>
            <sz val="8"/>
            <color indexed="8"/>
            <rFont val="Tahoma"/>
            <family val="2"/>
          </rPr>
          <t xml:space="preserve">                                          Length of the launch pad.</t>
        </r>
        <r>
          <rPr>
            <sz val="8"/>
            <color indexed="8"/>
            <rFont val="Tahoma"/>
            <family val="2"/>
          </rPr>
          <t xml:space="preserve">
Valeurs courantes :                       C</t>
        </r>
        <r>
          <rPr>
            <i/>
            <sz val="8"/>
            <color indexed="8"/>
            <rFont val="Tahoma"/>
            <family val="2"/>
          </rPr>
          <t>ommon values :</t>
        </r>
        <r>
          <rPr>
            <sz val="8"/>
            <color indexed="8"/>
            <rFont val="Tahoma"/>
            <family val="2"/>
          </rPr>
          <t xml:space="preserve">
MicroFusée               : 1m             </t>
        </r>
        <r>
          <rPr>
            <i/>
            <sz val="8"/>
            <color indexed="8"/>
            <rFont val="Tahoma"/>
            <family val="2"/>
          </rPr>
          <t>Micro-rocket</t>
        </r>
        <r>
          <rPr>
            <sz val="8"/>
            <color indexed="8"/>
            <rFont val="Tahoma"/>
            <family val="2"/>
          </rPr>
          <t xml:space="preserve">
MiniFusée                 : 2m -&gt; 3m </t>
        </r>
        <r>
          <rPr>
            <i/>
            <sz val="8"/>
            <color indexed="8"/>
            <rFont val="Tahoma"/>
            <family val="2"/>
          </rPr>
          <t xml:space="preserve">  Mini-rocket</t>
        </r>
        <r>
          <rPr>
            <sz val="8"/>
            <color indexed="8"/>
            <rFont val="Tahoma"/>
            <family val="2"/>
          </rPr>
          <t xml:space="preserve">
Fusée Expérimentale  : 4m -&gt; 7m   </t>
        </r>
        <r>
          <rPr>
            <i/>
            <sz val="8"/>
            <color indexed="8"/>
            <rFont val="Tahoma"/>
            <family val="2"/>
          </rPr>
          <t>Experimental Rocket</t>
        </r>
      </text>
    </comment>
    <comment ref="B20" authorId="1" shapeId="0" xr:uid="{00000000-0006-0000-0100-000006000000}">
      <text>
        <r>
          <rPr>
            <sz val="8"/>
            <color indexed="8"/>
            <rFont val="Tahoma"/>
            <family val="2"/>
          </rPr>
          <t xml:space="preserve">Elévation de la rampe, angle par rapport à l'horizontale, "site" de la rampe, par défaut cet angle est à 80°.
</t>
        </r>
        <r>
          <rPr>
            <i/>
            <sz val="8"/>
            <color indexed="8"/>
            <rFont val="Tahoma"/>
            <family val="2"/>
          </rPr>
          <t>Angle of the lauch pad versus horizontal.</t>
        </r>
      </text>
    </comment>
    <comment ref="B21" authorId="1" shapeId="0" xr:uid="{00000000-0006-0000-0100-000007000000}">
      <text>
        <r>
          <rPr>
            <sz val="8"/>
            <color indexed="8"/>
            <rFont val="Tahoma"/>
            <family val="2"/>
          </rPr>
          <t xml:space="preserve">L'Altitude de la rampe est utilisée pour calculer la densité de l'air.
</t>
        </r>
        <r>
          <rPr>
            <i/>
            <sz val="8"/>
            <color indexed="8"/>
            <rFont val="Tahoma"/>
            <family val="2"/>
          </rPr>
          <t>Launch Pad Altitude is used to compute the air density.</t>
        </r>
      </text>
    </comment>
    <comment ref="D24" authorId="2" shapeId="0" xr:uid="{00000000-0006-0000-0100-000008000000}">
      <text>
        <r>
          <rPr>
            <b/>
            <sz val="8"/>
            <color indexed="8"/>
            <rFont val="Tahoma"/>
            <family val="2"/>
          </rPr>
          <t>Objet largué</t>
        </r>
        <r>
          <rPr>
            <sz val="8"/>
            <color indexed="8"/>
            <rFont val="Tahoma"/>
            <family val="2"/>
          </rPr>
          <t xml:space="preserve"> (CanSat, quasi-satellite, partie contenant l'œuf...)
</t>
        </r>
        <r>
          <rPr>
            <i/>
            <sz val="8"/>
            <color indexed="8"/>
            <rFont val="Tahoma"/>
            <family val="2"/>
          </rPr>
          <t>Separated object (CanSat, quasi-satellite, payload/egg...)</t>
        </r>
      </text>
    </comment>
    <comment ref="K24" authorId="1" shapeId="0" xr:uid="{00000000-0006-0000-0100-000009000000}">
      <text>
        <r>
          <rPr>
            <sz val="8"/>
            <color indexed="8"/>
            <rFont val="Tahoma"/>
            <family val="2"/>
          </rPr>
          <t xml:space="preserve">La Vitesse en Sortie de Rampe doit être supérieure à 18m/s (MiniFusée) ou 20m/s (Fusée Exp.).
Alléger la fusée ou choisir un propu plus puissant.
</t>
        </r>
        <r>
          <rPr>
            <i/>
            <sz val="8"/>
            <color indexed="8"/>
            <rFont val="Tahoma"/>
            <family val="2"/>
          </rPr>
          <t>Speed at Launch Pad Exit must by higher than 18m/s (mini-rocket) or 20m/s (experimental rocket).
Lighten the rocket or choose a bigger motor.</t>
        </r>
      </text>
    </comment>
    <comment ref="C25" authorId="2" shapeId="0" xr:uid="{00000000-0006-0000-0100-00000A000000}">
      <text>
        <r>
          <rPr>
            <sz val="8"/>
            <color indexed="8"/>
            <rFont val="Tahoma"/>
            <family val="2"/>
          </rPr>
          <t xml:space="preserve">Masse de la fusée (sans satellite) sous parachute.
</t>
        </r>
        <r>
          <rPr>
            <i/>
            <sz val="8"/>
            <color indexed="8"/>
            <rFont val="Tahoma"/>
            <family val="2"/>
          </rPr>
          <t>Mass of the rocket (w/o sat) when it fall with a parachute.</t>
        </r>
      </text>
    </comment>
    <comment ref="M28" authorId="3" shapeId="0" xr:uid="{00000000-0006-0000-0100-00000B000000}">
      <text>
        <r>
          <rPr>
            <sz val="8"/>
            <color indexed="81"/>
            <rFont val="Tahoma"/>
            <family val="2"/>
          </rPr>
          <t xml:space="preserve">Efforts sur les fixations du parachute lors de sont ouverture.
</t>
        </r>
        <r>
          <rPr>
            <i/>
            <sz val="8"/>
            <color indexed="81"/>
            <rFont val="Tahoma"/>
            <family val="2"/>
          </rPr>
          <t>Stress on the parachute's bindings when it opened.</t>
        </r>
      </text>
    </comment>
    <comment ref="M29" authorId="3" shapeId="0" xr:uid="{00000000-0006-0000-0100-00000D000000}">
      <text>
        <r>
          <rPr>
            <sz val="8"/>
            <color indexed="81"/>
            <rFont val="Tahoma"/>
            <family val="2"/>
          </rPr>
          <t>Energie libérée lors de l'impact balistique.</t>
        </r>
        <r>
          <rPr>
            <b/>
            <sz val="8"/>
            <color indexed="81"/>
            <rFont val="Tahoma"/>
            <family val="2"/>
          </rPr>
          <t xml:space="preserve">
</t>
        </r>
        <r>
          <rPr>
            <i/>
            <sz val="8"/>
            <color indexed="81"/>
            <rFont val="Tahoma"/>
            <family val="2"/>
          </rPr>
          <t>Balistic impact energy</t>
        </r>
      </text>
    </comment>
    <comment ref="B30" authorId="1" shapeId="0" xr:uid="{00000000-0006-0000-0100-00000C000000}">
      <text>
        <r>
          <rPr>
            <sz val="8"/>
            <color indexed="8"/>
            <rFont val="Tahoma"/>
            <family val="2"/>
          </rPr>
          <t xml:space="preserve">Le Coefficient de Traînée </t>
        </r>
        <r>
          <rPr>
            <b/>
            <sz val="8"/>
            <color indexed="8"/>
            <rFont val="Tahoma"/>
            <family val="2"/>
          </rPr>
          <t>Cx</t>
        </r>
        <r>
          <rPr>
            <sz val="8"/>
            <color indexed="8"/>
            <rFont val="Tahoma"/>
            <family val="2"/>
          </rPr>
          <t xml:space="preserve"> (ou Cd) d'un parachute est généralement compris entre 0.7 et 1.4 (1 par défaut).
</t>
        </r>
        <r>
          <rPr>
            <i/>
            <sz val="8"/>
            <color indexed="8"/>
            <rFont val="Tahoma"/>
            <family val="2"/>
          </rPr>
          <t xml:space="preserve">Parachute Drag Coefficient </t>
        </r>
        <r>
          <rPr>
            <b/>
            <i/>
            <sz val="8"/>
            <color indexed="8"/>
            <rFont val="Tahoma"/>
            <family val="2"/>
          </rPr>
          <t>Cx</t>
        </r>
        <r>
          <rPr>
            <i/>
            <sz val="8"/>
            <color indexed="8"/>
            <rFont val="Tahoma"/>
            <family val="2"/>
          </rPr>
          <t xml:space="preserve"> (or Cd) should be between 0.7 and 1.4, with a default value of 1.</t>
        </r>
      </text>
    </comment>
    <comment ref="B32" authorId="4" shapeId="0" xr:uid="{00000000-0006-0000-0100-00000E000000}">
      <text>
        <r>
          <rPr>
            <sz val="8"/>
            <color indexed="81"/>
            <rFont val="Tahoma"/>
            <family val="2"/>
          </rPr>
          <t xml:space="preserve">La Vitesse de descente sous parachute doit être comprise entre 5 &amp; 15m/s.
</t>
        </r>
        <r>
          <rPr>
            <i/>
            <sz val="8"/>
            <color indexed="81"/>
            <rFont val="Tahoma"/>
            <family val="2"/>
          </rPr>
          <t>Fall Velocity with parachute must be between 5 &amp; 15 m/s.</t>
        </r>
      </text>
    </comment>
    <comment ref="B35" authorId="0" shapeId="0" xr:uid="{00000000-0006-0000-0100-00000F000000}">
      <text>
        <r>
          <rPr>
            <sz val="8"/>
            <color indexed="8"/>
            <rFont val="Tahoma"/>
            <family val="2"/>
          </rPr>
          <t xml:space="preserve">Déviation due au vent lors de la descente sous parachute.
</t>
        </r>
        <r>
          <rPr>
            <i/>
            <sz val="8"/>
            <color indexed="8"/>
            <rFont val="Tahoma"/>
            <family val="2"/>
          </rPr>
          <t>Deviation due to wind during the fall over parachute.</t>
        </r>
      </text>
    </comment>
    <comment ref="F42" authorId="1" shapeId="0" xr:uid="{00000000-0006-0000-0100-000010000000}">
      <text>
        <r>
          <rPr>
            <sz val="8"/>
            <color indexed="8"/>
            <rFont val="Tahoma"/>
            <family val="2"/>
          </rPr>
          <t xml:space="preserve">Les Conditions Initiales permettent de simuler le 2e boost des fusée bi-étage ou des fusées larguant une masse (CanSat, bi-inerte). Laisser à 0 dans les autres cas.
</t>
        </r>
        <r>
          <rPr>
            <i/>
            <sz val="8"/>
            <color indexed="8"/>
            <rFont val="Tahoma"/>
            <family val="2"/>
          </rPr>
          <t>Initial Conditions can be used to simulate the 2nd boost of 2-stages rockets, or rocket releasing mass (Quasi-Satellites). Set them to 0 otherwise.</t>
        </r>
      </text>
    </comment>
    <comment ref="I42" authorId="1" shapeId="0" xr:uid="{00000000-0006-0000-0100-000011000000}">
      <text>
        <r>
          <rPr>
            <sz val="8"/>
            <color indexed="8"/>
            <rFont val="Tahoma"/>
            <family val="2"/>
          </rPr>
          <t xml:space="preserve">Altitude par rapport à la rampe, par rapport au sol.
</t>
        </r>
        <r>
          <rPr>
            <i/>
            <sz val="8"/>
            <color indexed="8"/>
            <rFont val="Tahoma"/>
            <family val="2"/>
          </rPr>
          <t>Altitude with respect to the earth surface.</t>
        </r>
      </text>
    </comment>
    <comment ref="K42" authorId="1" shapeId="0" xr:uid="{00000000-0006-0000-0100-000012000000}">
      <text>
        <r>
          <rPr>
            <sz val="8"/>
            <color indexed="8"/>
            <rFont val="Tahoma"/>
            <family val="2"/>
          </rPr>
          <t xml:space="preserve">La vitesse initiale doit être non-nulle dans le cas d'un 2e boost (allumage hors de la rampe, Portée et Altitude non-nulles).
</t>
        </r>
        <r>
          <rPr>
            <i/>
            <sz val="8"/>
            <color indexed="8"/>
            <rFont val="Tahoma"/>
            <family val="2"/>
          </rPr>
          <t>Initial Velocity must be non-zero in case of 2nd boost (ignition without launch pad, non-zero Range and Altitude).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xml:space="preserve"> </author>
    <author>M363040</author>
    <author>Léo Côme</author>
  </authors>
  <commentList>
    <comment ref="B11" authorId="0" shapeId="0" xr:uid="{00000000-0006-0000-0500-000001000000}">
      <text>
        <r>
          <rPr>
            <sz val="8"/>
            <color indexed="8"/>
            <rFont val="Tahoma"/>
            <family val="2"/>
          </rPr>
          <t xml:space="preserve">Masse sans propu, à changer dans la feuille Stabilito,
ou à l'aide des boutons (revérifiez alors la stabilité).
</t>
        </r>
        <r>
          <rPr>
            <i/>
            <sz val="8"/>
            <color indexed="8"/>
            <rFont val="Tahoma"/>
            <family val="2"/>
          </rPr>
          <t>Rocket mass without motor, to be changed in Stabilito sheet,
or with the buttons (then recheck stability).</t>
        </r>
      </text>
    </comment>
    <comment ref="B12" authorId="0" shapeId="0" xr:uid="{00000000-0006-0000-0500-000002000000}">
      <text>
        <r>
          <rPr>
            <sz val="8"/>
            <color indexed="8"/>
            <rFont val="Tahoma"/>
            <family val="2"/>
          </rPr>
          <t>Masse totale, à changer dans la feuille Stabilito,
ou à l'aide des boutons (revérifiez alors la stabilité).
Rocket total mass, to be changed in Stabilito sheet,
or with the buttons (then recheck stability).</t>
        </r>
      </text>
    </comment>
    <comment ref="B13" authorId="0" shapeId="0" xr:uid="{00000000-0006-0000-0500-000003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6" authorId="1" shapeId="0" xr:uid="{00000000-0006-0000-0500-000004000000}">
      <text>
        <r>
          <rPr>
            <sz val="8"/>
            <color indexed="8"/>
            <rFont val="Tahoma"/>
            <family val="2"/>
          </rPr>
          <t xml:space="preserve">Diamètre de référence. D_réf = D_ogive ou le diamètre "principal".
</t>
        </r>
        <r>
          <rPr>
            <i/>
            <sz val="8"/>
            <color indexed="8"/>
            <rFont val="Tahoma"/>
            <family val="2"/>
          </rPr>
          <t>Reference Diameter. D_ref = D_ogive or the "main" diameter.</t>
        </r>
      </text>
    </comment>
    <comment ref="B17" authorId="2" shapeId="0" xr:uid="{00000000-0006-0000-0500-000005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xml:space="preserve"> Léo</author>
  </authors>
  <commentList>
    <comment ref="E55" authorId="0" shapeId="0" xr:uid="{00000000-0006-0000-0600-000001000000}">
      <text>
        <r>
          <rPr>
            <sz val="8"/>
            <color indexed="81"/>
            <rFont val="Tahoma"/>
            <family val="2"/>
          </rPr>
          <t xml:space="preserve">Masse volumique de l'air (ρ) à P=1013,25hPa &amp; T=15°C.
Utilisée tel quel pour la descente sous parachute,
utilisée comme référence (z=0) pour le calcul de ρ en fonction de l'altitude dans le calcul de la trajectoire pas à pas.
Idéalement, valeur à adapter aux conditions atmosphériques au moment du lancement.
</t>
        </r>
        <r>
          <rPr>
            <i/>
            <sz val="8"/>
            <color indexed="81"/>
            <rFont val="Tahoma"/>
            <family val="2"/>
          </rPr>
          <t>Air density (ρ) at P=1013,25hPa &amp; T=15°C.</t>
        </r>
      </text>
    </comment>
  </commentList>
</comments>
</file>

<file path=xl/sharedStrings.xml><?xml version="1.0" encoding="utf-8"?>
<sst xmlns="http://schemas.openxmlformats.org/spreadsheetml/2006/main" count="1735" uniqueCount="576">
  <si>
    <t>TRAJECTO</t>
  </si>
  <si>
    <t>Français</t>
  </si>
  <si>
    <t>t</t>
  </si>
  <si>
    <t>x</t>
  </si>
  <si>
    <t>Club</t>
  </si>
  <si>
    <t>Cx</t>
  </si>
  <si>
    <t>Altitude</t>
  </si>
  <si>
    <t>m/s²</t>
  </si>
  <si>
    <t>kg/m3</t>
  </si>
  <si>
    <t>Surface para</t>
  </si>
  <si>
    <t>Cx parachute</t>
  </si>
  <si>
    <t>Temps</t>
  </si>
  <si>
    <t>Altitude z</t>
  </si>
  <si>
    <t>Accélération</t>
  </si>
  <si>
    <t>-</t>
  </si>
  <si>
    <t>Culmination, Apogée</t>
  </si>
  <si>
    <t>~0</t>
  </si>
  <si>
    <t>Forces</t>
  </si>
  <si>
    <t>Accélération longitudinale</t>
  </si>
  <si>
    <t>pas</t>
  </si>
  <si>
    <t>Beta</t>
  </si>
  <si>
    <t>BetaD</t>
  </si>
  <si>
    <t>Débit</t>
  </si>
  <si>
    <t>Trainée</t>
  </si>
  <si>
    <t>Rho</t>
  </si>
  <si>
    <t>Poussée</t>
  </si>
  <si>
    <t>i_P</t>
  </si>
  <si>
    <t>Poids</t>
  </si>
  <si>
    <t>R_rampe</t>
  </si>
  <si>
    <t>z</t>
  </si>
  <si>
    <t>non-gravit.</t>
  </si>
  <si>
    <t>gravitationnelle</t>
  </si>
  <si>
    <t>Ligne</t>
  </si>
  <si>
    <t>Temps (en s)</t>
  </si>
  <si>
    <t>Poussée (en N)</t>
  </si>
  <si>
    <t>Isard</t>
  </si>
  <si>
    <t>Chamois</t>
  </si>
  <si>
    <t>espace@planete-sciences.org</t>
  </si>
  <si>
    <t>m</t>
  </si>
  <si>
    <t>http://www.planete-sciences.org/espace/basedoc/</t>
  </si>
  <si>
    <t>Surface Réf.</t>
  </si>
  <si>
    <t>Angle</t>
  </si>
  <si>
    <t>Léo Côme</t>
  </si>
  <si>
    <t>Notes :</t>
  </si>
  <si>
    <t>Aucun (2e ét. inerte)</t>
  </si>
  <si>
    <t>z para</t>
  </si>
  <si>
    <t>z sat</t>
  </si>
  <si>
    <t>xz max</t>
  </si>
  <si>
    <t>t para</t>
  </si>
  <si>
    <t>x para</t>
  </si>
  <si>
    <t>t sat</t>
  </si>
  <si>
    <t>x sat</t>
  </si>
  <si>
    <t>Moteurs Rocketry-Challenge, bug Surface_parachute, Satellite, bug Ooo</t>
  </si>
  <si>
    <t>STABILITO</t>
  </si>
  <si>
    <t>Type</t>
  </si>
  <si>
    <t>XCp</t>
  </si>
  <si>
    <t>MpropuPlein</t>
  </si>
  <si>
    <t>XpropuPlein</t>
  </si>
  <si>
    <t>MpropuVide</t>
  </si>
  <si>
    <t>XpropuVide</t>
  </si>
  <si>
    <t>Longueur</t>
  </si>
  <si>
    <t>Diamètre</t>
  </si>
  <si>
    <t>Min</t>
  </si>
  <si>
    <t>Max</t>
  </si>
  <si>
    <t>Finesse</t>
  </si>
  <si>
    <t>Cnα</t>
  </si>
  <si>
    <t>MS /L</t>
  </si>
  <si>
    <t>English</t>
  </si>
  <si>
    <t>X longi</t>
  </si>
  <si>
    <t>Y latéral</t>
  </si>
  <si>
    <t>- Y latéral</t>
  </si>
  <si>
    <t>Pointe</t>
  </si>
  <si>
    <t>Ogive</t>
  </si>
  <si>
    <t>chmt1 pt1</t>
  </si>
  <si>
    <t>chmt1 pt2</t>
  </si>
  <si>
    <t>chmt2 pt1</t>
  </si>
  <si>
    <t>chmt2 pt2</t>
  </si>
  <si>
    <t>culot</t>
  </si>
  <si>
    <t>aileron pt1</t>
  </si>
  <si>
    <t>aileron pt2</t>
  </si>
  <si>
    <t>aileron pt3</t>
  </si>
  <si>
    <t>aileron pt4</t>
  </si>
  <si>
    <t>Xcg plein</t>
  </si>
  <si>
    <t>Xcg vide</t>
  </si>
  <si>
    <t>Xcp</t>
  </si>
  <si>
    <t>canard pt1</t>
  </si>
  <si>
    <t>canard pt2</t>
  </si>
  <si>
    <t>canard pt3</t>
  </si>
  <si>
    <t>canard pt4</t>
  </si>
  <si>
    <t>masquage pt1</t>
  </si>
  <si>
    <t>masquage pt2</t>
  </si>
  <si>
    <t>masquage pt3</t>
  </si>
  <si>
    <t>masquage pt4</t>
  </si>
  <si>
    <t>cadre</t>
  </si>
  <si>
    <t>propu pt1</t>
  </si>
  <si>
    <t>propu pt2</t>
  </si>
  <si>
    <t>propu pt3</t>
  </si>
  <si>
    <t>propu pt4</t>
  </si>
  <si>
    <t>propu pt5</t>
  </si>
  <si>
    <t>MS (X)</t>
  </si>
  <si>
    <t>Cna (Y)</t>
  </si>
  <si>
    <t>2002-2007</t>
  </si>
  <si>
    <t>Stabilito V1.x</t>
  </si>
  <si>
    <t>Stabilito V2.0</t>
  </si>
  <si>
    <t>Stabilito V2.1</t>
  </si>
  <si>
    <t>Stabilito V2.2</t>
  </si>
  <si>
    <t>Trajecto V1.x</t>
  </si>
  <si>
    <t>Trajecto V2.x</t>
  </si>
  <si>
    <t>Trajecto V2.4</t>
  </si>
  <si>
    <t>Trajecto V2.5</t>
  </si>
  <si>
    <t>OpenOffice Calc</t>
  </si>
  <si>
    <t>µ-propu A8-3</t>
  </si>
  <si>
    <t>µ-propu B4-4</t>
  </si>
  <si>
    <t>µ-propu C6-3</t>
  </si>
  <si>
    <t>ISP</t>
  </si>
  <si>
    <t>I_total</t>
  </si>
  <si>
    <t>I_total_i (en N.s)</t>
  </si>
  <si>
    <t>Micro</t>
  </si>
  <si>
    <t>Fusex</t>
  </si>
  <si>
    <t>Mini</t>
  </si>
  <si>
    <t>0 satellite</t>
  </si>
  <si>
    <t>1 satellite</t>
  </si>
  <si>
    <t>http://creativecommons.org/licenses/by-sa/3.0/</t>
  </si>
  <si>
    <t>VL4</t>
  </si>
  <si>
    <t>Vsortie de rampe (&gt; 18 m/s)</t>
  </si>
  <si>
    <t>10 &lt; finesse &lt; 20</t>
  </si>
  <si>
    <t>15 &lt; Cn &lt; 30</t>
  </si>
  <si>
    <t>30 &lt; Ms x Cn &lt; 100</t>
  </si>
  <si>
    <t>RC1</t>
  </si>
  <si>
    <t>5 &lt; Vc &lt; 15 m/s</t>
  </si>
  <si>
    <t>RC2</t>
  </si>
  <si>
    <t>Temps de retard ralentisseur</t>
  </si>
  <si>
    <t>RC5</t>
  </si>
  <si>
    <t>Portée balistique (m)</t>
  </si>
  <si>
    <t>Temps de vol avec parachute (s)</t>
  </si>
  <si>
    <t>Culmination</t>
  </si>
  <si>
    <t>Accélération max (m/s²)</t>
  </si>
  <si>
    <t>Vmax (m/s)</t>
  </si>
  <si>
    <t>Altitude (m)</t>
  </si>
  <si>
    <t>Temps (s)</t>
  </si>
  <si>
    <t>Vitesse (m/s)</t>
  </si>
  <si>
    <t>Inclinaison</t>
  </si>
  <si>
    <t>Longueur totale</t>
  </si>
  <si>
    <t>Longueur rampe</t>
  </si>
  <si>
    <t>Epaisseur ailerons</t>
  </si>
  <si>
    <t>Nombre ailerons</t>
  </si>
  <si>
    <t>Type d'ogive</t>
  </si>
  <si>
    <t>Longueur ogive "l"</t>
  </si>
  <si>
    <t>Haut du propu "Prop"</t>
  </si>
  <si>
    <t>Diamètre "D"</t>
  </si>
  <si>
    <t>Position ailerons "L"</t>
  </si>
  <si>
    <t>M</t>
  </si>
  <si>
    <t>Microsoft Excel 2003 ou +</t>
  </si>
  <si>
    <t>s</t>
  </si>
  <si>
    <t>m/s</t>
  </si>
  <si>
    <t>°</t>
  </si>
  <si>
    <t>Transition A</t>
  </si>
  <si>
    <t>Transition B</t>
  </si>
  <si>
    <t>Jaune</t>
  </si>
  <si>
    <t>conique</t>
  </si>
  <si>
    <t>ogive</t>
  </si>
  <si>
    <t>parabole</t>
  </si>
  <si>
    <t>env pt4</t>
  </si>
  <si>
    <t>flèche pt2</t>
  </si>
  <si>
    <t>saumon pt3</t>
  </si>
  <si>
    <t>flèche milieu</t>
  </si>
  <si>
    <t>env milieu</t>
  </si>
  <si>
    <t>saumon milieu</t>
  </si>
  <si>
    <t>empl milieu</t>
  </si>
  <si>
    <t>empl pt4</t>
  </si>
  <si>
    <t>MS milieu</t>
  </si>
  <si>
    <t>MS Xcp</t>
  </si>
  <si>
    <t>1s</t>
  </si>
  <si>
    <t>t/T</t>
  </si>
  <si>
    <t>z/Z</t>
  </si>
  <si>
    <t>vertical</t>
  </si>
  <si>
    <t>horizontal</t>
  </si>
  <si>
    <t>flèches</t>
  </si>
  <si>
    <t>StabTraj</t>
  </si>
  <si>
    <t>StabTraj V3.0</t>
  </si>
  <si>
    <t>Trajecto</t>
  </si>
  <si>
    <t>µ-propu</t>
  </si>
  <si>
    <t>Minif</t>
  </si>
  <si>
    <t xml:space="preserve"> </t>
  </si>
  <si>
    <t>Événements</t>
  </si>
  <si>
    <t>Sous-échantillon 1Hz</t>
  </si>
  <si>
    <t>pos_x</t>
  </si>
  <si>
    <t>pos_z</t>
  </si>
  <si>
    <t>pos_xz</t>
  </si>
  <si>
    <t>vit_x</t>
  </si>
  <si>
    <t>vit_z</t>
  </si>
  <si>
    <t>vit_xz</t>
  </si>
  <si>
    <t>acc_x</t>
  </si>
  <si>
    <t>acc_z</t>
  </si>
  <si>
    <t>acc_xz</t>
  </si>
  <si>
    <t>Donneés au format des fiches de contrôles Fusex :</t>
  </si>
  <si>
    <t>Diamètre max</t>
  </si>
  <si>
    <t>Envergure totale</t>
  </si>
  <si>
    <t>sans</t>
  </si>
  <si>
    <t>vide</t>
  </si>
  <si>
    <t>plein</t>
  </si>
  <si>
    <t>Masse</t>
  </si>
  <si>
    <t>STAB 1</t>
  </si>
  <si>
    <t>STAB 2</t>
  </si>
  <si>
    <t>STAB 3</t>
  </si>
  <si>
    <t>STAB 4</t>
  </si>
  <si>
    <t>STAB 5</t>
  </si>
  <si>
    <t>Vsortie de rampe (&gt; 20 m/s)</t>
  </si>
  <si>
    <t>10 &lt; finesse &lt; 35</t>
  </si>
  <si>
    <t>15 &lt; Portance &lt; 40</t>
  </si>
  <si>
    <t>2*D &lt; Ms &lt; 6*D</t>
  </si>
  <si>
    <t>40 &lt; Ms x Cn &lt; 100</t>
  </si>
  <si>
    <t>Maître couple (m²)</t>
  </si>
  <si>
    <t>Site</t>
  </si>
  <si>
    <t>Temps balistique (s)</t>
  </si>
  <si>
    <t>Temps culmi (s)</t>
  </si>
  <si>
    <t>Altitude culmi (m)</t>
  </si>
  <si>
    <t>Vitesse culmi (m/s)</t>
  </si>
  <si>
    <t>CdG</t>
  </si>
  <si>
    <t>Diamètre max (40à200)</t>
  </si>
  <si>
    <t>Envergure totale &lt;720</t>
  </si>
  <si>
    <t>Masse &lt;15</t>
  </si>
  <si>
    <t>Pensez à modifier l'inclinaison pour avoir les 2 valeurs.</t>
  </si>
  <si>
    <t>Resist long aileron</t>
  </si>
  <si>
    <t>Resist transv aileron</t>
  </si>
  <si>
    <t>Compression 2.Acc.M</t>
  </si>
  <si>
    <t>N</t>
  </si>
  <si>
    <t>kg</t>
  </si>
  <si>
    <t>Surface aileron (m²)</t>
  </si>
  <si>
    <t>Masse aileron (kg)</t>
  </si>
  <si>
    <t>T dépotage +/-2s /appogée</t>
  </si>
  <si>
    <t>REC 2</t>
  </si>
  <si>
    <t>SEQ 5</t>
  </si>
  <si>
    <t>CR 1</t>
  </si>
  <si>
    <t>CR 2</t>
  </si>
  <si>
    <t>MEC 3</t>
  </si>
  <si>
    <t>Vitesse à l'ouverture m/s</t>
  </si>
  <si>
    <t>Surface parachute m²</t>
  </si>
  <si>
    <t xml:space="preserve">Choc à l'ouverture   N </t>
  </si>
  <si>
    <t>Choc à l'ouverture   kg</t>
  </si>
  <si>
    <t>Compression porte</t>
  </si>
  <si>
    <t>Masse au-dessus porte</t>
  </si>
  <si>
    <t>REC 8</t>
  </si>
  <si>
    <t>rad</t>
  </si>
  <si>
    <t>kg/s</t>
  </si>
  <si>
    <t>Méthodes d'intégration maison</t>
  </si>
  <si>
    <t>Wikipedia</t>
  </si>
  <si>
    <t>Pour se limiter à 1000 lignes, pas variable (les transitions sont-elles rigoureuses ?).</t>
  </si>
  <si>
    <t>Le Vol de la Fusée</t>
  </si>
  <si>
    <t>Beeman (2nd order, explicit variant)</t>
  </si>
  <si>
    <t>Newmark-beta (with γ=1/2 &amp; β=1/4) (2nd order)</t>
  </si>
  <si>
    <t>Spécificités de notre problème (2nd order mechanical ODE) :</t>
  </si>
  <si>
    <t>Verlet (2-stage 2nd order, symplectic, explicit)</t>
  </si>
  <si>
    <t>Trajec 2.x utililse un mélange douteux de différentes méthodes :</t>
  </si>
  <si>
    <t>Méthodes d'intégration explicites officielles</t>
  </si>
  <si>
    <t>On peut anticiper la Poussée (force qui varie le +) et la masse.</t>
  </si>
  <si>
    <t>L'Acc dépend de la vitesse (et peu de la position).</t>
  </si>
  <si>
    <t>Semi-implicit Euler (1st order, symplectic) [§ "Euler modifié" dans Le Vol de La Fusée]</t>
  </si>
  <si>
    <t>Explicit Euler (1st order, non-symplectic) [RK1]</t>
  </si>
  <si>
    <t>Velocity Verlet, Leapfrog variant (2nd order, symplectic, explicit)</t>
  </si>
  <si>
    <t>Midpoint, Modified Euler (2nd order, explicit) [§ "RK2" dans Le Vol de La Fusée]</t>
  </si>
  <si>
    <t>Heun, Improved Euler (2-stage 2nd-order, explicit, predictor-corrector) [Trapezoidal] [RK2]</t>
  </si>
  <si>
    <t>Les méthodes symplectic (conserve l'énergie) gardent-elles leur avantage quand la masse varie (ph propu) ?</t>
  </si>
  <si>
    <t>Sous Excel, on a les pas précédent (linear multistep possible), mais ordre élevé ou implicite sont à exclure.</t>
  </si>
  <si>
    <t>Multi{sub}step (RK), linear multi{previous}step (ADAMS), predictor-corrector, implicit …</t>
  </si>
  <si>
    <t>Dynamique de la fusée (repère sol)</t>
  </si>
  <si>
    <t>Brun/Orange…</t>
  </si>
  <si>
    <t>Rouge…</t>
  </si>
  <si>
    <t>Trajecto/StabTraj corrige l'erreur de Trajec sur Xn+1 en utilisant la vitesse moyenne :</t>
  </si>
  <si>
    <t>Idéalement, il serait préférable de tout calculer à n+0.5 (m, V, β, ρ).</t>
  </si>
  <si>
    <t>Checksum :</t>
  </si>
  <si>
    <t>M_éjecté</t>
  </si>
  <si>
    <t>M_burnout</t>
  </si>
  <si>
    <t>m_poudre</t>
  </si>
  <si>
    <t>Wapiti</t>
  </si>
  <si>
    <t>Cariacou</t>
  </si>
  <si>
    <t>H2O</t>
  </si>
  <si>
    <t>H2O 2.0L 400g 6bar</t>
  </si>
  <si>
    <t>H2O 2.0L 600g 6bar</t>
  </si>
  <si>
    <t>H2O 2.0L 800g 6bar</t>
  </si>
  <si>
    <t>H2O 2.0L 1000g 6bar</t>
  </si>
  <si>
    <t>ABACO</t>
  </si>
  <si>
    <t>Masse totale</t>
  </si>
  <si>
    <t>Traînée prop</t>
  </si>
  <si>
    <t>Traînée bal</t>
  </si>
  <si>
    <t>1/2.ρ.S.Cx</t>
  </si>
  <si>
    <t>M ph prop</t>
  </si>
  <si>
    <t>M ph bal</t>
  </si>
  <si>
    <t>alt_prop</t>
  </si>
  <si>
    <t>V_prop</t>
  </si>
  <si>
    <t>t_culmi</t>
  </si>
  <si>
    <t>D_var</t>
  </si>
  <si>
    <t>Q_var</t>
  </si>
  <si>
    <t>m_var</t>
  </si>
  <si>
    <t>m_prop</t>
  </si>
  <si>
    <t>m_bal</t>
  </si>
  <si>
    <t>a_prop</t>
  </si>
  <si>
    <t>b_prop</t>
  </si>
  <si>
    <t>b_bal</t>
  </si>
  <si>
    <t>Alt prop</t>
  </si>
  <si>
    <t>V max</t>
  </si>
  <si>
    <t>LibreOffice Calc 3.4 ou +</t>
  </si>
  <si>
    <t>alt_culmi</t>
  </si>
  <si>
    <t>x_triomphe</t>
  </si>
  <si>
    <t>z_triomphe</t>
  </si>
  <si>
    <t>Arc de triomphe</t>
  </si>
  <si>
    <t>z_Eiffel</t>
  </si>
  <si>
    <t>x_Eiffel</t>
  </si>
  <si>
    <t>Tour Eiffel</t>
  </si>
  <si>
    <t>H2O 1.5L 300g 6bar</t>
  </si>
  <si>
    <t>H2O 1.5L 450g 6bar</t>
  </si>
  <si>
    <t>H2O 1.5L 600g 6bar</t>
  </si>
  <si>
    <t>H2O 1.5L 750g 6bar</t>
  </si>
  <si>
    <t>FUSEX</t>
  </si>
  <si>
    <t>MINIF PRO29-1G</t>
  </si>
  <si>
    <t>MINIF PRO24-3G</t>
  </si>
  <si>
    <t>MINIF PRO29-2G</t>
  </si>
  <si>
    <t>MINIF PRO24-1G</t>
  </si>
  <si>
    <t>Pro98-3G WT</t>
  </si>
  <si>
    <t>p24-1G 24E22</t>
  </si>
  <si>
    <t>p24-1G 26E31</t>
  </si>
  <si>
    <t>p24-3G 60F50</t>
  </si>
  <si>
    <t>p24-3G 68F79</t>
  </si>
  <si>
    <t>p24-3G 68F240</t>
  </si>
  <si>
    <t>p24-3G 73F30</t>
  </si>
  <si>
    <t>p24-3G 74F85</t>
  </si>
  <si>
    <t>p24-3G 75F51</t>
  </si>
  <si>
    <t>StabTraj V3.1</t>
  </si>
  <si>
    <t>StabTraj V3.2</t>
  </si>
  <si>
    <t>µ-propu C6-3 x2</t>
  </si>
  <si>
    <t>µ-propu C6-3 x3</t>
  </si>
  <si>
    <t>Propu : +RC &amp; +Tintin 2013 : 3 p24-1G, p24-3G 75F51 &amp; 60F50, Pro98-2G &amp; 3G WT</t>
  </si>
  <si>
    <t>Propu : +multi-µ-fu, -Wapiti, warning Cariacou, "Rufina"</t>
  </si>
  <si>
    <t>Donneés au format des fiches de lancement Fusex :</t>
  </si>
  <si>
    <t>Projet</t>
  </si>
  <si>
    <t>Chef de projet</t>
  </si>
  <si>
    <t>Date</t>
  </si>
  <si>
    <t>Moteur</t>
  </si>
  <si>
    <t>Virole</t>
  </si>
  <si>
    <t>MECANIQUE</t>
  </si>
  <si>
    <t xml:space="preserve">l = </t>
  </si>
  <si>
    <t xml:space="preserve">D = </t>
  </si>
  <si>
    <t>Dj =</t>
  </si>
  <si>
    <t xml:space="preserve">Dr = </t>
  </si>
  <si>
    <t xml:space="preserve">m = </t>
  </si>
  <si>
    <t>Epaisseur :</t>
  </si>
  <si>
    <t>Nb Aileron</t>
  </si>
  <si>
    <t>Type ogive</t>
  </si>
  <si>
    <t>ogivale</t>
  </si>
  <si>
    <t>parabolique</t>
  </si>
  <si>
    <t>X_plaque de poussée</t>
  </si>
  <si>
    <t>Masse fusée</t>
  </si>
  <si>
    <t>X_CdG</t>
  </si>
  <si>
    <t>Propu plein</t>
  </si>
  <si>
    <t>Sans propu</t>
  </si>
  <si>
    <t>Masse avec propu vide</t>
  </si>
  <si>
    <t>Simulation de vol</t>
  </si>
  <si>
    <t>Tenue mécanique</t>
  </si>
  <si>
    <t>masse d'un aileron</t>
  </si>
  <si>
    <t>superficie d'un aileron</t>
  </si>
  <si>
    <t>fleche acceptable(mm)</t>
  </si>
  <si>
    <t>compression</t>
  </si>
  <si>
    <t>Resistance longitudinale d'un aileron</t>
  </si>
  <si>
    <t>Resistance transversale d'un aileron</t>
  </si>
  <si>
    <t>Récupération</t>
  </si>
  <si>
    <t>Ralentisseur</t>
  </si>
  <si>
    <t>nombre de suspentes</t>
  </si>
  <si>
    <t>surface parachute</t>
  </si>
  <si>
    <t>force à tester totale</t>
  </si>
  <si>
    <t>force sur suspente</t>
  </si>
  <si>
    <t>Séparation latérale</t>
  </si>
  <si>
    <t>masse au dessus case para</t>
  </si>
  <si>
    <t>Force de compression</t>
  </si>
  <si>
    <t>MINIF PRO24-6G</t>
  </si>
  <si>
    <t>MINIF PRO38-1G</t>
  </si>
  <si>
    <t>p29-2G 84G88</t>
  </si>
  <si>
    <t>p29-2G 93G80</t>
  </si>
  <si>
    <t>p29-2G 110G250</t>
  </si>
  <si>
    <t>p29-2G 116G126</t>
  </si>
  <si>
    <t>p38-1G 137G58</t>
  </si>
  <si>
    <t>p38-1G 128G185</t>
  </si>
  <si>
    <t>p29-1G 41F36</t>
  </si>
  <si>
    <t>p29-1G 51F36</t>
  </si>
  <si>
    <t>p29-1G 55F29</t>
  </si>
  <si>
    <t>p29-1G 56F120</t>
  </si>
  <si>
    <t>p29-1G 57F59</t>
  </si>
  <si>
    <t>MINIF PRO29-3G</t>
  </si>
  <si>
    <t>p29-3G 125G131</t>
  </si>
  <si>
    <t>p38-1G 141G78</t>
  </si>
  <si>
    <t>MINIF PRO24-2G</t>
  </si>
  <si>
    <t>p24-2G 50E51</t>
  </si>
  <si>
    <t>p24-1G 53E70</t>
  </si>
  <si>
    <t>p29-3G 159G125</t>
  </si>
  <si>
    <t>Dépotage</t>
  </si>
  <si>
    <t>Combustion</t>
  </si>
  <si>
    <t>Sylvain Besson</t>
  </si>
  <si>
    <t>Minif Test</t>
  </si>
  <si>
    <t>Rocketry Challenge</t>
  </si>
  <si>
    <t>,Minif Tests</t>
  </si>
  <si>
    <t>MiniR</t>
  </si>
  <si>
    <t>MiniRN</t>
  </si>
  <si>
    <t>MiniN</t>
  </si>
  <si>
    <t>H20</t>
  </si>
  <si>
    <t>micro</t>
  </si>
  <si>
    <t>minif N</t>
  </si>
  <si>
    <t>Verification moteur</t>
  </si>
  <si>
    <t>Minif RC</t>
  </si>
  <si>
    <t>N/A</t>
  </si>
  <si>
    <t>T_para =</t>
  </si>
  <si>
    <t>-9</t>
  </si>
  <si>
    <t>-7</t>
  </si>
  <si>
    <t>-5</t>
  </si>
  <si>
    <t>-3</t>
  </si>
  <si>
    <t>-0</t>
  </si>
  <si>
    <t>Délais dépotage</t>
  </si>
  <si>
    <t>Propu : +ProX, Stabilito : séparation minif/RC, Trajecto : dépotage +rampe RC 3m</t>
  </si>
  <si>
    <t>StabTraj V3.3a</t>
  </si>
  <si>
    <t>p24-1G 25E75 (Rufina)</t>
  </si>
  <si>
    <t>Modification des alertes, +Effort subit par les parachutes</t>
  </si>
  <si>
    <t>Pour prendre en compte plsu de moteurs, il faut changer les variables "menu_type" et "liste"propu" dans le gestionnaire de noms.</t>
  </si>
  <si>
    <t>StabTraj V3.3e</t>
  </si>
  <si>
    <t>Efforts</t>
  </si>
  <si>
    <t>Xcp0</t>
  </si>
  <si>
    <t>sans propu</t>
  </si>
  <si>
    <t>Mono-empennage</t>
  </si>
  <si>
    <t>Bi-empennage</t>
  </si>
  <si>
    <t>Portée balistique &lt; 200 m</t>
  </si>
  <si>
    <t>Indication dépotage lanceur</t>
  </si>
  <si>
    <t>~0 m</t>
  </si>
  <si>
    <t>Données au format des fiches de contrôles minif :</t>
  </si>
  <si>
    <t xml:space="preserve">n = </t>
  </si>
  <si>
    <t xml:space="preserve">E = </t>
  </si>
  <si>
    <t xml:space="preserve">p = </t>
  </si>
  <si>
    <t>1,5.D &lt; Ms &lt; 6.D</t>
  </si>
  <si>
    <t xml:space="preserve">ailrons haut </t>
  </si>
  <si>
    <t>nombre</t>
  </si>
  <si>
    <t xml:space="preserve">ep = </t>
  </si>
  <si>
    <t>Fusée</t>
  </si>
  <si>
    <t>D</t>
  </si>
  <si>
    <t>L ogive</t>
  </si>
  <si>
    <t>L tot</t>
  </si>
  <si>
    <t>X prop</t>
  </si>
  <si>
    <t>Ailerons</t>
  </si>
  <si>
    <t>n</t>
  </si>
  <si>
    <t>p</t>
  </si>
  <si>
    <t>E</t>
  </si>
  <si>
    <t>X ail</t>
  </si>
  <si>
    <t>Bi empennage</t>
  </si>
  <si>
    <t>L</t>
  </si>
  <si>
    <t>D 1</t>
  </si>
  <si>
    <t>D 2</t>
  </si>
  <si>
    <t>X</t>
  </si>
  <si>
    <t>X cg (sans)</t>
  </si>
  <si>
    <t>(mm)</t>
  </si>
  <si>
    <t>Masse sans propu (kg)</t>
  </si>
  <si>
    <t>Couleur de la fusée</t>
  </si>
  <si>
    <t>Type d'éjection du para.</t>
  </si>
  <si>
    <t>Couleur du ralentisseur</t>
  </si>
  <si>
    <t>Surface ralentisseur (m²)</t>
  </si>
  <si>
    <t>Masse sans prop. (kg)</t>
  </si>
  <si>
    <t>Diamètre max (mm)</t>
  </si>
  <si>
    <t>Longeur de la rampe (m)</t>
  </si>
  <si>
    <t>Propulseur</t>
  </si>
  <si>
    <t>module rocket(){</t>
  </si>
  <si>
    <t>}</t>
  </si>
  <si>
    <t>//--------------------------------coiffe</t>
  </si>
  <si>
    <t>if (coiffe_type   == "conique"){</t>
  </si>
  <si>
    <t>//--------------------------------corps</t>
  </si>
  <si>
    <t>if (plusieur_diametres == false){</t>
  </si>
  <si>
    <t>} else {</t>
  </si>
  <si>
    <t>//--------------------------------ailerons</t>
  </si>
  <si>
    <t>aileron(coiffe_diametre, aileron_m_emplature,</t>
  </si>
  <si>
    <t xml:space="preserve"> aileron_position_bas);</t>
  </si>
  <si>
    <t>if (bi_empennage == true){</t>
  </si>
  <si>
    <t xml:space="preserve"> aileron_sup_nombre,</t>
  </si>
  <si>
    <t>rocket();</t>
  </si>
  <si>
    <t xml:space="preserve">	module aileron(diam, m, n, p, e, ep, nb, pos, masque = true){</t>
  </si>
  <si>
    <t xml:space="preserve"> 		depha =   masque ? 0 : 45 ;</t>
  </si>
  <si>
    <t xml:space="preserve">		for (angle = [0 : 360/nb : 360] ){</t>
  </si>
  <si>
    <t xml:space="preserve">			translate ([-diam*sin(angle+depha), diam*cos(angle+depha), pos-m]) {</t>
  </si>
  <si>
    <t xml:space="preserve">				rotate( [0, 0, angle+depha] ){</t>
  </si>
  <si>
    <t xml:space="preserve">	</t>
  </si>
  <si>
    <t xml:space="preserve">					polyhedron</t>
  </si>
  <si>
    <t xml:space="preserve">						(points = [</t>
  </si>
  <si>
    <t xml:space="preserve">							[+ep, 0, 0], [+ep, 0, m], [+ep, e, p+n],  [+ep, e, p],</t>
  </si>
  <si>
    <t xml:space="preserve">							[-ep, 0, 0], [-ep, 0, m], [-ep, e, p+n],  [-ep, e, p]</t>
  </si>
  <si>
    <t xml:space="preserve">							],</t>
  </si>
  <si>
    <t xml:space="preserve">						triangles = [</t>
  </si>
  <si>
    <t xml:space="preserve">							[0, 2, 1], [0, 2, 3], //carre +</t>
  </si>
  <si>
    <t xml:space="preserve">							[4, 6, 5], [4, 6, 7], //carre -</t>
  </si>
  <si>
    <t xml:space="preserve">							[0, 5, 1], [0, 5, 4],</t>
  </si>
  <si>
    <t xml:space="preserve">							[1, 6, 2], [1, 6, 5],</t>
  </si>
  <si>
    <t xml:space="preserve">							[2, 7, 3], [2, 7, 6],</t>
  </si>
  <si>
    <t xml:space="preserve">							[0, 7, 3], [0, 7, 4]</t>
  </si>
  <si>
    <t xml:space="preserve">							]</t>
  </si>
  <si>
    <t xml:space="preserve">						);</t>
  </si>
  <si>
    <t xml:space="preserve">				}</t>
  </si>
  <si>
    <t xml:space="preserve">			}</t>
  </si>
  <si>
    <t xml:space="preserve">		}</t>
  </si>
  <si>
    <t xml:space="preserve">	}	</t>
  </si>
  <si>
    <t xml:space="preserve">	module coiffe(diam, hauteur, resolution = 20.0){</t>
  </si>
  <si>
    <t xml:space="preserve">		pas = hauteur/resolution;</t>
  </si>
  <si>
    <t xml:space="preserve">		for (x = [0: pas : hauteur] ){</t>
  </si>
  <si>
    <t xml:space="preserve">			translate( [0, 0, x+pas] ){</t>
  </si>
  <si>
    <t xml:space="preserve">				cylinder(pas, pow(x, 1.0/2.0), pow(x+pas, 1.0/2.0), false);</t>
  </si>
  <si>
    <t xml:space="preserve">	}</t>
  </si>
  <si>
    <t xml:space="preserve">	cylinder(coiffe_hauteur, 0, coiffe_diametre, false);</t>
  </si>
  <si>
    <t xml:space="preserve">	translate ([0, 0, coiffe_hauteur]) {</t>
  </si>
  <si>
    <t xml:space="preserve">		cylinder(longeur_total-coiffe_hauteur, coiffe_diametre, coiffe_diametre, false);</t>
  </si>
  <si>
    <t xml:space="preserve">	//Premier cylindre</t>
  </si>
  <si>
    <t xml:space="preserve">		cylinder(diam_A_X_implantation-coiffe_hauteur, coiffe_diametre, coiffe_diametre, false);</t>
  </si>
  <si>
    <t xml:space="preserve">	//Premier chanvrin</t>
  </si>
  <si>
    <t xml:space="preserve">	translate ([0, 0, diam_A_X_implantation]) {</t>
  </si>
  <si>
    <t xml:space="preserve">		cylinder(diam_A_L_longeur, diam_A_D1_diametre, diam_A_D2_diametre, false);</t>
  </si>
  <si>
    <t xml:space="preserve">		</t>
  </si>
  <si>
    <t xml:space="preserve">	//Second cylindre</t>
  </si>
  <si>
    <t xml:space="preserve">	translate ([0, 0, diam_A_X_implantation+diam_A_L_longeur]) {</t>
  </si>
  <si>
    <t xml:space="preserve">		cylinder(diam_B_X_implantation-(diam_A_X_implantation+diam_A_L_longeur), diam_A_D2_diametre, diam_B_D1_diametre, false);</t>
  </si>
  <si>
    <t xml:space="preserve">	//Second chanvrin</t>
  </si>
  <si>
    <t xml:space="preserve">	translate ([0, 0, diam_B_X_implantation]) {</t>
  </si>
  <si>
    <t xml:space="preserve">		cylinder(diam_B_L_longeur, diam_B_D1_diametre, diam_B_D2_diametre, false);</t>
  </si>
  <si>
    <t xml:space="preserve">	//Troisieme cylindre</t>
  </si>
  <si>
    <t xml:space="preserve">	translate ([0, 0, diam_B_X_implantation + diam_B_L_longeur]) {</t>
  </si>
  <si>
    <t xml:space="preserve">		cylinder(longeur_total-(diam_B_X_implantation + diam_B_L_longeur), diam_B_D2_diametre, diam_B_D2_diametre, false);</t>
  </si>
  <si>
    <t xml:space="preserve">	 aileron_n_saumon, </t>
  </si>
  <si>
    <t xml:space="preserve">	 aileron_p_fleche,</t>
  </si>
  <si>
    <t xml:space="preserve">	 aileron_e_envergure,</t>
  </si>
  <si>
    <t xml:space="preserve">	 aileron_epaisseur,</t>
  </si>
  <si>
    <t xml:space="preserve">	 aileron_nombre,</t>
  </si>
  <si>
    <t xml:space="preserve">	aileron(coiffe_diametre, aileron_sup_m_emplature,</t>
  </si>
  <si>
    <t xml:space="preserve">	 aileron_sup_n_saumon,</t>
  </si>
  <si>
    <t xml:space="preserve">	 aileron_sup_p_fleche,</t>
  </si>
  <si>
    <t xml:space="preserve">	 aileron_sup_e_envergure,</t>
  </si>
  <si>
    <t xml:space="preserve">	 aileron_sup_epaisseur,</t>
  </si>
  <si>
    <t xml:space="preserve">	 aileron_sup_position_bas,</t>
  </si>
  <si>
    <t xml:space="preserve">	 aileron_sup_masque);</t>
  </si>
  <si>
    <t>p24-6G 140G145 PK</t>
  </si>
  <si>
    <t>p24-6G 139G107 DT</t>
  </si>
  <si>
    <t>p24-6G 142G117 WT</t>
  </si>
  <si>
    <t>Klima D9-7 x2</t>
  </si>
  <si>
    <t>Klima D9-7 x3</t>
  </si>
  <si>
    <t>Klima D9-7</t>
  </si>
  <si>
    <t>StabTraj V3.4.1</t>
  </si>
  <si>
    <t>Propu : +Klima D9</t>
  </si>
  <si>
    <t>p29-1G 56F31</t>
  </si>
  <si>
    <t xml:space="preserve"> 143G150 BS</t>
  </si>
  <si>
    <t>StabTraj V3.4.2</t>
  </si>
  <si>
    <t>Ajout propu</t>
  </si>
  <si>
    <t>Pandora (Pro24-6G BS)</t>
  </si>
  <si>
    <t>Barasinga (Pro54-5G C)</t>
  </si>
  <si>
    <t>Orignal (Pro75-3G C)</t>
  </si>
  <si>
    <t>Blastocerus (Pro98-6GXL RL)</t>
  </si>
  <si>
    <t>Pro54-5G WT</t>
  </si>
  <si>
    <t>Flavien DENIS</t>
  </si>
  <si>
    <t>Ajout Pro54-5G WT et Pro98-6G Green</t>
  </si>
  <si>
    <t>StabTraj V3.4.3</t>
  </si>
  <si>
    <t>Pro98-6G Green</t>
  </si>
  <si>
    <t>StabTraj V3.4.4</t>
  </si>
  <si>
    <t>Type de para</t>
  </si>
  <si>
    <t>Rond</t>
  </si>
  <si>
    <t>Croix</t>
  </si>
  <si>
    <t>Autre</t>
  </si>
  <si>
    <t>Unification Type Minif et RC + liste déroulante pour le type de parachute.</t>
  </si>
  <si>
    <t>Matricule</t>
  </si>
  <si>
    <t>Matriucle</t>
  </si>
  <si>
    <t>Corrections mineurs</t>
  </si>
  <si>
    <t>StabTraj V3.4.5</t>
  </si>
  <si>
    <t>v3.4.5</t>
  </si>
  <si>
    <t>Fusée expérimentale.</t>
  </si>
  <si>
    <t>L'AéroIPSA</t>
  </si>
  <si>
    <t>Conique (droite)</t>
  </si>
  <si>
    <t>Plusieurs diamètres.</t>
  </si>
  <si>
    <t>SP02</t>
  </si>
  <si>
    <t>OpenRocket</t>
  </si>
  <si>
    <t>MS</t>
  </si>
  <si>
    <t>Cnalpha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</si>
</sst>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3">
    <numFmt numFmtId="164" formatCode="General&quot; kg&quot;"/>
    <numFmt numFmtId="165" formatCode="0.0"/>
    <numFmt numFmtId="166" formatCode="0.000000&quot; m²&quot;"/>
    <numFmt numFmtId="167" formatCode="General&quot; m&quot;"/>
    <numFmt numFmtId="168" formatCode="General&quot; °&quot;"/>
    <numFmt numFmtId="169" formatCode="0.000"/>
    <numFmt numFmtId="170" formatCode="General&quot; s&quot;"/>
    <numFmt numFmtId="171" formatCode="General&quot; m²&quot;"/>
    <numFmt numFmtId="172" formatCode="0&quot; m/s&quot;"/>
    <numFmt numFmtId="173" formatCode="0&quot; s&quot;"/>
    <numFmt numFmtId="174" formatCode="General&quot; m/s&quot;"/>
    <numFmt numFmtId="175" formatCode="0&quot; m&quot;"/>
    <numFmt numFmtId="176" formatCode="General\ &quot;kg&quot;"/>
    <numFmt numFmtId="177" formatCode="General\ &quot;mm&quot;"/>
    <numFmt numFmtId="178" formatCode="0&quot; mm&quot;"/>
    <numFmt numFmtId="179" formatCode="General\ &quot;D&quot;"/>
    <numFmt numFmtId="180" formatCode="0.00&quot; D&quot;"/>
    <numFmt numFmtId="181" formatCode="0&quot;% L&quot;"/>
    <numFmt numFmtId="182" formatCode="General\°"/>
    <numFmt numFmtId="183" formatCode="0.#"/>
    <numFmt numFmtId="184" formatCode="0.0&quot; N.s&quot;"/>
    <numFmt numFmtId="185" formatCode="\±\ 0&quot; m&quot;"/>
    <numFmt numFmtId="186" formatCode="0.0&quot; s&quot;"/>
    <numFmt numFmtId="187" formatCode="0.0&quot; m/s&quot;"/>
    <numFmt numFmtId="188" formatCode="0&quot; m/s²&quot;"/>
    <numFmt numFmtId="189" formatCode="0.00&quot; m²&quot;"/>
    <numFmt numFmtId="190" formatCode="General\ &quot;g&quot;"/>
    <numFmt numFmtId="191" formatCode="#,##0.0\ [$ N]"/>
    <numFmt numFmtId="192" formatCode="#,##0.000\ [$KG]"/>
    <numFmt numFmtId="193" formatCode="0.0&quot; mm&quot;"/>
    <numFmt numFmtId="194" formatCode="General&quot; kg ±100%&quot;"/>
    <numFmt numFmtId="195" formatCode="0&quot; mm ±50%&quot;"/>
    <numFmt numFmtId="196" formatCode="General\ &quot;m/s²&quot;"/>
    <numFmt numFmtId="197" formatCode="&quot;Ø = &quot;0&quot; mm&quot;"/>
    <numFmt numFmtId="198" formatCode="#,##0\ [$ mm²]"/>
    <numFmt numFmtId="199" formatCode="#,#00\ [$ mm]"/>
    <numFmt numFmtId="200" formatCode="#,##0\ [$mm]"/>
    <numFmt numFmtId="201" formatCode="#,##0.00000\ [$ m²]"/>
    <numFmt numFmtId="202" formatCode="#,##0.0\ [$ kg]"/>
    <numFmt numFmtId="203" formatCode="0.00&quot; s&quot;"/>
    <numFmt numFmtId="204" formatCode="0.0&quot; N&quot;"/>
    <numFmt numFmtId="205" formatCode="0&quot; J&quot;"/>
    <numFmt numFmtId="206" formatCode="0&quot; G&quot;"/>
  </numFmts>
  <fonts count="52" x14ac:knownFonts="1">
    <font>
      <sz val="10"/>
      <name val="Arial"/>
      <family val="2"/>
    </font>
    <font>
      <sz val="10"/>
      <name val="Arial"/>
      <family val="2"/>
    </font>
    <font>
      <b/>
      <sz val="10"/>
      <name val="Arial"/>
      <family val="2"/>
    </font>
    <font>
      <b/>
      <sz val="20"/>
      <color indexed="9"/>
      <name val="Arial"/>
      <family val="2"/>
    </font>
    <font>
      <b/>
      <sz val="12"/>
      <name val="Times New Roman"/>
      <family val="1"/>
    </font>
    <font>
      <b/>
      <sz val="9"/>
      <name val="Arial"/>
      <family val="2"/>
    </font>
    <font>
      <b/>
      <u/>
      <sz val="10"/>
      <name val="Arial"/>
      <family val="2"/>
    </font>
    <font>
      <sz val="10"/>
      <color indexed="9"/>
      <name val="Arial"/>
      <family val="2"/>
    </font>
    <font>
      <sz val="8"/>
      <name val="Arial"/>
      <family val="2"/>
    </font>
    <font>
      <u/>
      <sz val="10"/>
      <name val="Arial"/>
      <family val="2"/>
    </font>
    <font>
      <u/>
      <sz val="10"/>
      <color indexed="12"/>
      <name val="Arial"/>
      <family val="2"/>
    </font>
    <font>
      <b/>
      <sz val="10"/>
      <color indexed="18"/>
      <name val="Arial"/>
      <family val="2"/>
    </font>
    <font>
      <b/>
      <sz val="10"/>
      <color indexed="58"/>
      <name val="Arial"/>
      <family val="2"/>
    </font>
    <font>
      <b/>
      <sz val="10"/>
      <color indexed="17"/>
      <name val="Arial"/>
      <family val="2"/>
    </font>
    <font>
      <b/>
      <sz val="10"/>
      <color indexed="23"/>
      <name val="Arial"/>
      <family val="2"/>
    </font>
    <font>
      <sz val="10"/>
      <name val="Arial"/>
      <family val="2"/>
    </font>
    <font>
      <b/>
      <sz val="10"/>
      <color indexed="10"/>
      <name val="Arial"/>
      <family val="2"/>
    </font>
    <font>
      <b/>
      <sz val="14"/>
      <color indexed="10"/>
      <name val="Arial"/>
      <family val="2"/>
    </font>
    <font>
      <sz val="8"/>
      <color indexed="8"/>
      <name val="Tahoma"/>
      <family val="2"/>
    </font>
    <font>
      <i/>
      <sz val="8"/>
      <color indexed="8"/>
      <name val="Tahoma"/>
      <family val="2"/>
    </font>
    <font>
      <b/>
      <sz val="8"/>
      <color indexed="8"/>
      <name val="Tahoma"/>
      <family val="2"/>
    </font>
    <font>
      <sz val="8"/>
      <color indexed="10"/>
      <name val="Tahoma"/>
      <family val="2"/>
    </font>
    <font>
      <i/>
      <sz val="8"/>
      <color indexed="10"/>
      <name val="Tahoma"/>
      <family val="2"/>
    </font>
    <font>
      <b/>
      <u/>
      <sz val="8"/>
      <color indexed="8"/>
      <name val="Tahoma"/>
      <family val="2"/>
    </font>
    <font>
      <b/>
      <sz val="8"/>
      <color indexed="16"/>
      <name val="Tahoma"/>
      <family val="2"/>
    </font>
    <font>
      <i/>
      <sz val="8"/>
      <color indexed="16"/>
      <name val="Tahoma"/>
      <family val="2"/>
    </font>
    <font>
      <strike/>
      <sz val="10"/>
      <name val="Arial"/>
      <family val="2"/>
    </font>
    <font>
      <b/>
      <i/>
      <sz val="8"/>
      <color indexed="8"/>
      <name val="Tahoma"/>
      <family val="2"/>
    </font>
    <font>
      <b/>
      <sz val="10"/>
      <color indexed="23"/>
      <name val="Arial"/>
      <family val="2"/>
    </font>
    <font>
      <b/>
      <sz val="6"/>
      <name val="Arial"/>
      <family val="2"/>
    </font>
    <font>
      <sz val="8"/>
      <color indexed="23"/>
      <name val="Arial"/>
      <family val="2"/>
    </font>
    <font>
      <b/>
      <sz val="10"/>
      <color indexed="23"/>
      <name val="Arial"/>
      <family val="2"/>
    </font>
    <font>
      <b/>
      <sz val="10"/>
      <color indexed="23"/>
      <name val="Arial"/>
      <family val="2"/>
    </font>
    <font>
      <sz val="10"/>
      <color indexed="23"/>
      <name val="Arial"/>
      <family val="2"/>
    </font>
    <font>
      <sz val="10"/>
      <color indexed="12"/>
      <name val="Arial"/>
      <family val="2"/>
    </font>
    <font>
      <b/>
      <sz val="12"/>
      <name val="Arial"/>
      <family val="2"/>
    </font>
    <font>
      <b/>
      <sz val="8"/>
      <name val="Arial"/>
      <family val="2"/>
    </font>
    <font>
      <sz val="8"/>
      <color indexed="12"/>
      <name val="Tahoma"/>
      <family val="2"/>
    </font>
    <font>
      <i/>
      <sz val="8"/>
      <color indexed="12"/>
      <name val="Tahoma"/>
      <family val="2"/>
    </font>
    <font>
      <sz val="8"/>
      <color indexed="81"/>
      <name val="Tahoma"/>
      <family val="2"/>
    </font>
    <font>
      <i/>
      <sz val="8"/>
      <color indexed="81"/>
      <name val="Tahoma"/>
      <family val="2"/>
    </font>
    <font>
      <b/>
      <sz val="10"/>
      <color indexed="53"/>
      <name val="Arial"/>
      <family val="2"/>
    </font>
    <font>
      <b/>
      <u/>
      <sz val="12"/>
      <name val="Arial"/>
      <family val="2"/>
    </font>
    <font>
      <b/>
      <i/>
      <sz val="10"/>
      <name val="Arial"/>
      <family val="2"/>
    </font>
    <font>
      <b/>
      <sz val="8"/>
      <color indexed="81"/>
      <name val="Tahoma"/>
      <family val="2"/>
    </font>
    <font>
      <b/>
      <sz val="10"/>
      <color rgb="FFFF0000"/>
      <name val="Arial"/>
      <family val="2"/>
    </font>
    <font>
      <b/>
      <sz val="10"/>
      <color rgb="FF808080"/>
      <name val="Arial"/>
      <family val="2"/>
    </font>
    <font>
      <sz val="10"/>
      <color rgb="FF808080"/>
      <name val="Arial"/>
      <family val="2"/>
    </font>
    <font>
      <sz val="8"/>
      <color rgb="FF808080"/>
      <name val="Arial"/>
      <family val="2"/>
    </font>
    <font>
      <sz val="8"/>
      <color theme="0"/>
      <name val="Arial"/>
      <family val="2"/>
    </font>
    <font>
      <sz val="10"/>
      <color rgb="FFFF0000"/>
      <name val="Arial"/>
      <family val="2"/>
    </font>
    <font>
      <b/>
      <sz val="10"/>
      <color theme="1"/>
      <name val="Arial"/>
      <family val="2"/>
    </font>
  </fonts>
  <fills count="35">
    <fill>
      <patternFill patternType="none"/>
    </fill>
    <fill>
      <patternFill patternType="gray125"/>
    </fill>
    <fill>
      <patternFill patternType="solid">
        <fgColor indexed="9"/>
        <bgColor indexed="26"/>
      </patternFill>
    </fill>
    <fill>
      <patternFill patternType="solid">
        <fgColor indexed="43"/>
        <bgColor indexed="42"/>
      </patternFill>
    </fill>
    <fill>
      <patternFill patternType="solid">
        <fgColor indexed="43"/>
        <bgColor indexed="64"/>
      </patternFill>
    </fill>
    <fill>
      <patternFill patternType="solid">
        <fgColor indexed="27"/>
        <bgColor indexed="64"/>
      </patternFill>
    </fill>
    <fill>
      <patternFill patternType="solid">
        <fgColor indexed="44"/>
        <bgColor indexed="64"/>
      </patternFill>
    </fill>
    <fill>
      <patternFill patternType="solid">
        <fgColor indexed="27"/>
        <bgColor indexed="42"/>
      </patternFill>
    </fill>
    <fill>
      <patternFill patternType="solid">
        <fgColor indexed="44"/>
        <bgColor indexed="27"/>
      </patternFill>
    </fill>
    <fill>
      <patternFill patternType="solid">
        <fgColor indexed="44"/>
        <bgColor indexed="22"/>
      </patternFill>
    </fill>
    <fill>
      <patternFill patternType="solid">
        <fgColor indexed="47"/>
        <bgColor indexed="64"/>
      </patternFill>
    </fill>
    <fill>
      <patternFill patternType="solid">
        <fgColor indexed="47"/>
        <bgColor indexed="27"/>
      </patternFill>
    </fill>
    <fill>
      <patternFill patternType="solid">
        <fgColor indexed="47"/>
        <bgColor indexed="44"/>
      </patternFill>
    </fill>
    <fill>
      <patternFill patternType="solid">
        <fgColor indexed="42"/>
        <bgColor indexed="42"/>
      </patternFill>
    </fill>
    <fill>
      <patternFill patternType="solid">
        <fgColor indexed="42"/>
        <bgColor indexed="64"/>
      </patternFill>
    </fill>
    <fill>
      <patternFill patternType="solid">
        <fgColor indexed="43"/>
        <bgColor indexed="44"/>
      </patternFill>
    </fill>
    <fill>
      <patternFill patternType="solid">
        <fgColor indexed="26"/>
        <bgColor indexed="41"/>
      </patternFill>
    </fill>
    <fill>
      <patternFill patternType="solid">
        <fgColor indexed="42"/>
        <bgColor indexed="41"/>
      </patternFill>
    </fill>
    <fill>
      <patternFill patternType="solid">
        <fgColor indexed="43"/>
        <bgColor indexed="41"/>
      </patternFill>
    </fill>
    <fill>
      <patternFill patternType="solid">
        <fgColor indexed="8"/>
        <bgColor indexed="64"/>
      </patternFill>
    </fill>
    <fill>
      <patternFill patternType="solid">
        <fgColor indexed="8"/>
        <bgColor indexed="58"/>
      </patternFill>
    </fill>
    <fill>
      <patternFill patternType="solid">
        <fgColor rgb="FFCCFFFF"/>
        <bgColor indexed="41"/>
      </patternFill>
    </fill>
    <fill>
      <patternFill patternType="solid">
        <fgColor rgb="FF99CCFF"/>
        <bgColor indexed="31"/>
      </patternFill>
    </fill>
    <fill>
      <patternFill patternType="solid">
        <fgColor rgb="FFCCFFFF"/>
        <bgColor indexed="42"/>
      </patternFill>
    </fill>
    <fill>
      <patternFill patternType="solid">
        <fgColor rgb="FFCCFFCC"/>
        <bgColor indexed="42"/>
      </patternFill>
    </fill>
    <fill>
      <patternFill patternType="solid">
        <fgColor rgb="FFCCFFCC"/>
        <bgColor indexed="41"/>
      </patternFill>
    </fill>
    <fill>
      <patternFill patternType="solid">
        <fgColor rgb="FFFFCC99"/>
        <bgColor indexed="31"/>
      </patternFill>
    </fill>
    <fill>
      <patternFill patternType="solid">
        <fgColor rgb="FF99CCFF"/>
        <bgColor indexed="64"/>
      </patternFill>
    </fill>
    <fill>
      <patternFill patternType="solid">
        <fgColor rgb="FFFFCC99"/>
        <bgColor indexed="64"/>
      </patternFill>
    </fill>
    <fill>
      <patternFill patternType="solid">
        <fgColor rgb="FFCCFFCC"/>
        <bgColor indexed="64"/>
      </patternFill>
    </fill>
    <fill>
      <patternFill patternType="solid">
        <fgColor rgb="FFFFFF99"/>
        <bgColor indexed="64"/>
      </patternFill>
    </fill>
    <fill>
      <patternFill patternType="solid">
        <fgColor rgb="FFFFCC99"/>
        <bgColor indexed="42"/>
      </patternFill>
    </fill>
    <fill>
      <patternFill patternType="solid">
        <fgColor rgb="FFCCFFFF"/>
        <bgColor indexed="64"/>
      </patternFill>
    </fill>
    <fill>
      <patternFill patternType="solid">
        <fgColor rgb="FFFFFF99"/>
        <bgColor indexed="42"/>
      </patternFill>
    </fill>
    <fill>
      <patternFill patternType="solid">
        <fgColor theme="0" tint="-0.499984740745262"/>
        <bgColor indexed="64"/>
      </patternFill>
    </fill>
  </fills>
  <borders count="104">
    <border>
      <left/>
      <right/>
      <top/>
      <bottom/>
      <diagonal/>
    </border>
    <border>
      <left style="medium">
        <color indexed="8"/>
      </left>
      <right style="medium">
        <color indexed="8"/>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double">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8"/>
      </right>
      <top style="medium">
        <color indexed="8"/>
      </top>
      <bottom style="medium">
        <color indexed="8"/>
      </bottom>
      <diagonal/>
    </border>
    <border>
      <left style="hair">
        <color indexed="8"/>
      </left>
      <right style="hair">
        <color indexed="8"/>
      </right>
      <top style="hair">
        <color indexed="8"/>
      </top>
      <bottom style="hair">
        <color indexed="8"/>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23"/>
      </bottom>
      <diagonal/>
    </border>
    <border>
      <left style="thin">
        <color indexed="8"/>
      </left>
      <right style="thin">
        <color indexed="8"/>
      </right>
      <top style="thin">
        <color indexed="23"/>
      </top>
      <bottom style="thin">
        <color indexed="8"/>
      </bottom>
      <diagonal/>
    </border>
    <border>
      <left style="thin">
        <color indexed="8"/>
      </left>
      <right/>
      <top style="thin">
        <color indexed="8"/>
      </top>
      <bottom style="thin">
        <color indexed="8"/>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8"/>
      </right>
      <top style="thin">
        <color indexed="8"/>
      </top>
      <bottom style="thin">
        <color indexed="8"/>
      </bottom>
      <diagonal/>
    </border>
    <border>
      <left style="thick">
        <color indexed="11"/>
      </left>
      <right style="thick">
        <color indexed="11"/>
      </right>
      <top style="thick">
        <color indexed="11"/>
      </top>
      <bottom style="thick">
        <color indexed="11"/>
      </bottom>
      <diagonal/>
    </border>
    <border>
      <left style="thick">
        <color indexed="11"/>
      </left>
      <right style="thick">
        <color indexed="57"/>
      </right>
      <top style="thick">
        <color indexed="57"/>
      </top>
      <bottom style="thick">
        <color indexed="57"/>
      </bottom>
      <diagonal/>
    </border>
    <border>
      <left style="thick">
        <color indexed="57"/>
      </left>
      <right style="mediumDashed">
        <color indexed="10"/>
      </right>
      <top style="mediumDashed">
        <color indexed="10"/>
      </top>
      <bottom style="mediumDashed">
        <color indexed="10"/>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64"/>
      </bottom>
      <diagonal/>
    </border>
    <border>
      <left style="thin">
        <color indexed="8"/>
      </left>
      <right style="medium">
        <color indexed="8"/>
      </right>
      <top style="thin">
        <color indexed="8"/>
      </top>
      <bottom style="thin">
        <color indexed="64"/>
      </bottom>
      <diagonal/>
    </border>
    <border>
      <left style="medium">
        <color indexed="8"/>
      </left>
      <right style="thin">
        <color indexed="8"/>
      </right>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style="thin">
        <color indexed="8"/>
      </top>
      <bottom/>
      <diagonal/>
    </border>
    <border>
      <left style="thin">
        <color indexed="8"/>
      </left>
      <right style="thin">
        <color indexed="8"/>
      </right>
      <top style="thin">
        <color indexed="8"/>
      </top>
      <bottom style="thin">
        <color indexed="64"/>
      </bottom>
      <diagonal/>
    </border>
    <border>
      <left style="medium">
        <color indexed="8"/>
      </left>
      <right style="medium">
        <color indexed="8"/>
      </right>
      <top/>
      <bottom style="thin">
        <color indexed="8"/>
      </bottom>
      <diagonal/>
    </border>
    <border>
      <left style="thin">
        <color indexed="8"/>
      </left>
      <right style="medium">
        <color indexed="8"/>
      </right>
      <top style="thin">
        <color indexed="8"/>
      </top>
      <bottom/>
      <diagonal/>
    </border>
    <border>
      <left style="thin">
        <color indexed="8"/>
      </left>
      <right style="thin">
        <color indexed="8"/>
      </right>
      <top style="thin">
        <color indexed="8"/>
      </top>
      <bottom/>
      <diagonal/>
    </border>
    <border>
      <left style="medium">
        <color indexed="8"/>
      </left>
      <right style="medium">
        <color indexed="8"/>
      </right>
      <top style="thin">
        <color indexed="8"/>
      </top>
      <bottom/>
      <diagonal/>
    </border>
    <border>
      <left style="medium">
        <color indexed="8"/>
      </left>
      <right/>
      <top style="thin">
        <color indexed="8"/>
      </top>
      <bottom/>
      <diagonal/>
    </border>
    <border>
      <left/>
      <right/>
      <top style="thin">
        <color indexed="8"/>
      </top>
      <bottom/>
      <diagonal/>
    </border>
    <border>
      <left/>
      <right style="medium">
        <color indexed="8"/>
      </right>
      <top style="thin">
        <color indexed="8"/>
      </top>
      <bottom/>
      <diagonal/>
    </border>
    <border>
      <left style="medium">
        <color indexed="8"/>
      </left>
      <right style="medium">
        <color indexed="8"/>
      </right>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medium">
        <color indexed="8"/>
      </left>
      <right/>
      <top/>
      <bottom/>
      <diagonal/>
    </border>
    <border>
      <left/>
      <right style="medium">
        <color indexed="8"/>
      </right>
      <top/>
      <bottom/>
      <diagonal/>
    </border>
    <border>
      <left/>
      <right style="thin">
        <color indexed="64"/>
      </right>
      <top style="thin">
        <color indexed="8"/>
      </top>
      <bottom/>
      <diagonal/>
    </border>
    <border>
      <left style="medium">
        <color indexed="64"/>
      </left>
      <right style="medium">
        <color indexed="64"/>
      </right>
      <top style="medium">
        <color indexed="64"/>
      </top>
      <bottom style="medium">
        <color indexed="64"/>
      </bottom>
      <diagonal/>
    </border>
    <border>
      <left/>
      <right/>
      <top style="medium">
        <color indexed="8"/>
      </top>
      <bottom style="medium">
        <color indexed="8"/>
      </bottom>
      <diagonal/>
    </border>
    <border>
      <left style="thin">
        <color indexed="8"/>
      </left>
      <right/>
      <top style="thin">
        <color indexed="8"/>
      </top>
      <bottom/>
      <diagonal/>
    </border>
    <border>
      <left style="thin">
        <color indexed="8"/>
      </left>
      <right/>
      <top/>
      <bottom style="thin">
        <color indexed="8"/>
      </bottom>
      <diagonal/>
    </border>
    <border>
      <left style="thin">
        <color indexed="8"/>
      </left>
      <right style="thin">
        <color indexed="8"/>
      </right>
      <top style="thin">
        <color indexed="64"/>
      </top>
      <bottom style="thin">
        <color indexed="8"/>
      </bottom>
      <diagonal/>
    </border>
    <border>
      <left style="thin">
        <color indexed="8"/>
      </left>
      <right style="thin">
        <color indexed="64"/>
      </right>
      <top style="thin">
        <color indexed="64"/>
      </top>
      <bottom style="thin">
        <color indexed="8"/>
      </bottom>
      <diagonal/>
    </border>
    <border>
      <left style="thin">
        <color indexed="8"/>
      </left>
      <right style="thin">
        <color indexed="64"/>
      </right>
      <top style="thin">
        <color indexed="8"/>
      </top>
      <bottom style="thin">
        <color indexed="8"/>
      </bottom>
      <diagonal/>
    </border>
    <border>
      <left style="thin">
        <color indexed="8"/>
      </left>
      <right style="thin">
        <color indexed="64"/>
      </right>
      <top style="thin">
        <color indexed="8"/>
      </top>
      <bottom style="thin">
        <color indexed="23"/>
      </bottom>
      <diagonal/>
    </border>
    <border>
      <left style="thin">
        <color indexed="8"/>
      </left>
      <right style="thin">
        <color indexed="64"/>
      </right>
      <top style="thin">
        <color indexed="8"/>
      </top>
      <bottom style="thin">
        <color indexed="64"/>
      </bottom>
      <diagonal/>
    </border>
    <border>
      <left/>
      <right style="thin">
        <color indexed="8"/>
      </right>
      <top style="thin">
        <color indexed="8"/>
      </top>
      <bottom style="thin">
        <color indexed="64"/>
      </bottom>
      <diagonal/>
    </border>
    <border>
      <left style="thin">
        <color indexed="8"/>
      </left>
      <right/>
      <top style="thin">
        <color indexed="8"/>
      </top>
      <bottom style="thin">
        <color indexed="64"/>
      </bottom>
      <diagonal/>
    </border>
    <border>
      <left style="thick">
        <color indexed="14"/>
      </left>
      <right style="thin">
        <color indexed="64"/>
      </right>
      <top style="thick">
        <color indexed="14"/>
      </top>
      <bottom style="thick">
        <color indexed="14"/>
      </bottom>
      <diagonal/>
    </border>
    <border>
      <left style="thin">
        <color indexed="64"/>
      </left>
      <right style="thick">
        <color indexed="14"/>
      </right>
      <top style="thick">
        <color indexed="14"/>
      </top>
      <bottom style="thick">
        <color indexed="14"/>
      </bottom>
      <diagonal/>
    </border>
    <border>
      <left style="thin">
        <color indexed="64"/>
      </left>
      <right style="double">
        <color indexed="64"/>
      </right>
      <top/>
      <bottom style="thin">
        <color indexed="64"/>
      </bottom>
      <diagonal/>
    </border>
    <border>
      <left style="thick">
        <color indexed="20"/>
      </left>
      <right/>
      <top style="thick">
        <color indexed="20"/>
      </top>
      <bottom style="thick">
        <color indexed="20"/>
      </bottom>
      <diagonal/>
    </border>
    <border>
      <left/>
      <right style="thick">
        <color indexed="20"/>
      </right>
      <top style="thick">
        <color indexed="20"/>
      </top>
      <bottom style="thick">
        <color indexed="20"/>
      </bottom>
      <diagonal/>
    </border>
    <border>
      <left style="thick">
        <color indexed="18"/>
      </left>
      <right/>
      <top style="thick">
        <color indexed="18"/>
      </top>
      <bottom style="thick">
        <color indexed="18"/>
      </bottom>
      <diagonal/>
    </border>
    <border>
      <left/>
      <right style="thick">
        <color indexed="18"/>
      </right>
      <top style="thick">
        <color indexed="18"/>
      </top>
      <bottom style="thick">
        <color indexed="18"/>
      </bottom>
      <diagonal/>
    </border>
    <border>
      <left/>
      <right style="double">
        <color indexed="64"/>
      </right>
      <top style="thin">
        <color indexed="64"/>
      </top>
      <bottom style="thin">
        <color indexed="64"/>
      </bottom>
      <diagonal/>
    </border>
    <border>
      <left/>
      <right/>
      <top style="thin">
        <color indexed="64"/>
      </top>
      <bottom style="thick">
        <color indexed="20"/>
      </bottom>
      <diagonal/>
    </border>
    <border>
      <left/>
      <right style="double">
        <color indexed="64"/>
      </right>
      <top/>
      <bottom style="thin">
        <color indexed="64"/>
      </bottom>
      <diagonal/>
    </border>
    <border>
      <left style="thin">
        <color indexed="8"/>
      </left>
      <right/>
      <top style="thin">
        <color indexed="23"/>
      </top>
      <bottom style="thin">
        <color indexed="8"/>
      </bottom>
      <diagonal/>
    </border>
    <border>
      <left/>
      <right style="thin">
        <color indexed="8"/>
      </right>
      <top style="thin">
        <color indexed="23"/>
      </top>
      <bottom style="thin">
        <color indexed="8"/>
      </bottom>
      <diagonal/>
    </border>
    <border>
      <left style="thin">
        <color indexed="8"/>
      </left>
      <right style="thin">
        <color indexed="8"/>
      </right>
      <top/>
      <bottom style="thin">
        <color indexed="8"/>
      </bottom>
      <diagonal/>
    </border>
    <border>
      <left style="thin">
        <color indexed="8"/>
      </left>
      <right/>
      <top style="thin">
        <color indexed="8"/>
      </top>
      <bottom style="thin">
        <color indexed="23"/>
      </bottom>
      <diagonal/>
    </border>
    <border>
      <left/>
      <right style="thin">
        <color indexed="8"/>
      </right>
      <top style="thin">
        <color indexed="8"/>
      </top>
      <bottom style="thin">
        <color indexed="23"/>
      </bottom>
      <diagonal/>
    </border>
    <border>
      <left style="thin">
        <color indexed="64"/>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style="thin">
        <color indexed="64"/>
      </left>
      <right style="double">
        <color indexed="8"/>
      </right>
      <top style="thin">
        <color indexed="64"/>
      </top>
      <bottom style="thin">
        <color indexed="64"/>
      </bottom>
      <diagonal/>
    </border>
    <border>
      <left/>
      <right style="thin">
        <color indexed="8"/>
      </right>
      <top style="thin">
        <color indexed="8"/>
      </top>
      <bottom/>
      <diagonal/>
    </border>
    <border>
      <left style="thin">
        <color indexed="64"/>
      </left>
      <right style="thin">
        <color indexed="8"/>
      </right>
      <top style="thin">
        <color indexed="64"/>
      </top>
      <bottom style="thin">
        <color indexed="8"/>
      </bottom>
      <diagonal/>
    </border>
    <border>
      <left style="thin">
        <color indexed="64"/>
      </left>
      <right style="thin">
        <color indexed="8"/>
      </right>
      <top style="thin">
        <color indexed="8"/>
      </top>
      <bottom style="thin">
        <color indexed="23"/>
      </bottom>
      <diagonal/>
    </border>
    <border>
      <left style="thin">
        <color indexed="64"/>
      </left>
      <right style="thin">
        <color indexed="8"/>
      </right>
      <top style="thin">
        <color indexed="8"/>
      </top>
      <bottom style="thin">
        <color indexed="8"/>
      </bottom>
      <diagonal/>
    </border>
    <border>
      <left style="thin">
        <color indexed="64"/>
      </left>
      <right/>
      <top style="thin">
        <color indexed="8"/>
      </top>
      <bottom style="thin">
        <color indexed="23"/>
      </bottom>
      <diagonal/>
    </border>
    <border>
      <left style="thin">
        <color indexed="64"/>
      </left>
      <right style="thin">
        <color indexed="8"/>
      </right>
      <top style="thin">
        <color indexed="8"/>
      </top>
      <bottom style="thin">
        <color indexed="64"/>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hair">
        <color indexed="8"/>
      </left>
      <right style="hair">
        <color indexed="8"/>
      </right>
      <top style="hair">
        <color indexed="8"/>
      </top>
      <bottom/>
      <diagonal/>
    </border>
    <border>
      <left style="thin">
        <color indexed="8"/>
      </left>
      <right style="thin">
        <color indexed="8"/>
      </right>
      <top/>
      <bottom/>
      <diagonal/>
    </border>
  </borders>
  <cellStyleXfs count="3">
    <xf numFmtId="0" fontId="0" fillId="0" borderId="0"/>
    <xf numFmtId="0" fontId="10" fillId="0" borderId="0" applyNumberFormat="0" applyFill="0" applyBorder="0" applyAlignment="0" applyProtection="0"/>
    <xf numFmtId="0" fontId="1" fillId="0" borderId="0"/>
  </cellStyleXfs>
  <cellXfs count="683">
    <xf numFmtId="0" fontId="0" fillId="0" borderId="0" xfId="0"/>
    <xf numFmtId="0" fontId="0" fillId="0" borderId="0" xfId="0" applyAlignment="1">
      <alignment vertical="center"/>
    </xf>
    <xf numFmtId="0" fontId="2" fillId="0" borderId="0" xfId="0" applyFont="1"/>
    <xf numFmtId="0" fontId="2" fillId="0" borderId="0" xfId="0" applyFont="1" applyAlignment="1">
      <alignment horizontal="center" vertical="center"/>
    </xf>
    <xf numFmtId="0" fontId="2" fillId="0" borderId="0" xfId="0" applyFont="1" applyAlignment="1">
      <alignment vertical="center"/>
    </xf>
    <xf numFmtId="0" fontId="0" fillId="0" borderId="0" xfId="0" applyAlignment="1">
      <alignment horizontal="center" vertical="center"/>
    </xf>
    <xf numFmtId="0" fontId="2" fillId="0" borderId="0" xfId="0" applyFont="1" applyAlignment="1">
      <alignment horizontal="center"/>
    </xf>
    <xf numFmtId="2" fontId="0" fillId="0" borderId="0" xfId="0" applyNumberFormat="1" applyAlignment="1">
      <alignment horizontal="center"/>
    </xf>
    <xf numFmtId="2" fontId="7" fillId="0" borderId="0" xfId="0" applyNumberFormat="1" applyFont="1" applyAlignment="1">
      <alignment horizontal="center"/>
    </xf>
    <xf numFmtId="2" fontId="0" fillId="2" borderId="0" xfId="0" applyNumberFormat="1" applyFill="1" applyAlignment="1">
      <alignment horizontal="center"/>
    </xf>
    <xf numFmtId="0" fontId="7" fillId="0" borderId="0" xfId="0" applyFont="1" applyAlignment="1">
      <alignment horizontal="center"/>
    </xf>
    <xf numFmtId="0" fontId="7" fillId="0" borderId="1" xfId="0" applyFont="1" applyBorder="1" applyAlignment="1">
      <alignment horizontal="center"/>
    </xf>
    <xf numFmtId="0" fontId="0" fillId="0" borderId="0" xfId="0" applyAlignment="1">
      <alignment horizontal="center"/>
    </xf>
    <xf numFmtId="0" fontId="6" fillId="0" borderId="0" xfId="0" applyFont="1"/>
    <xf numFmtId="0" fontId="9" fillId="0" borderId="0" xfId="0" applyFont="1"/>
    <xf numFmtId="0" fontId="10" fillId="0" borderId="0" xfId="1" applyNumberFormat="1" applyFill="1" applyBorder="1" applyAlignment="1" applyProtection="1"/>
    <xf numFmtId="14" fontId="0" fillId="0" borderId="0" xfId="0" applyNumberFormat="1" applyAlignment="1">
      <alignment horizontal="left"/>
    </xf>
    <xf numFmtId="171" fontId="2" fillId="3" borderId="2" xfId="0" applyNumberFormat="1" applyFont="1" applyFill="1" applyBorder="1" applyAlignment="1" applyProtection="1">
      <alignment horizontal="center" vertical="center"/>
      <protection locked="0"/>
    </xf>
    <xf numFmtId="0" fontId="16" fillId="0" borderId="0" xfId="0" applyFont="1" applyAlignment="1">
      <alignment vertical="center"/>
    </xf>
    <xf numFmtId="0" fontId="2" fillId="0" borderId="3" xfId="2" applyFont="1" applyBorder="1"/>
    <xf numFmtId="0" fontId="2" fillId="0" borderId="4" xfId="2" applyFont="1" applyBorder="1"/>
    <xf numFmtId="0" fontId="2" fillId="0" borderId="4" xfId="2" applyFont="1" applyBorder="1" applyAlignment="1">
      <alignment horizontal="center"/>
    </xf>
    <xf numFmtId="0" fontId="15" fillId="0" borderId="4" xfId="2" applyFont="1" applyBorder="1" applyProtection="1">
      <protection hidden="1"/>
    </xf>
    <xf numFmtId="0" fontId="1" fillId="0" borderId="5" xfId="2" applyBorder="1"/>
    <xf numFmtId="0" fontId="2" fillId="0" borderId="0" xfId="2" applyFont="1"/>
    <xf numFmtId="0" fontId="2" fillId="0" borderId="6" xfId="2" applyFont="1" applyBorder="1"/>
    <xf numFmtId="0" fontId="15" fillId="0" borderId="0" xfId="2" applyFont="1" applyProtection="1">
      <protection hidden="1"/>
    </xf>
    <xf numFmtId="0" fontId="1" fillId="0" borderId="7" xfId="2" applyBorder="1"/>
    <xf numFmtId="0" fontId="4" fillId="0" borderId="0" xfId="2" applyFont="1"/>
    <xf numFmtId="0" fontId="2" fillId="0" borderId="7" xfId="2" applyFont="1" applyBorder="1"/>
    <xf numFmtId="0" fontId="2" fillId="0" borderId="0" xfId="2" applyFont="1" applyAlignment="1" applyProtection="1">
      <alignment horizontal="center"/>
      <protection hidden="1"/>
    </xf>
    <xf numFmtId="0" fontId="2" fillId="0" borderId="0" xfId="2" applyFont="1" applyAlignment="1">
      <alignment horizontal="center"/>
    </xf>
    <xf numFmtId="0" fontId="16" fillId="0" borderId="0" xfId="2" applyFont="1"/>
    <xf numFmtId="0" fontId="2" fillId="0" borderId="0" xfId="2" applyFont="1" applyProtection="1">
      <protection hidden="1"/>
    </xf>
    <xf numFmtId="0" fontId="15" fillId="4" borderId="8" xfId="2" applyFont="1" applyFill="1" applyBorder="1" applyAlignment="1" applyProtection="1">
      <alignment horizontal="center"/>
      <protection locked="0"/>
    </xf>
    <xf numFmtId="177" fontId="2" fillId="4" borderId="2" xfId="2" applyNumberFormat="1" applyFont="1" applyFill="1" applyBorder="1" applyAlignment="1" applyProtection="1">
      <alignment horizontal="center"/>
      <protection locked="0"/>
    </xf>
    <xf numFmtId="0" fontId="2" fillId="4" borderId="2" xfId="2" applyFont="1" applyFill="1" applyBorder="1" applyAlignment="1" applyProtection="1">
      <alignment horizontal="center"/>
      <protection locked="0"/>
    </xf>
    <xf numFmtId="0" fontId="16" fillId="0" borderId="0" xfId="2" applyFont="1" applyProtection="1">
      <protection hidden="1"/>
    </xf>
    <xf numFmtId="0" fontId="15" fillId="0" borderId="0" xfId="2" applyFont="1"/>
    <xf numFmtId="14" fontId="15" fillId="0" borderId="0" xfId="2" applyNumberFormat="1" applyFont="1" applyAlignment="1" applyProtection="1">
      <alignment horizontal="center"/>
      <protection hidden="1"/>
    </xf>
    <xf numFmtId="0" fontId="2" fillId="0" borderId="9" xfId="2" applyFont="1" applyBorder="1"/>
    <xf numFmtId="0" fontId="2" fillId="0" borderId="10" xfId="2" applyFont="1" applyBorder="1" applyAlignment="1" applyProtection="1">
      <alignment horizontal="center"/>
      <protection locked="0"/>
    </xf>
    <xf numFmtId="0" fontId="2" fillId="0" borderId="10" xfId="2" applyFont="1" applyBorder="1" applyProtection="1">
      <protection locked="0"/>
    </xf>
    <xf numFmtId="0" fontId="2" fillId="0" borderId="0" xfId="2" applyFont="1" applyProtection="1">
      <protection locked="0"/>
    </xf>
    <xf numFmtId="0" fontId="2" fillId="0" borderId="0" xfId="2" applyFont="1" applyAlignment="1" applyProtection="1">
      <alignment horizontal="center"/>
      <protection locked="0"/>
    </xf>
    <xf numFmtId="0" fontId="15" fillId="0" borderId="0" xfId="2" applyFont="1" applyAlignment="1" applyProtection="1">
      <alignment horizontal="center"/>
      <protection hidden="1"/>
    </xf>
    <xf numFmtId="1" fontId="15" fillId="0" borderId="0" xfId="2" applyNumberFormat="1" applyFont="1" applyAlignment="1" applyProtection="1">
      <alignment horizontal="center"/>
      <protection hidden="1"/>
    </xf>
    <xf numFmtId="0" fontId="0" fillId="0" borderId="0" xfId="0" applyAlignment="1">
      <alignment horizontal="left"/>
    </xf>
    <xf numFmtId="0" fontId="15" fillId="0" borderId="0" xfId="0" applyFont="1"/>
    <xf numFmtId="0" fontId="26" fillId="0" borderId="0" xfId="0" applyFont="1"/>
    <xf numFmtId="14" fontId="0" fillId="0" borderId="0" xfId="0" applyNumberFormat="1" applyAlignment="1">
      <alignment horizontal="center" vertical="center"/>
    </xf>
    <xf numFmtId="0" fontId="2" fillId="0" borderId="3" xfId="0" applyFont="1" applyBorder="1"/>
    <xf numFmtId="0" fontId="2" fillId="0" borderId="4" xfId="0" applyFont="1" applyBorder="1"/>
    <xf numFmtId="0" fontId="2" fillId="0" borderId="4" xfId="0" applyFont="1" applyBorder="1" applyAlignment="1">
      <alignment horizontal="center"/>
    </xf>
    <xf numFmtId="0" fontId="0" fillId="0" borderId="4" xfId="0" applyBorder="1" applyAlignment="1">
      <alignment vertical="center"/>
    </xf>
    <xf numFmtId="0" fontId="0" fillId="0" borderId="5" xfId="0" applyBorder="1" applyAlignment="1">
      <alignment vertical="center"/>
    </xf>
    <xf numFmtId="0" fontId="2" fillId="0" borderId="6" xfId="0" applyFont="1" applyBorder="1"/>
    <xf numFmtId="0" fontId="2" fillId="0" borderId="7" xfId="0" applyFont="1" applyBorder="1" applyAlignment="1">
      <alignment vertical="center"/>
    </xf>
    <xf numFmtId="0" fontId="0" fillId="0" borderId="7" xfId="0" applyBorder="1" applyAlignment="1">
      <alignment vertical="center"/>
    </xf>
    <xf numFmtId="0" fontId="0" fillId="0" borderId="6" xfId="0" applyBorder="1" applyAlignment="1">
      <alignment vertical="center"/>
    </xf>
    <xf numFmtId="0" fontId="0" fillId="0" borderId="9" xfId="0" applyBorder="1" applyAlignment="1">
      <alignment vertical="center"/>
    </xf>
    <xf numFmtId="0" fontId="0" fillId="0" borderId="10" xfId="0" applyBorder="1" applyAlignment="1" applyProtection="1">
      <alignment vertical="center"/>
      <protection locked="0"/>
    </xf>
    <xf numFmtId="0" fontId="0" fillId="0" borderId="0" xfId="0" applyAlignment="1" applyProtection="1">
      <alignment vertical="center"/>
      <protection hidden="1"/>
    </xf>
    <xf numFmtId="169" fontId="0" fillId="0" borderId="0" xfId="0" applyNumberFormat="1" applyAlignment="1" applyProtection="1">
      <alignment vertical="center"/>
      <protection hidden="1"/>
    </xf>
    <xf numFmtId="164" fontId="0" fillId="3" borderId="11" xfId="0" applyNumberFormat="1" applyFill="1" applyBorder="1" applyAlignment="1">
      <alignment horizontal="center"/>
    </xf>
    <xf numFmtId="178" fontId="0" fillId="3" borderId="11" xfId="0" applyNumberFormat="1" applyFill="1" applyBorder="1" applyAlignment="1">
      <alignment horizontal="center"/>
    </xf>
    <xf numFmtId="0" fontId="0" fillId="3" borderId="11" xfId="0" applyFill="1" applyBorder="1" applyAlignment="1">
      <alignment horizontal="center"/>
    </xf>
    <xf numFmtId="0" fontId="15" fillId="0" borderId="10" xfId="2" applyFont="1" applyBorder="1" applyProtection="1">
      <protection locked="0"/>
    </xf>
    <xf numFmtId="0" fontId="10" fillId="0" borderId="0" xfId="1"/>
    <xf numFmtId="0" fontId="2" fillId="0" borderId="12" xfId="0" applyFont="1" applyBorder="1" applyAlignment="1">
      <alignment horizontal="center" vertical="center"/>
    </xf>
    <xf numFmtId="0" fontId="2" fillId="0" borderId="12" xfId="0" applyFont="1" applyBorder="1" applyAlignment="1">
      <alignment horizontal="center"/>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165" fontId="0" fillId="0" borderId="0" xfId="0" applyNumberFormat="1" applyAlignment="1">
      <alignment horizontal="center"/>
    </xf>
    <xf numFmtId="0" fontId="0" fillId="0" borderId="9" xfId="0" applyBorder="1"/>
    <xf numFmtId="0" fontId="0" fillId="0" borderId="10" xfId="0" applyBorder="1"/>
    <xf numFmtId="0" fontId="0" fillId="0" borderId="13" xfId="0" applyBorder="1"/>
    <xf numFmtId="1" fontId="0" fillId="0" borderId="0" xfId="0" applyNumberFormat="1" applyAlignment="1">
      <alignment horizontal="center"/>
    </xf>
    <xf numFmtId="165" fontId="0" fillId="0" borderId="0" xfId="0" applyNumberFormat="1" applyAlignment="1">
      <alignment horizontal="center" vertical="center"/>
    </xf>
    <xf numFmtId="1" fontId="0" fillId="0" borderId="0" xfId="0" applyNumberFormat="1" applyAlignment="1">
      <alignment horizontal="center" vertical="center"/>
    </xf>
    <xf numFmtId="182" fontId="2" fillId="0" borderId="12" xfId="0" applyNumberFormat="1" applyFont="1" applyBorder="1" applyAlignment="1">
      <alignment horizontal="center"/>
    </xf>
    <xf numFmtId="1" fontId="2" fillId="0" borderId="12" xfId="0" applyNumberFormat="1" applyFont="1" applyBorder="1" applyAlignment="1">
      <alignment horizontal="center"/>
    </xf>
    <xf numFmtId="165" fontId="2" fillId="0" borderId="12" xfId="0" applyNumberFormat="1" applyFont="1" applyBorder="1" applyAlignment="1">
      <alignment horizontal="center" vertical="center"/>
    </xf>
    <xf numFmtId="165" fontId="2" fillId="0" borderId="12" xfId="0" applyNumberFormat="1" applyFont="1" applyBorder="1" applyAlignment="1">
      <alignment horizontal="center"/>
    </xf>
    <xf numFmtId="0" fontId="0" fillId="0" borderId="0" xfId="2" applyFont="1" applyAlignment="1" applyProtection="1">
      <alignment horizontal="center"/>
      <protection hidden="1"/>
    </xf>
    <xf numFmtId="0" fontId="8" fillId="0" borderId="4" xfId="2" applyFont="1" applyBorder="1"/>
    <xf numFmtId="0" fontId="8" fillId="0" borderId="0" xfId="2" applyFont="1"/>
    <xf numFmtId="0" fontId="8" fillId="0" borderId="0" xfId="2" applyFont="1" applyProtection="1">
      <protection hidden="1"/>
    </xf>
    <xf numFmtId="0" fontId="8" fillId="0" borderId="10" xfId="2" applyFont="1" applyBorder="1" applyProtection="1">
      <protection locked="0"/>
    </xf>
    <xf numFmtId="0" fontId="8" fillId="0" borderId="0" xfId="2" applyFont="1" applyAlignment="1" applyProtection="1">
      <alignment horizontal="center"/>
      <protection hidden="1"/>
    </xf>
    <xf numFmtId="1" fontId="8" fillId="0" borderId="0" xfId="2" applyNumberFormat="1" applyFont="1" applyAlignment="1" applyProtection="1">
      <alignment horizontal="center"/>
      <protection hidden="1"/>
    </xf>
    <xf numFmtId="0" fontId="31" fillId="0" borderId="0" xfId="2" applyFont="1"/>
    <xf numFmtId="0" fontId="0" fillId="0" borderId="0" xfId="0" applyProtection="1">
      <protection locked="0"/>
    </xf>
    <xf numFmtId="165" fontId="2" fillId="5" borderId="14" xfId="2" applyNumberFormat="1" applyFont="1" applyFill="1" applyBorder="1" applyAlignment="1">
      <alignment horizontal="center"/>
    </xf>
    <xf numFmtId="180" fontId="2" fillId="5" borderId="2" xfId="2" applyNumberFormat="1" applyFont="1" applyFill="1" applyBorder="1" applyAlignment="1">
      <alignment horizontal="center"/>
    </xf>
    <xf numFmtId="180" fontId="2" fillId="5" borderId="14" xfId="2" applyNumberFormat="1" applyFont="1" applyFill="1" applyBorder="1" applyAlignment="1">
      <alignment horizontal="center"/>
    </xf>
    <xf numFmtId="165" fontId="2" fillId="5" borderId="2" xfId="2" applyNumberFormat="1" applyFont="1" applyFill="1" applyBorder="1" applyAlignment="1">
      <alignment horizontal="center"/>
    </xf>
    <xf numFmtId="181" fontId="28" fillId="5" borderId="2" xfId="2" applyNumberFormat="1" applyFont="1" applyFill="1" applyBorder="1" applyAlignment="1">
      <alignment horizontal="center"/>
    </xf>
    <xf numFmtId="181" fontId="28" fillId="5" borderId="14" xfId="2" applyNumberFormat="1" applyFont="1" applyFill="1" applyBorder="1" applyAlignment="1">
      <alignment horizontal="center"/>
    </xf>
    <xf numFmtId="0" fontId="2" fillId="5" borderId="2" xfId="2" applyFont="1" applyFill="1" applyBorder="1" applyAlignment="1" applyProtection="1">
      <alignment horizontal="center"/>
      <protection hidden="1"/>
    </xf>
    <xf numFmtId="0" fontId="28" fillId="5" borderId="2" xfId="2" applyFont="1" applyFill="1" applyBorder="1" applyAlignment="1" applyProtection="1">
      <alignment horizontal="center"/>
      <protection hidden="1"/>
    </xf>
    <xf numFmtId="0" fontId="32" fillId="5" borderId="2" xfId="2" applyFont="1" applyFill="1" applyBorder="1" applyAlignment="1" applyProtection="1">
      <alignment horizontal="center"/>
      <protection hidden="1"/>
    </xf>
    <xf numFmtId="0" fontId="2" fillId="6" borderId="2" xfId="2" applyFont="1" applyFill="1" applyBorder="1" applyAlignment="1">
      <alignment horizontal="center"/>
    </xf>
    <xf numFmtId="0" fontId="28" fillId="6" borderId="2" xfId="2" applyFont="1" applyFill="1" applyBorder="1" applyAlignment="1">
      <alignment horizontal="center"/>
    </xf>
    <xf numFmtId="0" fontId="33" fillId="0" borderId="0" xfId="2" applyFont="1"/>
    <xf numFmtId="0" fontId="33" fillId="6" borderId="2" xfId="2" applyFont="1" applyFill="1" applyBorder="1" applyAlignment="1" applyProtection="1">
      <alignment horizontal="center"/>
      <protection hidden="1"/>
    </xf>
    <xf numFmtId="176" fontId="33" fillId="5" borderId="2" xfId="2" applyNumberFormat="1" applyFont="1" applyFill="1" applyBorder="1" applyAlignment="1" applyProtection="1">
      <alignment horizontal="center"/>
      <protection hidden="1"/>
    </xf>
    <xf numFmtId="0" fontId="33" fillId="5" borderId="2" xfId="2" applyFont="1" applyFill="1" applyBorder="1" applyAlignment="1">
      <alignment horizontal="center"/>
    </xf>
    <xf numFmtId="177" fontId="33" fillId="5" borderId="2" xfId="2" applyNumberFormat="1" applyFont="1" applyFill="1" applyBorder="1" applyAlignment="1" applyProtection="1">
      <alignment horizontal="center"/>
      <protection hidden="1"/>
    </xf>
    <xf numFmtId="176" fontId="33" fillId="5" borderId="2" xfId="2" applyNumberFormat="1" applyFont="1" applyFill="1" applyBorder="1" applyAlignment="1">
      <alignment horizontal="center"/>
    </xf>
    <xf numFmtId="178" fontId="33" fillId="5" borderId="2" xfId="2" applyNumberFormat="1" applyFont="1" applyFill="1" applyBorder="1" applyAlignment="1" applyProtection="1">
      <alignment horizontal="center"/>
      <protection hidden="1"/>
    </xf>
    <xf numFmtId="0" fontId="33" fillId="0" borderId="0" xfId="2" applyFont="1" applyProtection="1">
      <protection hidden="1"/>
    </xf>
    <xf numFmtId="2" fontId="0" fillId="7" borderId="15" xfId="0" applyNumberFormat="1" applyFill="1" applyBorder="1" applyAlignment="1">
      <alignment horizontal="center" vertical="center"/>
    </xf>
    <xf numFmtId="165" fontId="0" fillId="7" borderId="15" xfId="0" applyNumberFormat="1" applyFill="1" applyBorder="1" applyAlignment="1">
      <alignment horizontal="center" vertical="center"/>
    </xf>
    <xf numFmtId="1" fontId="2" fillId="7" borderId="15" xfId="0" applyNumberFormat="1" applyFont="1" applyFill="1" applyBorder="1" applyAlignment="1">
      <alignment horizontal="center" vertical="center"/>
    </xf>
    <xf numFmtId="165" fontId="2" fillId="7" borderId="15" xfId="0" applyNumberFormat="1" applyFont="1" applyFill="1" applyBorder="1" applyAlignment="1">
      <alignment horizontal="center" vertical="center"/>
    </xf>
    <xf numFmtId="1" fontId="0" fillId="7" borderId="15" xfId="0" applyNumberFormat="1" applyFill="1" applyBorder="1" applyAlignment="1">
      <alignment horizontal="center" vertical="center"/>
    </xf>
    <xf numFmtId="1" fontId="15" fillId="7" borderId="15" xfId="0" applyNumberFormat="1" applyFont="1" applyFill="1" applyBorder="1" applyAlignment="1">
      <alignment horizontal="center" vertical="center"/>
    </xf>
    <xf numFmtId="165" fontId="15" fillId="7" borderId="15" xfId="0" applyNumberFormat="1" applyFont="1" applyFill="1" applyBorder="1" applyAlignment="1">
      <alignment horizontal="center" vertical="center"/>
    </xf>
    <xf numFmtId="165" fontId="0" fillId="7" borderId="16" xfId="0" applyNumberFormat="1" applyFill="1" applyBorder="1" applyAlignment="1">
      <alignment horizontal="center" vertical="center"/>
    </xf>
    <xf numFmtId="1" fontId="2" fillId="7" borderId="16" xfId="0" applyNumberFormat="1" applyFont="1" applyFill="1" applyBorder="1" applyAlignment="1">
      <alignment horizontal="center" vertical="center"/>
    </xf>
    <xf numFmtId="165" fontId="15" fillId="7" borderId="16" xfId="0" applyNumberFormat="1" applyFont="1" applyFill="1" applyBorder="1" applyAlignment="1">
      <alignment horizontal="center" vertical="center"/>
    </xf>
    <xf numFmtId="1" fontId="2" fillId="7" borderId="17" xfId="0" applyNumberFormat="1" applyFont="1" applyFill="1" applyBorder="1" applyAlignment="1">
      <alignment horizontal="center" vertical="center"/>
    </xf>
    <xf numFmtId="1" fontId="0" fillId="7" borderId="17" xfId="0" applyNumberFormat="1" applyFill="1" applyBorder="1" applyAlignment="1">
      <alignment horizontal="center" vertical="center"/>
    </xf>
    <xf numFmtId="0" fontId="0" fillId="7" borderId="17" xfId="0" applyFill="1" applyBorder="1" applyAlignment="1">
      <alignment horizontal="center" vertical="center"/>
    </xf>
    <xf numFmtId="165" fontId="0" fillId="7" borderId="17" xfId="0" applyNumberFormat="1" applyFill="1" applyBorder="1" applyAlignment="1">
      <alignment horizontal="center" vertical="center"/>
    </xf>
    <xf numFmtId="1" fontId="15" fillId="7" borderId="16" xfId="0" applyNumberFormat="1" applyFont="1" applyFill="1" applyBorder="1" applyAlignment="1">
      <alignment horizontal="center" vertical="center"/>
    </xf>
    <xf numFmtId="1" fontId="15" fillId="7" borderId="17" xfId="0" applyNumberFormat="1" applyFont="1" applyFill="1" applyBorder="1" applyAlignment="1">
      <alignment horizontal="center" vertical="center"/>
    </xf>
    <xf numFmtId="165" fontId="2" fillId="7" borderId="17" xfId="0" applyNumberFormat="1" applyFont="1" applyFill="1" applyBorder="1" applyAlignment="1">
      <alignment horizontal="center" vertical="center"/>
    </xf>
    <xf numFmtId="173" fontId="2" fillId="7" borderId="2" xfId="0" applyNumberFormat="1" applyFont="1" applyFill="1" applyBorder="1" applyAlignment="1">
      <alignment horizontal="center" vertical="center"/>
    </xf>
    <xf numFmtId="0" fontId="2" fillId="8" borderId="18" xfId="0" applyFont="1" applyFill="1" applyBorder="1" applyAlignment="1" applyProtection="1">
      <alignment horizontal="center" vertical="center"/>
      <protection hidden="1"/>
    </xf>
    <xf numFmtId="0" fontId="2" fillId="9" borderId="15" xfId="0" applyFont="1" applyFill="1" applyBorder="1" applyAlignment="1" applyProtection="1">
      <alignment horizontal="center" vertical="center"/>
      <protection hidden="1"/>
    </xf>
    <xf numFmtId="0" fontId="5" fillId="9" borderId="15" xfId="0" applyFont="1" applyFill="1" applyBorder="1" applyAlignment="1" applyProtection="1">
      <alignment horizontal="center" vertical="center"/>
      <protection hidden="1"/>
    </xf>
    <xf numFmtId="0" fontId="0" fillId="9" borderId="15" xfId="0" applyFill="1" applyBorder="1" applyAlignment="1" applyProtection="1">
      <alignment horizontal="center" vertical="center"/>
      <protection hidden="1"/>
    </xf>
    <xf numFmtId="0" fontId="2" fillId="6" borderId="2" xfId="2" applyFont="1" applyFill="1" applyBorder="1" applyAlignment="1" applyProtection="1">
      <alignment horizontal="center"/>
      <protection hidden="1"/>
    </xf>
    <xf numFmtId="0" fontId="2" fillId="10" borderId="2" xfId="2" applyFont="1" applyFill="1" applyBorder="1" applyAlignment="1" applyProtection="1">
      <alignment horizontal="center" vertical="center"/>
      <protection hidden="1"/>
    </xf>
    <xf numFmtId="0" fontId="2" fillId="10" borderId="2" xfId="2" applyFont="1" applyFill="1" applyBorder="1" applyAlignment="1" applyProtection="1">
      <alignment horizontal="center"/>
      <protection hidden="1"/>
    </xf>
    <xf numFmtId="0" fontId="2" fillId="11" borderId="15" xfId="0" applyFont="1" applyFill="1" applyBorder="1" applyAlignment="1" applyProtection="1">
      <alignment horizontal="center" vertical="center"/>
      <protection hidden="1"/>
    </xf>
    <xf numFmtId="0" fontId="2" fillId="11" borderId="18" xfId="0" applyFont="1" applyFill="1" applyBorder="1" applyAlignment="1" applyProtection="1">
      <alignment horizontal="center" vertical="center"/>
      <protection hidden="1"/>
    </xf>
    <xf numFmtId="0" fontId="13" fillId="12" borderId="2" xfId="0" applyFont="1" applyFill="1" applyBorder="1" applyAlignment="1" applyProtection="1">
      <alignment horizontal="center"/>
      <protection hidden="1"/>
    </xf>
    <xf numFmtId="0" fontId="2" fillId="13" borderId="2" xfId="0" applyFont="1" applyFill="1" applyBorder="1" applyAlignment="1" applyProtection="1">
      <alignment horizontal="center" vertical="center"/>
      <protection locked="0"/>
    </xf>
    <xf numFmtId="174" fontId="2" fillId="13" borderId="2" xfId="0" applyNumberFormat="1" applyFont="1" applyFill="1" applyBorder="1" applyAlignment="1" applyProtection="1">
      <alignment horizontal="center" vertical="center"/>
      <protection locked="0"/>
    </xf>
    <xf numFmtId="178" fontId="14" fillId="14" borderId="2" xfId="2" applyNumberFormat="1" applyFont="1" applyFill="1" applyBorder="1" applyAlignment="1">
      <alignment horizontal="center"/>
    </xf>
    <xf numFmtId="1" fontId="30" fillId="14" borderId="2" xfId="2" applyNumberFormat="1" applyFont="1" applyFill="1" applyBorder="1" applyAlignment="1">
      <alignment horizontal="center"/>
    </xf>
    <xf numFmtId="0" fontId="2" fillId="10" borderId="2" xfId="2" applyFont="1" applyFill="1" applyBorder="1" applyAlignment="1">
      <alignment horizontal="center"/>
    </xf>
    <xf numFmtId="0" fontId="0" fillId="7" borderId="15" xfId="0" applyFill="1" applyBorder="1" applyAlignment="1">
      <alignment horizontal="center" vertical="center"/>
    </xf>
    <xf numFmtId="0" fontId="2" fillId="7" borderId="15" xfId="0" applyFont="1" applyFill="1" applyBorder="1" applyAlignment="1">
      <alignment horizontal="center" vertical="center"/>
    </xf>
    <xf numFmtId="0" fontId="0" fillId="13" borderId="15" xfId="0" applyFill="1" applyBorder="1" applyAlignment="1" applyProtection="1">
      <alignment horizontal="center" vertical="center"/>
      <protection locked="0"/>
    </xf>
    <xf numFmtId="185" fontId="2" fillId="7" borderId="2" xfId="0" applyNumberFormat="1" applyFont="1" applyFill="1" applyBorder="1" applyAlignment="1">
      <alignment horizontal="center" vertical="center"/>
    </xf>
    <xf numFmtId="186" fontId="0" fillId="7" borderId="16" xfId="0" applyNumberFormat="1" applyFill="1" applyBorder="1" applyAlignment="1">
      <alignment horizontal="center" vertical="center"/>
    </xf>
    <xf numFmtId="186" fontId="2" fillId="7" borderId="15" xfId="0" applyNumberFormat="1" applyFont="1" applyFill="1" applyBorder="1" applyAlignment="1">
      <alignment horizontal="center" vertical="center"/>
    </xf>
    <xf numFmtId="175" fontId="15" fillId="7" borderId="16" xfId="0" applyNumberFormat="1" applyFont="1" applyFill="1" applyBorder="1" applyAlignment="1">
      <alignment horizontal="center" vertical="center"/>
    </xf>
    <xf numFmtId="175" fontId="15" fillId="7" borderId="15" xfId="0" applyNumberFormat="1" applyFont="1" applyFill="1" applyBorder="1" applyAlignment="1">
      <alignment horizontal="center" vertical="center"/>
    </xf>
    <xf numFmtId="175" fontId="2" fillId="7" borderId="16" xfId="0" applyNumberFormat="1" applyFont="1" applyFill="1" applyBorder="1" applyAlignment="1">
      <alignment horizontal="center" vertical="center"/>
    </xf>
    <xf numFmtId="175" fontId="2" fillId="7" borderId="15" xfId="0" applyNumberFormat="1" applyFont="1" applyFill="1" applyBorder="1" applyAlignment="1">
      <alignment horizontal="center" vertical="center"/>
    </xf>
    <xf numFmtId="172" fontId="2" fillId="7" borderId="15" xfId="0" applyNumberFormat="1" applyFont="1" applyFill="1" applyBorder="1" applyAlignment="1">
      <alignment horizontal="center" vertical="center"/>
    </xf>
    <xf numFmtId="172" fontId="2" fillId="7" borderId="16" xfId="0" applyNumberFormat="1" applyFont="1" applyFill="1" applyBorder="1" applyAlignment="1">
      <alignment horizontal="center" vertical="center"/>
    </xf>
    <xf numFmtId="172" fontId="15" fillId="7" borderId="15" xfId="0" applyNumberFormat="1" applyFont="1" applyFill="1" applyBorder="1" applyAlignment="1">
      <alignment horizontal="center" vertical="center"/>
    </xf>
    <xf numFmtId="0" fontId="0" fillId="0" borderId="19" xfId="0" applyBorder="1" applyAlignment="1">
      <alignment vertical="center"/>
    </xf>
    <xf numFmtId="0" fontId="0" fillId="0" borderId="20"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2" fillId="11" borderId="24" xfId="0" applyFont="1" applyFill="1" applyBorder="1" applyAlignment="1" applyProtection="1">
      <alignment horizontal="center" vertical="center"/>
      <protection hidden="1"/>
    </xf>
    <xf numFmtId="178" fontId="2" fillId="3" borderId="25" xfId="0" applyNumberFormat="1" applyFont="1" applyFill="1" applyBorder="1" applyAlignment="1" applyProtection="1">
      <alignment horizontal="center" vertical="center"/>
      <protection locked="0"/>
    </xf>
    <xf numFmtId="178" fontId="2" fillId="3" borderId="26" xfId="0" applyNumberFormat="1" applyFont="1" applyFill="1" applyBorder="1" applyAlignment="1" applyProtection="1">
      <alignment horizontal="center" vertical="center"/>
      <protection locked="0"/>
    </xf>
    <xf numFmtId="0" fontId="2" fillId="8" borderId="24" xfId="0" applyFont="1" applyFill="1" applyBorder="1" applyAlignment="1" applyProtection="1">
      <alignment horizontal="center" vertical="center"/>
      <protection hidden="1"/>
    </xf>
    <xf numFmtId="0" fontId="2" fillId="9" borderId="27" xfId="0" applyFont="1" applyFill="1" applyBorder="1" applyAlignment="1" applyProtection="1">
      <alignment horizontal="center" vertical="center"/>
      <protection hidden="1"/>
    </xf>
    <xf numFmtId="0" fontId="0" fillId="9" borderId="27" xfId="0" applyFill="1" applyBorder="1" applyAlignment="1" applyProtection="1">
      <alignment horizontal="center" vertical="center"/>
      <protection hidden="1"/>
    </xf>
    <xf numFmtId="0" fontId="2" fillId="0" borderId="21" xfId="0" applyFont="1" applyBorder="1" applyAlignment="1">
      <alignment vertical="center"/>
    </xf>
    <xf numFmtId="14" fontId="0" fillId="0" borderId="23" xfId="0" applyNumberFormat="1" applyBorder="1" applyAlignment="1">
      <alignment horizontal="center" vertical="center"/>
    </xf>
    <xf numFmtId="189" fontId="2" fillId="7" borderId="25" xfId="0" applyNumberFormat="1" applyFont="1" applyFill="1" applyBorder="1" applyAlignment="1">
      <alignment horizontal="center" vertical="center"/>
    </xf>
    <xf numFmtId="0" fontId="34" fillId="6" borderId="2" xfId="2" applyFont="1" applyFill="1" applyBorder="1" applyAlignment="1" applyProtection="1">
      <alignment horizontal="center"/>
      <protection hidden="1"/>
    </xf>
    <xf numFmtId="178" fontId="34" fillId="5" borderId="2" xfId="2" applyNumberFormat="1" applyFont="1" applyFill="1" applyBorder="1" applyAlignment="1">
      <alignment horizontal="center"/>
    </xf>
    <xf numFmtId="177" fontId="2" fillId="4" borderId="25" xfId="2" applyNumberFormat="1" applyFont="1" applyFill="1" applyBorder="1" applyAlignment="1" applyProtection="1">
      <alignment horizontal="center"/>
      <protection locked="0"/>
    </xf>
    <xf numFmtId="0" fontId="2" fillId="10" borderId="28" xfId="2" applyFont="1" applyFill="1" applyBorder="1" applyAlignment="1" applyProtection="1">
      <alignment horizontal="center"/>
      <protection hidden="1"/>
    </xf>
    <xf numFmtId="0" fontId="2" fillId="10" borderId="29" xfId="2" applyFont="1" applyFill="1" applyBorder="1" applyAlignment="1" applyProtection="1">
      <alignment horizontal="center"/>
      <protection hidden="1"/>
    </xf>
    <xf numFmtId="0" fontId="36" fillId="10" borderId="30" xfId="2" applyFont="1" applyFill="1" applyBorder="1" applyAlignment="1" applyProtection="1">
      <alignment horizontal="center"/>
      <protection hidden="1"/>
    </xf>
    <xf numFmtId="0" fontId="0" fillId="0" borderId="10" xfId="0" applyBorder="1" applyAlignment="1">
      <alignment vertical="center"/>
    </xf>
    <xf numFmtId="0" fontId="15" fillId="0" borderId="10" xfId="2" applyFont="1" applyBorder="1"/>
    <xf numFmtId="0" fontId="15" fillId="0" borderId="31" xfId="2" applyFont="1" applyBorder="1" applyAlignment="1" applyProtection="1">
      <alignment horizontal="center"/>
      <protection hidden="1"/>
    </xf>
    <xf numFmtId="0" fontId="15" fillId="0" borderId="32" xfId="2" applyFont="1" applyBorder="1" applyAlignment="1">
      <alignment horizontal="center"/>
    </xf>
    <xf numFmtId="0" fontId="15" fillId="0" borderId="19" xfId="2" applyFont="1" applyBorder="1" applyAlignment="1" applyProtection="1">
      <alignment horizontal="center"/>
      <protection hidden="1"/>
    </xf>
    <xf numFmtId="0" fontId="15" fillId="0" borderId="20" xfId="2" applyFont="1" applyBorder="1" applyAlignment="1">
      <alignment horizontal="center"/>
    </xf>
    <xf numFmtId="0" fontId="15" fillId="0" borderId="21" xfId="2" applyFont="1" applyBorder="1" applyAlignment="1" applyProtection="1">
      <alignment horizontal="center"/>
      <protection hidden="1"/>
    </xf>
    <xf numFmtId="0" fontId="15" fillId="0" borderId="23" xfId="2" applyFont="1" applyBorder="1" applyAlignment="1">
      <alignment horizontal="center"/>
    </xf>
    <xf numFmtId="0" fontId="15" fillId="0" borderId="20" xfId="2" applyFont="1" applyBorder="1" applyAlignment="1" applyProtection="1">
      <alignment horizontal="center"/>
      <protection hidden="1"/>
    </xf>
    <xf numFmtId="0" fontId="15" fillId="0" borderId="23" xfId="2" applyFont="1" applyBorder="1" applyAlignment="1" applyProtection="1">
      <alignment horizontal="center"/>
      <protection hidden="1"/>
    </xf>
    <xf numFmtId="2" fontId="15" fillId="0" borderId="31" xfId="2" applyNumberFormat="1" applyFont="1" applyBorder="1" applyAlignment="1" applyProtection="1">
      <alignment horizontal="center"/>
      <protection hidden="1"/>
    </xf>
    <xf numFmtId="0" fontId="0" fillId="0" borderId="31" xfId="2" applyFont="1" applyBorder="1" applyAlignment="1" applyProtection="1">
      <alignment horizontal="center"/>
      <protection hidden="1"/>
    </xf>
    <xf numFmtId="0" fontId="0" fillId="0" borderId="33" xfId="2" applyFont="1" applyBorder="1" applyAlignment="1" applyProtection="1">
      <alignment horizontal="center"/>
      <protection hidden="1"/>
    </xf>
    <xf numFmtId="0" fontId="0" fillId="0" borderId="32" xfId="2" applyFont="1" applyBorder="1" applyAlignment="1" applyProtection="1">
      <alignment horizontal="center"/>
      <protection hidden="1"/>
    </xf>
    <xf numFmtId="0" fontId="0" fillId="0" borderId="19" xfId="2" applyFont="1" applyBorder="1" applyAlignment="1" applyProtection="1">
      <alignment horizontal="center"/>
      <protection hidden="1"/>
    </xf>
    <xf numFmtId="0" fontId="15" fillId="0" borderId="22" xfId="2" applyFont="1" applyBorder="1" applyAlignment="1" applyProtection="1">
      <alignment horizontal="center"/>
      <protection hidden="1"/>
    </xf>
    <xf numFmtId="1" fontId="15" fillId="0" borderId="33" xfId="2" applyNumberFormat="1" applyFont="1" applyBorder="1" applyAlignment="1" applyProtection="1">
      <alignment horizontal="center"/>
      <protection hidden="1"/>
    </xf>
    <xf numFmtId="1" fontId="8" fillId="0" borderId="32" xfId="2" applyNumberFormat="1" applyFont="1" applyBorder="1" applyAlignment="1" applyProtection="1">
      <alignment horizontal="center"/>
      <protection hidden="1"/>
    </xf>
    <xf numFmtId="1" fontId="8" fillId="0" borderId="20" xfId="2" applyNumberFormat="1" applyFont="1" applyBorder="1" applyAlignment="1" applyProtection="1">
      <alignment horizontal="center"/>
      <protection hidden="1"/>
    </xf>
    <xf numFmtId="1" fontId="15" fillId="0" borderId="22" xfId="2" applyNumberFormat="1" applyFont="1" applyBorder="1" applyAlignment="1" applyProtection="1">
      <alignment horizontal="center"/>
      <protection hidden="1"/>
    </xf>
    <xf numFmtId="1" fontId="8" fillId="0" borderId="23" xfId="2" applyNumberFormat="1" applyFont="1" applyBorder="1" applyAlignment="1" applyProtection="1">
      <alignment horizontal="center"/>
      <protection hidden="1"/>
    </xf>
    <xf numFmtId="0" fontId="15" fillId="0" borderId="33" xfId="2" applyFont="1" applyBorder="1" applyAlignment="1" applyProtection="1">
      <alignment horizontal="center"/>
      <protection hidden="1"/>
    </xf>
    <xf numFmtId="2" fontId="15" fillId="0" borderId="33" xfId="2" applyNumberFormat="1" applyFont="1" applyBorder="1" applyAlignment="1" applyProtection="1">
      <alignment horizontal="center"/>
      <protection hidden="1"/>
    </xf>
    <xf numFmtId="0" fontId="8" fillId="0" borderId="32" xfId="2" applyFont="1" applyBorder="1" applyAlignment="1" applyProtection="1">
      <alignment horizontal="center"/>
      <protection hidden="1"/>
    </xf>
    <xf numFmtId="0" fontId="8" fillId="0" borderId="20" xfId="2" applyFont="1" applyBorder="1" applyAlignment="1" applyProtection="1">
      <alignment horizontal="center"/>
      <protection hidden="1"/>
    </xf>
    <xf numFmtId="0" fontId="8" fillId="0" borderId="23" xfId="2" applyFont="1" applyBorder="1" applyAlignment="1" applyProtection="1">
      <alignment horizontal="center"/>
      <protection hidden="1"/>
    </xf>
    <xf numFmtId="1" fontId="15" fillId="0" borderId="32" xfId="2" applyNumberFormat="1" applyFont="1" applyBorder="1" applyAlignment="1" applyProtection="1">
      <alignment horizontal="center"/>
      <protection hidden="1"/>
    </xf>
    <xf numFmtId="1" fontId="15" fillId="0" borderId="20" xfId="2" applyNumberFormat="1" applyFont="1" applyBorder="1" applyAlignment="1" applyProtection="1">
      <alignment horizontal="center"/>
      <protection hidden="1"/>
    </xf>
    <xf numFmtId="1" fontId="15" fillId="0" borderId="23" xfId="2" applyNumberFormat="1" applyFont="1" applyBorder="1" applyAlignment="1" applyProtection="1">
      <alignment horizontal="center"/>
      <protection hidden="1"/>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21" xfId="2" applyFont="1" applyBorder="1" applyAlignment="1" applyProtection="1">
      <alignment horizontal="center"/>
      <protection hidden="1"/>
    </xf>
    <xf numFmtId="165" fontId="0" fillId="0" borderId="19" xfId="0" applyNumberFormat="1" applyBorder="1" applyAlignment="1">
      <alignment horizontal="center" vertical="center"/>
    </xf>
    <xf numFmtId="1" fontId="0" fillId="0" borderId="20" xfId="0" applyNumberFormat="1" applyBorder="1" applyAlignment="1">
      <alignment horizontal="center" vertical="center"/>
    </xf>
    <xf numFmtId="165" fontId="0" fillId="0" borderId="21" xfId="0" applyNumberFormat="1" applyBorder="1" applyAlignment="1">
      <alignment horizontal="center" vertical="center"/>
    </xf>
    <xf numFmtId="1" fontId="0" fillId="0" borderId="23" xfId="0" applyNumberFormat="1" applyBorder="1" applyAlignment="1">
      <alignment horizontal="center" vertical="center"/>
    </xf>
    <xf numFmtId="1" fontId="0" fillId="0" borderId="19" xfId="0" applyNumberFormat="1" applyBorder="1" applyAlignment="1">
      <alignment horizontal="center" vertical="center"/>
    </xf>
    <xf numFmtId="1" fontId="0" fillId="0" borderId="21" xfId="0" applyNumberFormat="1" applyBorder="1" applyAlignment="1">
      <alignment horizontal="center" vertical="center"/>
    </xf>
    <xf numFmtId="0" fontId="0" fillId="0" borderId="23" xfId="0" applyBorder="1" applyAlignment="1">
      <alignment horizontal="center" vertical="center"/>
    </xf>
    <xf numFmtId="0" fontId="14" fillId="15" borderId="8" xfId="0" applyFont="1" applyFill="1" applyBorder="1" applyAlignment="1" applyProtection="1">
      <alignment horizontal="center"/>
      <protection locked="0"/>
    </xf>
    <xf numFmtId="0" fontId="0" fillId="0" borderId="0" xfId="0" applyAlignment="1">
      <alignment horizontal="right" vertical="center"/>
    </xf>
    <xf numFmtId="190" fontId="2" fillId="4" borderId="2" xfId="2" applyNumberFormat="1" applyFont="1" applyFill="1" applyBorder="1" applyAlignment="1" applyProtection="1">
      <alignment horizontal="center"/>
      <protection locked="0"/>
    </xf>
    <xf numFmtId="0" fontId="0" fillId="0" borderId="0" xfId="2" applyFont="1"/>
    <xf numFmtId="0" fontId="30" fillId="6" borderId="2" xfId="2" applyFont="1" applyFill="1" applyBorder="1" applyAlignment="1" applyProtection="1">
      <alignment horizontal="center"/>
      <protection hidden="1"/>
    </xf>
    <xf numFmtId="189" fontId="2" fillId="3" borderId="2" xfId="0" applyNumberFormat="1" applyFont="1" applyFill="1" applyBorder="1" applyAlignment="1" applyProtection="1">
      <alignment horizontal="center" vertical="center"/>
      <protection locked="0"/>
    </xf>
    <xf numFmtId="0" fontId="0" fillId="0" borderId="0" xfId="0" applyAlignment="1">
      <alignment horizontal="right"/>
    </xf>
    <xf numFmtId="0" fontId="2" fillId="11" borderId="18" xfId="1" applyFont="1" applyFill="1" applyBorder="1" applyAlignment="1" applyProtection="1">
      <alignment horizontal="center" vertical="center"/>
      <protection hidden="1"/>
    </xf>
    <xf numFmtId="0" fontId="0" fillId="0" borderId="33" xfId="0" applyBorder="1" applyAlignment="1">
      <alignment horizontal="center" vertical="center"/>
    </xf>
    <xf numFmtId="0" fontId="0" fillId="0" borderId="21" xfId="0" applyBorder="1" applyAlignment="1">
      <alignment horizontal="center" vertical="center"/>
    </xf>
    <xf numFmtId="1" fontId="0" fillId="0" borderId="22" xfId="0" applyNumberFormat="1" applyBorder="1" applyAlignment="1">
      <alignment horizontal="center" vertical="center"/>
    </xf>
    <xf numFmtId="0" fontId="0" fillId="0" borderId="19" xfId="0" applyBorder="1" applyAlignment="1">
      <alignment horizontal="center" vertical="center"/>
    </xf>
    <xf numFmtId="0" fontId="0" fillId="0" borderId="31" xfId="0" applyBorder="1" applyAlignment="1">
      <alignment vertical="center"/>
    </xf>
    <xf numFmtId="0" fontId="0" fillId="0" borderId="32" xfId="0" applyBorder="1" applyAlignment="1">
      <alignment horizontal="left" vertical="center"/>
    </xf>
    <xf numFmtId="0" fontId="0" fillId="0" borderId="20" xfId="0" applyBorder="1" applyAlignment="1">
      <alignment horizontal="left" vertical="center"/>
    </xf>
    <xf numFmtId="0" fontId="0" fillId="0" borderId="19" xfId="0" applyBorder="1" applyAlignment="1">
      <alignment horizontal="right" vertical="center"/>
    </xf>
    <xf numFmtId="2" fontId="0" fillId="0" borderId="20" xfId="0" applyNumberFormat="1" applyBorder="1" applyAlignment="1">
      <alignment horizontal="center" vertical="center"/>
    </xf>
    <xf numFmtId="0" fontId="0" fillId="0" borderId="21" xfId="0" applyBorder="1" applyAlignment="1">
      <alignment horizontal="right" vertical="center"/>
    </xf>
    <xf numFmtId="2" fontId="0" fillId="0" borderId="23" xfId="0" applyNumberFormat="1" applyBorder="1" applyAlignment="1">
      <alignment horizontal="center" vertical="center"/>
    </xf>
    <xf numFmtId="0" fontId="0" fillId="0" borderId="31" xfId="0" applyBorder="1" applyAlignment="1">
      <alignment horizontal="right" vertical="center"/>
    </xf>
    <xf numFmtId="2" fontId="0" fillId="0" borderId="32" xfId="0" applyNumberFormat="1" applyBorder="1" applyAlignment="1">
      <alignment horizontal="center" vertical="center"/>
    </xf>
    <xf numFmtId="0" fontId="2" fillId="0" borderId="20" xfId="0" applyFont="1" applyBorder="1" applyAlignment="1">
      <alignment horizontal="center" vertical="center"/>
    </xf>
    <xf numFmtId="1" fontId="2" fillId="0" borderId="0" xfId="0" applyNumberFormat="1" applyFont="1" applyAlignment="1">
      <alignment horizontal="center"/>
    </xf>
    <xf numFmtId="0" fontId="2" fillId="0" borderId="32" xfId="0" applyFont="1" applyBorder="1" applyAlignment="1">
      <alignment horizontal="center"/>
    </xf>
    <xf numFmtId="0" fontId="2" fillId="0" borderId="20" xfId="0" applyFont="1" applyBorder="1" applyAlignment="1">
      <alignment horizontal="center"/>
    </xf>
    <xf numFmtId="1" fontId="2" fillId="0" borderId="23" xfId="0" applyNumberFormat="1" applyFont="1" applyBorder="1" applyAlignment="1">
      <alignment horizontal="center"/>
    </xf>
    <xf numFmtId="0" fontId="2" fillId="0" borderId="33" xfId="0" applyFont="1" applyBorder="1" applyAlignment="1">
      <alignment horizontal="center"/>
    </xf>
    <xf numFmtId="165" fontId="2" fillId="0" borderId="0" xfId="0" applyNumberFormat="1" applyFont="1" applyAlignment="1">
      <alignment horizontal="center" vertical="center"/>
    </xf>
    <xf numFmtId="165" fontId="2" fillId="0" borderId="0" xfId="0" applyNumberFormat="1" applyFont="1" applyAlignment="1">
      <alignment horizontal="center"/>
    </xf>
    <xf numFmtId="0" fontId="2" fillId="0" borderId="33" xfId="0" applyFont="1" applyBorder="1"/>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0" fontId="2" fillId="0" borderId="20" xfId="0" applyFont="1" applyBorder="1"/>
    <xf numFmtId="165" fontId="2" fillId="0" borderId="20" xfId="0" applyNumberFormat="1" applyFont="1" applyBorder="1" applyAlignment="1">
      <alignment horizontal="center" vertical="center"/>
    </xf>
    <xf numFmtId="165" fontId="2" fillId="0" borderId="20" xfId="0" applyNumberFormat="1" applyFont="1" applyBorder="1" applyAlignment="1">
      <alignment horizontal="center"/>
    </xf>
    <xf numFmtId="0" fontId="2" fillId="0" borderId="22" xfId="0" applyFont="1" applyBorder="1"/>
    <xf numFmtId="165" fontId="2" fillId="0" borderId="22" xfId="0" applyNumberFormat="1" applyFont="1" applyBorder="1" applyAlignment="1">
      <alignment horizontal="center" vertical="center"/>
    </xf>
    <xf numFmtId="165" fontId="2" fillId="0" borderId="23" xfId="0" applyNumberFormat="1" applyFont="1" applyBorder="1" applyAlignment="1">
      <alignment horizontal="center" vertical="center"/>
    </xf>
    <xf numFmtId="165" fontId="0" fillId="0" borderId="0" xfId="0" applyNumberFormat="1" applyAlignment="1">
      <alignment horizontal="left"/>
    </xf>
    <xf numFmtId="0" fontId="2" fillId="4" borderId="0" xfId="0" applyFont="1" applyFill="1" applyAlignment="1" applyProtection="1">
      <alignment horizontal="center" vertical="center"/>
      <protection locked="0"/>
    </xf>
    <xf numFmtId="0" fontId="2" fillId="0" borderId="23" xfId="0" applyFont="1" applyBorder="1" applyAlignment="1">
      <alignment horizontal="center"/>
    </xf>
    <xf numFmtId="0" fontId="0" fillId="0" borderId="33" xfId="0" applyBorder="1" applyAlignment="1">
      <alignment horizontal="center"/>
    </xf>
    <xf numFmtId="0" fontId="0" fillId="0" borderId="32" xfId="0" applyBorder="1" applyAlignment="1">
      <alignment horizontal="center"/>
    </xf>
    <xf numFmtId="1" fontId="2" fillId="0" borderId="22" xfId="0" applyNumberFormat="1" applyFont="1" applyBorder="1" applyAlignment="1">
      <alignment horizontal="center"/>
    </xf>
    <xf numFmtId="165" fontId="2" fillId="0" borderId="23" xfId="0" applyNumberFormat="1" applyFont="1" applyBorder="1" applyAlignment="1">
      <alignment horizontal="center"/>
    </xf>
    <xf numFmtId="0" fontId="0" fillId="0" borderId="33" xfId="0" applyBorder="1"/>
    <xf numFmtId="0" fontId="0" fillId="0" borderId="32" xfId="0" applyBorder="1"/>
    <xf numFmtId="0" fontId="0" fillId="0" borderId="20" xfId="0" applyBorder="1"/>
    <xf numFmtId="0" fontId="2" fillId="4" borderId="20" xfId="0" applyFont="1" applyFill="1" applyBorder="1" applyAlignment="1" applyProtection="1">
      <alignment horizontal="center" vertical="center"/>
      <protection locked="0"/>
    </xf>
    <xf numFmtId="0" fontId="0" fillId="0" borderId="21" xfId="0" applyBorder="1"/>
    <xf numFmtId="0" fontId="0" fillId="0" borderId="22" xfId="0" applyBorder="1"/>
    <xf numFmtId="0" fontId="0" fillId="0" borderId="23" xfId="0" applyBorder="1"/>
    <xf numFmtId="0" fontId="29" fillId="0" borderId="20" xfId="0" applyFont="1" applyBorder="1" applyAlignment="1">
      <alignment horizontal="left"/>
    </xf>
    <xf numFmtId="0" fontId="2" fillId="0" borderId="0" xfId="0" applyFont="1" applyAlignment="1">
      <alignment horizontal="right"/>
    </xf>
    <xf numFmtId="0" fontId="2" fillId="0" borderId="22" xfId="0" applyFont="1" applyBorder="1" applyAlignment="1">
      <alignment horizontal="center"/>
    </xf>
    <xf numFmtId="0" fontId="2" fillId="0" borderId="31" xfId="0" applyFont="1" applyBorder="1" applyAlignment="1">
      <alignment horizontal="center"/>
    </xf>
    <xf numFmtId="0" fontId="2" fillId="0" borderId="19" xfId="0" applyFont="1" applyBorder="1" applyAlignment="1">
      <alignment horizontal="center"/>
    </xf>
    <xf numFmtId="0" fontId="2" fillId="0" borderId="21" xfId="0" applyFont="1" applyBorder="1" applyAlignment="1">
      <alignment horizontal="center"/>
    </xf>
    <xf numFmtId="0" fontId="2" fillId="0" borderId="19" xfId="0" applyFont="1" applyBorder="1" applyAlignment="1">
      <alignment horizontal="center" vertical="center"/>
    </xf>
    <xf numFmtId="0" fontId="2" fillId="4" borderId="23" xfId="0" applyFont="1" applyFill="1" applyBorder="1" applyAlignment="1" applyProtection="1">
      <alignment horizontal="center" vertical="center"/>
      <protection locked="0"/>
    </xf>
    <xf numFmtId="1" fontId="2" fillId="0" borderId="20" xfId="0" applyNumberFormat="1" applyFont="1" applyBorder="1" applyAlignment="1">
      <alignment horizontal="center"/>
    </xf>
    <xf numFmtId="165" fontId="2" fillId="0" borderId="22" xfId="0" applyNumberFormat="1" applyFont="1" applyBorder="1" applyAlignment="1">
      <alignment horizontal="center"/>
    </xf>
    <xf numFmtId="0" fontId="2" fillId="0" borderId="34" xfId="0" applyFont="1" applyBorder="1" applyAlignment="1">
      <alignment horizontal="center"/>
    </xf>
    <xf numFmtId="1" fontId="2" fillId="0" borderId="0" xfId="0" applyNumberFormat="1" applyFont="1" applyAlignment="1">
      <alignment horizontal="center" vertical="center"/>
    </xf>
    <xf numFmtId="1" fontId="2" fillId="0" borderId="20" xfId="0" applyNumberFormat="1" applyFont="1" applyBorder="1" applyAlignment="1">
      <alignment horizontal="center" vertical="center"/>
    </xf>
    <xf numFmtId="0" fontId="2" fillId="0" borderId="35" xfId="0" applyFont="1" applyBorder="1"/>
    <xf numFmtId="1" fontId="2" fillId="0" borderId="35" xfId="0" applyNumberFormat="1" applyFont="1" applyBorder="1" applyAlignment="1">
      <alignment horizontal="center"/>
    </xf>
    <xf numFmtId="0" fontId="2" fillId="0" borderId="35" xfId="0" applyFont="1" applyBorder="1" applyAlignment="1">
      <alignment horizontal="center"/>
    </xf>
    <xf numFmtId="0" fontId="2" fillId="4" borderId="32" xfId="0" applyFont="1" applyFill="1" applyBorder="1" applyAlignment="1" applyProtection="1">
      <alignment horizontal="center" vertical="center"/>
      <protection locked="0"/>
    </xf>
    <xf numFmtId="0" fontId="2" fillId="0" borderId="23" xfId="0" applyFont="1" applyBorder="1"/>
    <xf numFmtId="0" fontId="30" fillId="0" borderId="13" xfId="0" applyFont="1" applyBorder="1" applyAlignment="1">
      <alignment horizontal="right" vertical="center"/>
    </xf>
    <xf numFmtId="0" fontId="30" fillId="0" borderId="13" xfId="2" applyFont="1" applyBorder="1" applyAlignment="1">
      <alignment horizontal="right"/>
    </xf>
    <xf numFmtId="2" fontId="0" fillId="16" borderId="31" xfId="0" applyNumberFormat="1" applyFill="1" applyBorder="1" applyAlignment="1">
      <alignment horizontal="center"/>
    </xf>
    <xf numFmtId="2" fontId="0" fillId="16" borderId="33" xfId="0" applyNumberFormat="1" applyFill="1" applyBorder="1" applyAlignment="1">
      <alignment horizontal="center"/>
    </xf>
    <xf numFmtId="2" fontId="0" fillId="16" borderId="32" xfId="0" applyNumberFormat="1" applyFill="1" applyBorder="1" applyAlignment="1">
      <alignment horizontal="center"/>
    </xf>
    <xf numFmtId="0" fontId="0" fillId="16" borderId="31" xfId="0" applyFill="1" applyBorder="1" applyAlignment="1">
      <alignment horizontal="center"/>
    </xf>
    <xf numFmtId="0" fontId="0" fillId="16" borderId="33" xfId="0" applyFill="1" applyBorder="1" applyAlignment="1">
      <alignment horizontal="center"/>
    </xf>
    <xf numFmtId="0" fontId="0" fillId="16" borderId="32" xfId="0" applyFill="1" applyBorder="1" applyAlignment="1">
      <alignment horizontal="center"/>
    </xf>
    <xf numFmtId="2" fontId="0" fillId="0" borderId="0" xfId="0" applyNumberFormat="1"/>
    <xf numFmtId="2" fontId="0" fillId="0" borderId="0" xfId="0" applyNumberFormat="1" applyAlignment="1">
      <alignment horizontal="left"/>
    </xf>
    <xf numFmtId="2" fontId="9" fillId="0" borderId="0" xfId="0" applyNumberFormat="1" applyFont="1" applyAlignment="1">
      <alignment horizontal="left"/>
    </xf>
    <xf numFmtId="2" fontId="10" fillId="0" borderId="0" xfId="1" applyNumberFormat="1" applyAlignment="1">
      <alignment horizontal="left"/>
    </xf>
    <xf numFmtId="2" fontId="10" fillId="0" borderId="0" xfId="1" applyNumberFormat="1" applyAlignment="1">
      <alignment horizontal="center"/>
    </xf>
    <xf numFmtId="2" fontId="0" fillId="0" borderId="0" xfId="0" quotePrefix="1" applyNumberFormat="1" applyAlignment="1">
      <alignment horizontal="center"/>
    </xf>
    <xf numFmtId="2" fontId="0" fillId="21" borderId="20" xfId="0" applyNumberFormat="1" applyFill="1" applyBorder="1" applyAlignment="1">
      <alignment horizontal="center"/>
    </xf>
    <xf numFmtId="2" fontId="0" fillId="21" borderId="23" xfId="0" applyNumberFormat="1" applyFill="1" applyBorder="1" applyAlignment="1">
      <alignment horizontal="center"/>
    </xf>
    <xf numFmtId="2" fontId="0" fillId="21" borderId="19" xfId="0" applyNumberFormat="1" applyFill="1" applyBorder="1" applyAlignment="1">
      <alignment horizontal="center"/>
    </xf>
    <xf numFmtId="2" fontId="0" fillId="21" borderId="0" xfId="0" applyNumberFormat="1" applyFill="1" applyAlignment="1">
      <alignment horizontal="center"/>
    </xf>
    <xf numFmtId="2" fontId="0" fillId="21" borderId="21" xfId="0" applyNumberFormat="1" applyFill="1" applyBorder="1" applyAlignment="1">
      <alignment horizontal="center"/>
    </xf>
    <xf numFmtId="2" fontId="0" fillId="21" borderId="22" xfId="0" applyNumberFormat="1" applyFill="1" applyBorder="1" applyAlignment="1">
      <alignment horizontal="center"/>
    </xf>
    <xf numFmtId="1" fontId="0" fillId="21" borderId="19" xfId="0" applyNumberFormat="1" applyFill="1" applyBorder="1" applyAlignment="1">
      <alignment horizontal="center"/>
    </xf>
    <xf numFmtId="2" fontId="0" fillId="21" borderId="26" xfId="0" applyNumberFormat="1" applyFill="1" applyBorder="1" applyAlignment="1">
      <alignment horizontal="center"/>
    </xf>
    <xf numFmtId="1" fontId="0" fillId="21" borderId="21" xfId="0" applyNumberFormat="1" applyFill="1" applyBorder="1" applyAlignment="1">
      <alignment horizontal="center"/>
    </xf>
    <xf numFmtId="2" fontId="0" fillId="21" borderId="25" xfId="0" applyNumberFormat="1" applyFill="1" applyBorder="1" applyAlignment="1">
      <alignment horizontal="center"/>
    </xf>
    <xf numFmtId="0" fontId="0" fillId="21" borderId="19" xfId="0" applyFill="1" applyBorder="1"/>
    <xf numFmtId="0" fontId="0" fillId="21" borderId="0" xfId="0" applyFill="1"/>
    <xf numFmtId="0" fontId="0" fillId="21" borderId="20" xfId="0" applyFill="1" applyBorder="1" applyAlignment="1">
      <alignment horizontal="center"/>
    </xf>
    <xf numFmtId="0" fontId="0" fillId="21" borderId="21" xfId="0" applyFill="1" applyBorder="1"/>
    <xf numFmtId="0" fontId="0" fillId="21" borderId="22" xfId="0" applyFill="1" applyBorder="1"/>
    <xf numFmtId="0" fontId="0" fillId="21" borderId="23" xfId="0" applyFill="1" applyBorder="1" applyAlignment="1">
      <alignment horizontal="center"/>
    </xf>
    <xf numFmtId="1" fontId="0" fillId="21" borderId="31" xfId="0" applyNumberFormat="1" applyFill="1" applyBorder="1" applyAlignment="1">
      <alignment horizontal="center"/>
    </xf>
    <xf numFmtId="1" fontId="0" fillId="21" borderId="33" xfId="0" applyNumberFormat="1" applyFill="1" applyBorder="1" applyAlignment="1">
      <alignment horizontal="center"/>
    </xf>
    <xf numFmtId="1" fontId="0" fillId="21" borderId="32" xfId="0" applyNumberFormat="1" applyFill="1" applyBorder="1" applyAlignment="1">
      <alignment horizontal="center"/>
    </xf>
    <xf numFmtId="1" fontId="0" fillId="21" borderId="0" xfId="0" applyNumberFormat="1" applyFill="1" applyAlignment="1">
      <alignment horizontal="center"/>
    </xf>
    <xf numFmtId="1" fontId="0" fillId="21" borderId="20" xfId="0" applyNumberFormat="1" applyFill="1" applyBorder="1" applyAlignment="1">
      <alignment horizontal="center"/>
    </xf>
    <xf numFmtId="1" fontId="0" fillId="21" borderId="22" xfId="0" applyNumberFormat="1" applyFill="1" applyBorder="1" applyAlignment="1">
      <alignment horizontal="center"/>
    </xf>
    <xf numFmtId="1" fontId="0" fillId="21" borderId="23" xfId="0" applyNumberFormat="1" applyFill="1" applyBorder="1" applyAlignment="1">
      <alignment horizontal="center"/>
    </xf>
    <xf numFmtId="2" fontId="0" fillId="21" borderId="32" xfId="0" applyNumberFormat="1" applyFill="1" applyBorder="1" applyAlignment="1">
      <alignment horizontal="center"/>
    </xf>
    <xf numFmtId="2" fontId="0" fillId="21" borderId="24" xfId="0" applyNumberFormat="1" applyFill="1" applyBorder="1" applyAlignment="1">
      <alignment horizontal="center"/>
    </xf>
    <xf numFmtId="2" fontId="0" fillId="21" borderId="31" xfId="0" applyNumberFormat="1" applyFill="1" applyBorder="1" applyAlignment="1">
      <alignment horizontal="center"/>
    </xf>
    <xf numFmtId="0" fontId="0" fillId="22" borderId="36" xfId="0" applyFill="1" applyBorder="1" applyAlignment="1">
      <alignment horizontal="center"/>
    </xf>
    <xf numFmtId="0" fontId="0" fillId="22" borderId="37" xfId="0" applyFill="1" applyBorder="1" applyAlignment="1">
      <alignment horizontal="center"/>
    </xf>
    <xf numFmtId="0" fontId="0" fillId="22" borderId="38" xfId="0" applyFill="1" applyBorder="1" applyAlignment="1">
      <alignment horizontal="center"/>
    </xf>
    <xf numFmtId="0" fontId="0" fillId="22" borderId="39" xfId="0" applyFill="1" applyBorder="1" applyAlignment="1">
      <alignment horizontal="center"/>
    </xf>
    <xf numFmtId="0" fontId="0" fillId="22" borderId="40" xfId="0" applyFill="1" applyBorder="1" applyAlignment="1">
      <alignment horizontal="center"/>
    </xf>
    <xf numFmtId="0" fontId="0" fillId="22" borderId="41" xfId="0" applyFill="1" applyBorder="1" applyAlignment="1">
      <alignment horizontal="center"/>
    </xf>
    <xf numFmtId="0" fontId="0" fillId="22" borderId="42" xfId="0" applyFill="1" applyBorder="1" applyAlignment="1">
      <alignment horizontal="center"/>
    </xf>
    <xf numFmtId="0" fontId="0" fillId="22" borderId="43" xfId="0" applyFill="1" applyBorder="1" applyAlignment="1">
      <alignment horizontal="center"/>
    </xf>
    <xf numFmtId="0" fontId="0" fillId="22" borderId="44" xfId="0" applyFill="1" applyBorder="1" applyAlignment="1">
      <alignment horizontal="center"/>
    </xf>
    <xf numFmtId="0" fontId="0" fillId="22" borderId="45" xfId="0" applyFill="1" applyBorder="1" applyAlignment="1">
      <alignment horizontal="center"/>
    </xf>
    <xf numFmtId="0" fontId="0" fillId="22" borderId="46" xfId="0" applyFill="1" applyBorder="1" applyAlignment="1">
      <alignment horizontal="center"/>
    </xf>
    <xf numFmtId="0" fontId="0" fillId="22" borderId="47" xfId="0" applyFill="1" applyBorder="1" applyAlignment="1">
      <alignment horizontal="center"/>
    </xf>
    <xf numFmtId="0" fontId="0" fillId="22" borderId="48" xfId="0" applyFill="1" applyBorder="1" applyAlignment="1">
      <alignment horizontal="center"/>
    </xf>
    <xf numFmtId="0" fontId="0" fillId="22" borderId="49" xfId="0" applyFill="1" applyBorder="1" applyAlignment="1">
      <alignment horizontal="center"/>
    </xf>
    <xf numFmtId="0" fontId="0" fillId="22" borderId="50" xfId="0" applyFill="1" applyBorder="1" applyAlignment="1">
      <alignment horizontal="center"/>
    </xf>
    <xf numFmtId="0" fontId="8" fillId="22" borderId="36" xfId="0" applyFont="1" applyFill="1" applyBorder="1" applyAlignment="1">
      <alignment horizontal="center"/>
    </xf>
    <xf numFmtId="0" fontId="15" fillId="22" borderId="37" xfId="0" applyFont="1" applyFill="1" applyBorder="1" applyAlignment="1">
      <alignment horizontal="center"/>
    </xf>
    <xf numFmtId="2" fontId="0" fillId="23" borderId="19" xfId="0" applyNumberFormat="1" applyFill="1" applyBorder="1" applyAlignment="1">
      <alignment horizontal="center"/>
    </xf>
    <xf numFmtId="2" fontId="0" fillId="23" borderId="21" xfId="0" applyNumberFormat="1" applyFill="1" applyBorder="1" applyAlignment="1">
      <alignment horizontal="center"/>
    </xf>
    <xf numFmtId="2" fontId="0" fillId="24" borderId="32" xfId="0" applyNumberFormat="1" applyFill="1" applyBorder="1" applyAlignment="1">
      <alignment horizontal="center"/>
    </xf>
    <xf numFmtId="2" fontId="0" fillId="24" borderId="31" xfId="0" applyNumberFormat="1" applyFill="1" applyBorder="1" applyAlignment="1">
      <alignment horizontal="center"/>
    </xf>
    <xf numFmtId="2" fontId="0" fillId="24" borderId="33" xfId="0" applyNumberFormat="1" applyFill="1" applyBorder="1" applyAlignment="1">
      <alignment horizontal="center"/>
    </xf>
    <xf numFmtId="0" fontId="0" fillId="25" borderId="51" xfId="0" applyFill="1" applyBorder="1" applyAlignment="1">
      <alignment horizontal="center"/>
    </xf>
    <xf numFmtId="184" fontId="0" fillId="25" borderId="11" xfId="0" applyNumberFormat="1" applyFill="1" applyBorder="1" applyAlignment="1">
      <alignment horizontal="center"/>
    </xf>
    <xf numFmtId="173" fontId="0" fillId="25" borderId="11" xfId="0" applyNumberFormat="1" applyFill="1" applyBorder="1" applyAlignment="1">
      <alignment horizontal="center"/>
    </xf>
    <xf numFmtId="164" fontId="0" fillId="24" borderId="11" xfId="0" applyNumberFormat="1" applyFill="1" applyBorder="1" applyAlignment="1">
      <alignment horizontal="center"/>
    </xf>
    <xf numFmtId="164" fontId="0" fillId="25" borderId="11" xfId="0" applyNumberFormat="1" applyFill="1" applyBorder="1" applyAlignment="1">
      <alignment horizontal="center"/>
    </xf>
    <xf numFmtId="178" fontId="0" fillId="24" borderId="11" xfId="0" applyNumberFormat="1" applyFill="1" applyBorder="1" applyAlignment="1">
      <alignment horizontal="center"/>
    </xf>
    <xf numFmtId="0" fontId="0" fillId="24" borderId="11" xfId="0" applyFill="1" applyBorder="1" applyAlignment="1">
      <alignment horizontal="center"/>
    </xf>
    <xf numFmtId="0" fontId="0" fillId="25" borderId="52" xfId="0" applyFill="1" applyBorder="1" applyAlignment="1">
      <alignment horizontal="center"/>
    </xf>
    <xf numFmtId="0" fontId="0" fillId="25" borderId="53" xfId="0" applyFill="1" applyBorder="1" applyAlignment="1">
      <alignment horizontal="center"/>
    </xf>
    <xf numFmtId="0" fontId="2" fillId="26" borderId="52" xfId="0" applyFont="1" applyFill="1" applyBorder="1" applyAlignment="1">
      <alignment horizontal="center"/>
    </xf>
    <xf numFmtId="0" fontId="0" fillId="26" borderId="54" xfId="0" applyFill="1" applyBorder="1" applyAlignment="1">
      <alignment horizontal="center"/>
    </xf>
    <xf numFmtId="0" fontId="0" fillId="26" borderId="53" xfId="0" applyFill="1" applyBorder="1" applyAlignment="1">
      <alignment horizontal="center"/>
    </xf>
    <xf numFmtId="0" fontId="0" fillId="25" borderId="55" xfId="0" applyFill="1" applyBorder="1" applyAlignment="1">
      <alignment horizontal="center"/>
    </xf>
    <xf numFmtId="0" fontId="0" fillId="25" borderId="56" xfId="0" applyFill="1" applyBorder="1" applyAlignment="1">
      <alignment horizontal="center"/>
    </xf>
    <xf numFmtId="0" fontId="0" fillId="25" borderId="57" xfId="0" applyFill="1" applyBorder="1" applyAlignment="1">
      <alignment horizontal="center"/>
    </xf>
    <xf numFmtId="0" fontId="0" fillId="25" borderId="58" xfId="0" applyFill="1" applyBorder="1" applyAlignment="1">
      <alignment horizontal="center"/>
    </xf>
    <xf numFmtId="0" fontId="0" fillId="25" borderId="59" xfId="0" applyFill="1" applyBorder="1" applyAlignment="1">
      <alignment horizontal="center"/>
    </xf>
    <xf numFmtId="0" fontId="0" fillId="25" borderId="60" xfId="0" applyFill="1" applyBorder="1" applyAlignment="1">
      <alignment horizontal="center"/>
    </xf>
    <xf numFmtId="0" fontId="0" fillId="3" borderId="55" xfId="0" applyFill="1" applyBorder="1" applyAlignment="1">
      <alignment horizontal="center"/>
    </xf>
    <xf numFmtId="0" fontId="0" fillId="3" borderId="56" xfId="0" applyFill="1" applyBorder="1" applyAlignment="1">
      <alignment horizontal="center"/>
    </xf>
    <xf numFmtId="0" fontId="0" fillId="3" borderId="61" xfId="0" applyFill="1" applyBorder="1" applyAlignment="1">
      <alignment horizontal="center"/>
    </xf>
    <xf numFmtId="0" fontId="0" fillId="3" borderId="0" xfId="0" applyFill="1" applyAlignment="1">
      <alignment horizontal="center"/>
    </xf>
    <xf numFmtId="183" fontId="0" fillId="25" borderId="58" xfId="0" applyNumberFormat="1" applyFill="1" applyBorder="1" applyAlignment="1">
      <alignment horizontal="center"/>
    </xf>
    <xf numFmtId="183" fontId="0" fillId="25" borderId="59" xfId="0" applyNumberFormat="1" applyFill="1" applyBorder="1" applyAlignment="1">
      <alignment horizontal="center"/>
    </xf>
    <xf numFmtId="2" fontId="0" fillId="3" borderId="0" xfId="0" applyNumberFormat="1" applyFill="1" applyAlignment="1">
      <alignment horizontal="center"/>
    </xf>
    <xf numFmtId="169" fontId="0" fillId="3" borderId="56" xfId="0" applyNumberFormat="1" applyFill="1" applyBorder="1" applyAlignment="1">
      <alignment horizontal="center"/>
    </xf>
    <xf numFmtId="0" fontId="0" fillId="26" borderId="1" xfId="0" applyFill="1" applyBorder="1" applyAlignment="1">
      <alignment horizontal="center"/>
    </xf>
    <xf numFmtId="0" fontId="0" fillId="26" borderId="51" xfId="0" applyFill="1" applyBorder="1" applyAlignment="1">
      <alignment horizontal="center"/>
    </xf>
    <xf numFmtId="183" fontId="0" fillId="26" borderId="51" xfId="0" applyNumberFormat="1" applyFill="1" applyBorder="1" applyAlignment="1">
      <alignment horizontal="center"/>
    </xf>
    <xf numFmtId="0" fontId="0" fillId="24" borderId="57" xfId="0" applyFill="1" applyBorder="1" applyAlignment="1">
      <alignment horizontal="center"/>
    </xf>
    <xf numFmtId="0" fontId="0" fillId="24" borderId="62" xfId="0" applyFill="1" applyBorder="1" applyAlignment="1">
      <alignment horizontal="center"/>
    </xf>
    <xf numFmtId="183" fontId="0" fillId="25" borderId="60" xfId="0" applyNumberFormat="1" applyFill="1" applyBorder="1" applyAlignment="1">
      <alignment horizontal="center"/>
    </xf>
    <xf numFmtId="0" fontId="45" fillId="0" borderId="0" xfId="0" applyFont="1" applyAlignment="1">
      <alignment vertical="center"/>
    </xf>
    <xf numFmtId="0" fontId="46" fillId="0" borderId="0" xfId="2" applyFont="1"/>
    <xf numFmtId="0" fontId="46" fillId="27" borderId="2" xfId="2" applyFont="1" applyFill="1" applyBorder="1" applyAlignment="1" applyProtection="1">
      <alignment horizontal="center"/>
      <protection hidden="1"/>
    </xf>
    <xf numFmtId="177" fontId="47" fillId="5" borderId="2" xfId="2" applyNumberFormat="1" applyFont="1" applyFill="1" applyBorder="1" applyAlignment="1" applyProtection="1">
      <alignment horizontal="center"/>
      <protection hidden="1"/>
    </xf>
    <xf numFmtId="0" fontId="45" fillId="0" borderId="0" xfId="2" applyFont="1"/>
    <xf numFmtId="0" fontId="48" fillId="0" borderId="10" xfId="2" applyFont="1" applyBorder="1" applyAlignment="1">
      <alignment horizontal="right"/>
    </xf>
    <xf numFmtId="0" fontId="46" fillId="0" borderId="10" xfId="2" applyFont="1" applyBorder="1"/>
    <xf numFmtId="0" fontId="49" fillId="0" borderId="10" xfId="2" applyFont="1" applyBorder="1" applyAlignment="1">
      <alignment horizontal="left"/>
    </xf>
    <xf numFmtId="0" fontId="48" fillId="0" borderId="10" xfId="2" applyFont="1" applyBorder="1"/>
    <xf numFmtId="0" fontId="48" fillId="0" borderId="7" xfId="0" applyFont="1" applyBorder="1" applyAlignment="1">
      <alignment horizontal="right" vertical="center"/>
    </xf>
    <xf numFmtId="0" fontId="49" fillId="0" borderId="7" xfId="0" applyFont="1" applyBorder="1" applyAlignment="1">
      <alignment horizontal="right" vertical="center"/>
    </xf>
    <xf numFmtId="166" fontId="0" fillId="0" borderId="7" xfId="0" applyNumberFormat="1" applyBorder="1" applyAlignment="1">
      <alignment horizontal="right" vertical="center"/>
    </xf>
    <xf numFmtId="193" fontId="0" fillId="3" borderId="11" xfId="0" applyNumberFormat="1" applyFill="1" applyBorder="1" applyAlignment="1">
      <alignment horizontal="center"/>
    </xf>
    <xf numFmtId="0" fontId="0" fillId="28" borderId="24" xfId="0" applyFill="1" applyBorder="1" applyAlignment="1">
      <alignment horizontal="center"/>
    </xf>
    <xf numFmtId="0" fontId="0" fillId="29" borderId="26" xfId="0" applyFill="1" applyBorder="1" applyAlignment="1">
      <alignment horizontal="center"/>
    </xf>
    <xf numFmtId="186" fontId="0" fillId="25" borderId="11" xfId="0" applyNumberFormat="1" applyFill="1" applyBorder="1" applyAlignment="1">
      <alignment horizontal="center"/>
    </xf>
    <xf numFmtId="176" fontId="33" fillId="5" borderId="24" xfId="2" applyNumberFormat="1" applyFont="1" applyFill="1" applyBorder="1" applyAlignment="1" applyProtection="1">
      <alignment horizontal="center"/>
      <protection hidden="1"/>
    </xf>
    <xf numFmtId="176" fontId="33" fillId="5" borderId="26" xfId="2" applyNumberFormat="1" applyFont="1" applyFill="1" applyBorder="1" applyAlignment="1" applyProtection="1">
      <alignment horizontal="center"/>
      <protection hidden="1"/>
    </xf>
    <xf numFmtId="176" fontId="33" fillId="5" borderId="25" xfId="2" applyNumberFormat="1" applyFont="1" applyFill="1" applyBorder="1" applyAlignment="1" applyProtection="1">
      <alignment horizontal="center"/>
      <protection hidden="1"/>
    </xf>
    <xf numFmtId="0" fontId="33" fillId="5" borderId="63" xfId="2" applyFont="1" applyFill="1" applyBorder="1" applyAlignment="1">
      <alignment horizontal="center"/>
    </xf>
    <xf numFmtId="0" fontId="33" fillId="5" borderId="20" xfId="2" applyFont="1" applyFill="1" applyBorder="1" applyAlignment="1">
      <alignment horizontal="center"/>
    </xf>
    <xf numFmtId="0" fontId="33" fillId="5" borderId="23" xfId="2" applyFont="1" applyFill="1" applyBorder="1" applyAlignment="1">
      <alignment horizontal="center"/>
    </xf>
    <xf numFmtId="176" fontId="33" fillId="5" borderId="63" xfId="2" applyNumberFormat="1" applyFont="1" applyFill="1" applyBorder="1" applyAlignment="1">
      <alignment horizontal="center"/>
    </xf>
    <xf numFmtId="196" fontId="33" fillId="5" borderId="63" xfId="2" applyNumberFormat="1" applyFont="1" applyFill="1" applyBorder="1" applyAlignment="1">
      <alignment horizontal="center"/>
    </xf>
    <xf numFmtId="196" fontId="33" fillId="5" borderId="20" xfId="2" applyNumberFormat="1" applyFont="1" applyFill="1" applyBorder="1" applyAlignment="1">
      <alignment horizontal="center"/>
    </xf>
    <xf numFmtId="196" fontId="33" fillId="5" borderId="23" xfId="2" applyNumberFormat="1" applyFont="1" applyFill="1" applyBorder="1" applyAlignment="1">
      <alignment horizontal="center"/>
    </xf>
    <xf numFmtId="174" fontId="33" fillId="5" borderId="63" xfId="2" applyNumberFormat="1" applyFont="1" applyFill="1" applyBorder="1" applyAlignment="1">
      <alignment horizontal="center"/>
    </xf>
    <xf numFmtId="174" fontId="33" fillId="5" borderId="20" xfId="2" applyNumberFormat="1" applyFont="1" applyFill="1" applyBorder="1" applyAlignment="1">
      <alignment horizontal="center"/>
    </xf>
    <xf numFmtId="174" fontId="33" fillId="5" borderId="23" xfId="2" applyNumberFormat="1" applyFont="1" applyFill="1" applyBorder="1" applyAlignment="1">
      <alignment horizontal="center"/>
    </xf>
    <xf numFmtId="167" fontId="33" fillId="5" borderId="63" xfId="2" applyNumberFormat="1" applyFont="1" applyFill="1" applyBorder="1" applyAlignment="1">
      <alignment horizontal="center"/>
    </xf>
    <xf numFmtId="167" fontId="33" fillId="5" borderId="20" xfId="2" applyNumberFormat="1" applyFont="1" applyFill="1" applyBorder="1" applyAlignment="1">
      <alignment horizontal="center"/>
    </xf>
    <xf numFmtId="167" fontId="33" fillId="5" borderId="23" xfId="2" applyNumberFormat="1" applyFont="1" applyFill="1" applyBorder="1" applyAlignment="1">
      <alignment horizontal="center"/>
    </xf>
    <xf numFmtId="170" fontId="33" fillId="5" borderId="63" xfId="2" applyNumberFormat="1" applyFont="1" applyFill="1" applyBorder="1" applyAlignment="1">
      <alignment horizontal="center"/>
    </xf>
    <xf numFmtId="170" fontId="33" fillId="5" borderId="20" xfId="2" applyNumberFormat="1" applyFont="1" applyFill="1" applyBorder="1" applyAlignment="1">
      <alignment horizontal="center"/>
    </xf>
    <xf numFmtId="170" fontId="33" fillId="5" borderId="23" xfId="2" applyNumberFormat="1" applyFont="1" applyFill="1" applyBorder="1" applyAlignment="1">
      <alignment horizontal="center"/>
    </xf>
    <xf numFmtId="0" fontId="2" fillId="9" borderId="2" xfId="0" applyFont="1" applyFill="1" applyBorder="1" applyAlignment="1" applyProtection="1">
      <alignment horizontal="center" vertical="center"/>
      <protection hidden="1"/>
    </xf>
    <xf numFmtId="0" fontId="0" fillId="9" borderId="2" xfId="0" applyFill="1" applyBorder="1" applyAlignment="1" applyProtection="1">
      <alignment horizontal="center" vertical="center"/>
      <protection hidden="1"/>
    </xf>
    <xf numFmtId="0" fontId="0" fillId="0" borderId="22" xfId="0" applyBorder="1" applyAlignment="1">
      <alignment horizontal="center" vertical="center"/>
    </xf>
    <xf numFmtId="0" fontId="8" fillId="0" borderId="33" xfId="0" applyFont="1" applyBorder="1" applyAlignment="1">
      <alignment horizontal="center" vertical="center"/>
    </xf>
    <xf numFmtId="0" fontId="8" fillId="0" borderId="32" xfId="0" applyFont="1" applyBorder="1" applyAlignment="1">
      <alignment horizontal="center" vertical="center"/>
    </xf>
    <xf numFmtId="187" fontId="2" fillId="7" borderId="2" xfId="0" applyNumberFormat="1" applyFont="1" applyFill="1" applyBorder="1" applyAlignment="1">
      <alignment horizontal="center" vertical="center"/>
    </xf>
    <xf numFmtId="197" fontId="33" fillId="5" borderId="24" xfId="2" applyNumberFormat="1" applyFont="1" applyFill="1" applyBorder="1" applyAlignment="1">
      <alignment horizontal="center"/>
    </xf>
    <xf numFmtId="197" fontId="33" fillId="5" borderId="26" xfId="2" applyNumberFormat="1" applyFont="1" applyFill="1" applyBorder="1" applyAlignment="1">
      <alignment horizontal="center"/>
    </xf>
    <xf numFmtId="197" fontId="33" fillId="5" borderId="25" xfId="2" applyNumberFormat="1" applyFont="1" applyFill="1" applyBorder="1" applyAlignment="1">
      <alignment horizontal="center"/>
    </xf>
    <xf numFmtId="0" fontId="45" fillId="0" borderId="0" xfId="2" applyFont="1" applyAlignment="1" applyProtection="1">
      <alignment horizontal="right"/>
      <protection hidden="1"/>
    </xf>
    <xf numFmtId="0" fontId="2" fillId="0" borderId="31" xfId="0" applyFont="1" applyBorder="1"/>
    <xf numFmtId="0" fontId="2" fillId="0" borderId="32" xfId="0" applyFont="1" applyBorder="1"/>
    <xf numFmtId="0" fontId="2" fillId="0" borderId="21" xfId="0" applyFont="1" applyBorder="1"/>
    <xf numFmtId="0" fontId="2" fillId="0" borderId="19" xfId="0" applyFont="1" applyBorder="1" applyAlignment="1">
      <alignment horizontal="left"/>
    </xf>
    <xf numFmtId="14" fontId="2" fillId="0" borderId="23" xfId="0" applyNumberFormat="1" applyFont="1" applyBorder="1" applyAlignment="1">
      <alignment horizontal="center"/>
    </xf>
    <xf numFmtId="0" fontId="15" fillId="0" borderId="0" xfId="0" applyFont="1" applyAlignment="1">
      <alignment horizontal="right"/>
    </xf>
    <xf numFmtId="0" fontId="42" fillId="0" borderId="0" xfId="0" applyFont="1" applyAlignment="1">
      <alignment horizontal="center"/>
    </xf>
    <xf numFmtId="0" fontId="15" fillId="0" borderId="0" xfId="0" applyFont="1" applyAlignment="1">
      <alignment horizontal="center"/>
    </xf>
    <xf numFmtId="0" fontId="2" fillId="0" borderId="19" xfId="0" applyFont="1" applyBorder="1"/>
    <xf numFmtId="0" fontId="2" fillId="0" borderId="34" xfId="0" applyFont="1" applyBorder="1"/>
    <xf numFmtId="0" fontId="2" fillId="0" borderId="14" xfId="0" applyFont="1" applyBorder="1" applyAlignment="1">
      <alignment horizontal="center"/>
    </xf>
    <xf numFmtId="0" fontId="15" fillId="0" borderId="2" xfId="0" applyFont="1" applyBorder="1" applyAlignment="1">
      <alignment horizontal="center"/>
    </xf>
    <xf numFmtId="0" fontId="15" fillId="0" borderId="64" xfId="0" applyFont="1" applyBorder="1" applyAlignment="1">
      <alignment horizontal="center"/>
    </xf>
    <xf numFmtId="201" fontId="15" fillId="0" borderId="0" xfId="0" applyNumberFormat="1" applyFont="1"/>
    <xf numFmtId="191" fontId="0" fillId="0" borderId="0" xfId="0" applyNumberFormat="1"/>
    <xf numFmtId="192" fontId="0" fillId="0" borderId="0" xfId="0" applyNumberFormat="1"/>
    <xf numFmtId="0" fontId="43" fillId="0" borderId="0" xfId="0" applyFont="1"/>
    <xf numFmtId="192" fontId="2" fillId="30" borderId="32" xfId="0" applyNumberFormat="1" applyFont="1" applyFill="1" applyBorder="1" applyProtection="1">
      <protection locked="0"/>
    </xf>
    <xf numFmtId="198" fontId="2" fillId="0" borderId="23" xfId="0" applyNumberFormat="1" applyFont="1" applyBorder="1"/>
    <xf numFmtId="0" fontId="42" fillId="0" borderId="0" xfId="0" applyFont="1"/>
    <xf numFmtId="3" fontId="2" fillId="30" borderId="32" xfId="0" applyNumberFormat="1" applyFont="1" applyFill="1" applyBorder="1" applyAlignment="1">
      <alignment horizontal="center"/>
    </xf>
    <xf numFmtId="191" fontId="2" fillId="0" borderId="33" xfId="0" applyNumberFormat="1" applyFont="1" applyBorder="1" applyAlignment="1">
      <alignment horizontal="center"/>
    </xf>
    <xf numFmtId="192" fontId="2" fillId="0" borderId="32" xfId="0" applyNumberFormat="1" applyFont="1" applyBorder="1" applyAlignment="1">
      <alignment horizontal="center"/>
    </xf>
    <xf numFmtId="191" fontId="2" fillId="0" borderId="22" xfId="0" applyNumberFormat="1" applyFont="1" applyBorder="1" applyAlignment="1">
      <alignment horizontal="center"/>
    </xf>
    <xf numFmtId="192" fontId="2" fillId="0" borderId="23" xfId="0" applyNumberFormat="1" applyFont="1" applyBorder="1" applyAlignment="1">
      <alignment horizontal="center"/>
    </xf>
    <xf numFmtId="192" fontId="2" fillId="30" borderId="32" xfId="0" applyNumberFormat="1" applyFont="1" applyFill="1" applyBorder="1" applyAlignment="1" applyProtection="1">
      <alignment horizontal="center"/>
      <protection locked="0"/>
    </xf>
    <xf numFmtId="202" fontId="2" fillId="0" borderId="23" xfId="0" applyNumberFormat="1" applyFont="1" applyBorder="1" applyAlignment="1">
      <alignment horizontal="center"/>
    </xf>
    <xf numFmtId="201" fontId="2" fillId="0" borderId="23" xfId="0" applyNumberFormat="1" applyFont="1" applyBorder="1" applyAlignment="1">
      <alignment horizontal="center"/>
    </xf>
    <xf numFmtId="199" fontId="2" fillId="0" borderId="33" xfId="0" applyNumberFormat="1" applyFont="1" applyBorder="1" applyAlignment="1">
      <alignment horizontal="center"/>
    </xf>
    <xf numFmtId="200" fontId="2" fillId="0" borderId="32" xfId="0" applyNumberFormat="1" applyFont="1" applyBorder="1" applyAlignment="1">
      <alignment horizontal="center"/>
    </xf>
    <xf numFmtId="191" fontId="2" fillId="0" borderId="0" xfId="0" applyNumberFormat="1" applyFont="1" applyAlignment="1">
      <alignment horizontal="center"/>
    </xf>
    <xf numFmtId="192" fontId="2" fillId="0" borderId="20" xfId="0" applyNumberFormat="1" applyFont="1" applyBorder="1" applyAlignment="1">
      <alignment horizontal="center"/>
    </xf>
    <xf numFmtId="0" fontId="15" fillId="0" borderId="10" xfId="0" applyFont="1" applyBorder="1"/>
    <xf numFmtId="0" fontId="0" fillId="29" borderId="20" xfId="0" applyFill="1" applyBorder="1" applyAlignment="1">
      <alignment horizontal="center"/>
    </xf>
    <xf numFmtId="0" fontId="0" fillId="31" borderId="65" xfId="0" applyFill="1" applyBorder="1" applyAlignment="1">
      <alignment horizontal="center"/>
    </xf>
    <xf numFmtId="186" fontId="0" fillId="24" borderId="11" xfId="0" applyNumberFormat="1" applyFill="1" applyBorder="1" applyAlignment="1">
      <alignment horizontal="center"/>
    </xf>
    <xf numFmtId="203" fontId="0" fillId="24" borderId="11" xfId="0" applyNumberFormat="1" applyFill="1" applyBorder="1" applyAlignment="1">
      <alignment horizontal="center"/>
    </xf>
    <xf numFmtId="0" fontId="2" fillId="11" borderId="66" xfId="0" applyFont="1" applyFill="1" applyBorder="1" applyAlignment="1" applyProtection="1">
      <alignment horizontal="center" vertical="center"/>
      <protection hidden="1"/>
    </xf>
    <xf numFmtId="164" fontId="2" fillId="17" borderId="24" xfId="0" applyNumberFormat="1" applyFont="1" applyFill="1" applyBorder="1" applyAlignment="1">
      <alignment horizontal="center" vertical="center"/>
    </xf>
    <xf numFmtId="0" fontId="2" fillId="11" borderId="67" xfId="0" applyFont="1" applyFill="1" applyBorder="1" applyAlignment="1" applyProtection="1">
      <alignment horizontal="center" vertical="center"/>
      <protection hidden="1"/>
    </xf>
    <xf numFmtId="0" fontId="2" fillId="28" borderId="2" xfId="0" applyFont="1" applyFill="1" applyBorder="1" applyAlignment="1">
      <alignment horizontal="center" vertical="center"/>
    </xf>
    <xf numFmtId="0" fontId="0" fillId="30" borderId="0" xfId="0" applyFill="1"/>
    <xf numFmtId="0" fontId="0" fillId="30" borderId="0" xfId="0" applyFill="1" applyAlignment="1">
      <alignment horizontal="center"/>
    </xf>
    <xf numFmtId="0" fontId="0" fillId="0" borderId="0" xfId="0" applyAlignment="1" applyProtection="1">
      <alignment horizontal="center"/>
      <protection locked="0"/>
    </xf>
    <xf numFmtId="0" fontId="0" fillId="29" borderId="25" xfId="0" applyFill="1" applyBorder="1" applyAlignment="1">
      <alignment horizontal="center"/>
    </xf>
    <xf numFmtId="0" fontId="1" fillId="0" borderId="0" xfId="2" applyProtection="1">
      <protection locked="0"/>
    </xf>
    <xf numFmtId="0" fontId="1" fillId="0" borderId="0" xfId="2"/>
    <xf numFmtId="0" fontId="36" fillId="0" borderId="0" xfId="2" applyFont="1"/>
    <xf numFmtId="186" fontId="0" fillId="0" borderId="0" xfId="0" applyNumberFormat="1" applyAlignment="1">
      <alignment vertical="center"/>
    </xf>
    <xf numFmtId="0" fontId="0" fillId="0" borderId="0" xfId="0" quotePrefix="1" applyAlignment="1">
      <alignment horizontal="center" vertical="center"/>
    </xf>
    <xf numFmtId="170" fontId="0" fillId="0" borderId="0" xfId="0" applyNumberFormat="1" applyAlignment="1">
      <alignment horizontal="right" vertical="center"/>
    </xf>
    <xf numFmtId="164" fontId="2" fillId="18" borderId="24" xfId="0" applyNumberFormat="1" applyFont="1" applyFill="1" applyBorder="1" applyAlignment="1" applyProtection="1">
      <alignment horizontal="center" vertical="center"/>
      <protection locked="0"/>
    </xf>
    <xf numFmtId="0" fontId="10" fillId="0" borderId="0" xfId="1" applyAlignment="1" applyProtection="1">
      <alignment horizontal="left"/>
      <protection hidden="1"/>
    </xf>
    <xf numFmtId="166" fontId="50" fillId="0" borderId="0" xfId="0" applyNumberFormat="1" applyFont="1" applyAlignment="1">
      <alignment vertical="center"/>
    </xf>
    <xf numFmtId="0" fontId="2" fillId="0" borderId="0" xfId="0" applyFont="1" applyAlignment="1" applyProtection="1">
      <alignment horizontal="center" vertical="center"/>
      <protection hidden="1"/>
    </xf>
    <xf numFmtId="186" fontId="2" fillId="0" borderId="0" xfId="0" applyNumberFormat="1" applyFont="1" applyAlignment="1">
      <alignment horizontal="center" vertical="center"/>
    </xf>
    <xf numFmtId="204" fontId="2" fillId="32" borderId="2" xfId="0" applyNumberFormat="1" applyFont="1" applyFill="1" applyBorder="1" applyAlignment="1">
      <alignment horizontal="center" vertical="center"/>
    </xf>
    <xf numFmtId="175" fontId="0" fillId="7" borderId="46" xfId="0" applyNumberFormat="1" applyFill="1" applyBorder="1" applyAlignment="1">
      <alignment horizontal="center" vertical="center"/>
    </xf>
    <xf numFmtId="175" fontId="2" fillId="7" borderId="2" xfId="0" applyNumberFormat="1" applyFont="1" applyFill="1" applyBorder="1" applyAlignment="1">
      <alignment horizontal="center" vertical="center"/>
    </xf>
    <xf numFmtId="166" fontId="2" fillId="0" borderId="0" xfId="0" applyNumberFormat="1" applyFont="1" applyAlignment="1">
      <alignment horizontal="right" vertical="center"/>
    </xf>
    <xf numFmtId="0" fontId="2" fillId="9" borderId="46" xfId="0" applyFont="1" applyFill="1" applyBorder="1" applyAlignment="1" applyProtection="1">
      <alignment horizontal="center" vertical="center"/>
      <protection hidden="1"/>
    </xf>
    <xf numFmtId="0" fontId="5" fillId="9" borderId="46" xfId="0" applyFont="1" applyFill="1" applyBorder="1" applyAlignment="1" applyProtection="1">
      <alignment horizontal="center" vertical="center"/>
      <protection hidden="1"/>
    </xf>
    <xf numFmtId="2" fontId="0" fillId="7" borderId="68" xfId="0" applyNumberFormat="1" applyFill="1" applyBorder="1" applyAlignment="1">
      <alignment horizontal="center" vertical="center"/>
    </xf>
    <xf numFmtId="187" fontId="2" fillId="7" borderId="68" xfId="0" applyNumberFormat="1" applyFont="1" applyFill="1" applyBorder="1" applyAlignment="1">
      <alignment horizontal="center" vertical="center"/>
    </xf>
    <xf numFmtId="165" fontId="0" fillId="7" borderId="69" xfId="0" applyNumberFormat="1" applyFill="1" applyBorder="1" applyAlignment="1">
      <alignment horizontal="center" vertical="center"/>
    </xf>
    <xf numFmtId="188" fontId="2" fillId="7" borderId="70" xfId="0" applyNumberFormat="1" applyFont="1" applyFill="1" applyBorder="1" applyAlignment="1">
      <alignment horizontal="center" vertical="center"/>
    </xf>
    <xf numFmtId="165" fontId="0" fillId="7" borderId="71" xfId="0" applyNumberFormat="1" applyFill="1" applyBorder="1" applyAlignment="1">
      <alignment horizontal="center" vertical="center"/>
    </xf>
    <xf numFmtId="165" fontId="0" fillId="7" borderId="70" xfId="0" applyNumberFormat="1" applyFill="1" applyBorder="1" applyAlignment="1">
      <alignment horizontal="center" vertical="center"/>
    </xf>
    <xf numFmtId="186" fontId="0" fillId="7" borderId="43" xfId="0" applyNumberFormat="1" applyFill="1" applyBorder="1" applyAlignment="1">
      <alignment horizontal="center" vertical="center"/>
    </xf>
    <xf numFmtId="165" fontId="0" fillId="7" borderId="72" xfId="0" applyNumberFormat="1" applyFill="1" applyBorder="1" applyAlignment="1">
      <alignment horizontal="center" vertical="center"/>
    </xf>
    <xf numFmtId="166" fontId="2" fillId="27" borderId="14" xfId="0" applyNumberFormat="1" applyFont="1" applyFill="1" applyBorder="1" applyAlignment="1">
      <alignment horizontal="center" vertical="center"/>
    </xf>
    <xf numFmtId="0" fontId="0" fillId="32" borderId="2" xfId="0" applyFill="1" applyBorder="1" applyAlignment="1">
      <alignment vertical="center"/>
    </xf>
    <xf numFmtId="187" fontId="0" fillId="7" borderId="73" xfId="0" applyNumberFormat="1" applyFill="1" applyBorder="1" applyAlignment="1">
      <alignment horizontal="center" vertical="center"/>
    </xf>
    <xf numFmtId="205" fontId="0" fillId="32" borderId="2" xfId="0" applyNumberFormat="1" applyFill="1" applyBorder="1" applyAlignment="1">
      <alignment horizontal="center" vertical="center"/>
    </xf>
    <xf numFmtId="206" fontId="15" fillId="0" borderId="0" xfId="2" applyNumberFormat="1" applyFont="1" applyProtection="1">
      <protection hidden="1"/>
    </xf>
    <xf numFmtId="175" fontId="2" fillId="0" borderId="0" xfId="2" applyNumberFormat="1" applyFont="1" applyProtection="1">
      <protection locked="0"/>
    </xf>
    <xf numFmtId="186" fontId="2" fillId="30" borderId="2" xfId="0" applyNumberFormat="1" applyFont="1" applyFill="1" applyBorder="1" applyAlignment="1">
      <alignment horizontal="center" vertical="center"/>
    </xf>
    <xf numFmtId="177" fontId="2" fillId="0" borderId="0" xfId="2" applyNumberFormat="1" applyFont="1"/>
    <xf numFmtId="170" fontId="2" fillId="33" borderId="25" xfId="0" applyNumberFormat="1" applyFont="1" applyFill="1" applyBorder="1" applyAlignment="1" applyProtection="1">
      <alignment horizontal="center" vertical="center"/>
      <protection locked="0"/>
    </xf>
    <xf numFmtId="165" fontId="2" fillId="5" borderId="34" xfId="2" applyNumberFormat="1" applyFont="1" applyFill="1" applyBorder="1" applyAlignment="1">
      <alignment horizontal="center"/>
    </xf>
    <xf numFmtId="178" fontId="14" fillId="5" borderId="34" xfId="2" applyNumberFormat="1" applyFont="1" applyFill="1" applyBorder="1"/>
    <xf numFmtId="179" fontId="32" fillId="5" borderId="24" xfId="2" applyNumberFormat="1" applyFont="1" applyFill="1" applyBorder="1" applyAlignment="1" applyProtection="1">
      <alignment horizontal="center" vertical="center"/>
      <protection hidden="1"/>
    </xf>
    <xf numFmtId="0" fontId="32" fillId="5" borderId="24" xfId="2" applyFont="1" applyFill="1" applyBorder="1" applyAlignment="1" applyProtection="1">
      <alignment horizontal="center" vertical="center"/>
      <protection hidden="1"/>
    </xf>
    <xf numFmtId="2" fontId="15" fillId="0" borderId="19" xfId="2" applyNumberFormat="1" applyFont="1" applyBorder="1" applyAlignment="1" applyProtection="1">
      <alignment horizontal="center"/>
      <protection hidden="1"/>
    </xf>
    <xf numFmtId="2" fontId="15" fillId="0" borderId="20" xfId="2" applyNumberFormat="1" applyFont="1" applyBorder="1" applyAlignment="1" applyProtection="1">
      <alignment horizontal="center"/>
      <protection hidden="1"/>
    </xf>
    <xf numFmtId="2" fontId="15" fillId="0" borderId="0" xfId="2" applyNumberFormat="1" applyFont="1" applyAlignment="1" applyProtection="1">
      <alignment horizontal="center"/>
      <protection hidden="1"/>
    </xf>
    <xf numFmtId="0" fontId="2" fillId="6" borderId="24" xfId="2" applyFont="1" applyFill="1" applyBorder="1" applyAlignment="1">
      <alignment vertical="center"/>
    </xf>
    <xf numFmtId="0" fontId="2" fillId="6" borderId="24" xfId="2" applyFont="1" applyFill="1" applyBorder="1" applyAlignment="1">
      <alignment horizontal="center" vertical="center"/>
    </xf>
    <xf numFmtId="0" fontId="0" fillId="7" borderId="74" xfId="0" applyFill="1" applyBorder="1" applyAlignment="1">
      <alignment horizontal="center" vertical="center"/>
    </xf>
    <xf numFmtId="175" fontId="2" fillId="0" borderId="0" xfId="0" applyNumberFormat="1" applyFont="1" applyAlignment="1">
      <alignment horizontal="center" vertical="center"/>
    </xf>
    <xf numFmtId="0" fontId="2" fillId="0" borderId="22" xfId="0" applyFont="1" applyBorder="1" applyAlignment="1">
      <alignment horizontal="center" vertical="center"/>
    </xf>
    <xf numFmtId="182" fontId="2" fillId="0" borderId="0" xfId="0" applyNumberFormat="1" applyFont="1" applyAlignment="1">
      <alignment horizontal="center"/>
    </xf>
    <xf numFmtId="14" fontId="2" fillId="0" borderId="0" xfId="0" applyNumberFormat="1" applyFont="1" applyAlignment="1">
      <alignment horizontal="center"/>
    </xf>
    <xf numFmtId="0" fontId="0" fillId="0" borderId="64" xfId="0" applyBorder="1" applyAlignment="1">
      <alignment horizontal="center"/>
    </xf>
    <xf numFmtId="0" fontId="0" fillId="0" borderId="2" xfId="0" applyBorder="1" applyAlignment="1">
      <alignment horizontal="center"/>
    </xf>
    <xf numFmtId="0" fontId="2" fillId="10" borderId="2" xfId="2" applyFont="1" applyFill="1" applyBorder="1" applyAlignment="1" applyProtection="1">
      <alignment horizontal="left"/>
      <protection hidden="1"/>
    </xf>
    <xf numFmtId="0" fontId="2" fillId="10" borderId="26" xfId="2" applyFont="1" applyFill="1" applyBorder="1" applyAlignment="1" applyProtection="1">
      <alignment horizontal="left"/>
      <protection hidden="1"/>
    </xf>
    <xf numFmtId="0" fontId="2" fillId="0" borderId="2" xfId="0" applyFont="1" applyBorder="1" applyAlignment="1">
      <alignment horizontal="center"/>
    </xf>
    <xf numFmtId="1" fontId="2" fillId="0" borderId="2" xfId="0" applyNumberFormat="1" applyFont="1" applyBorder="1" applyAlignment="1">
      <alignment horizontal="center"/>
    </xf>
    <xf numFmtId="0" fontId="2" fillId="0" borderId="2" xfId="0" applyFont="1" applyBorder="1" applyAlignment="1">
      <alignment horizontal="center" vertical="center"/>
    </xf>
    <xf numFmtId="175" fontId="2" fillId="0" borderId="2" xfId="0" applyNumberFormat="1" applyFont="1" applyBorder="1" applyAlignment="1">
      <alignment horizontal="center" vertical="center"/>
    </xf>
    <xf numFmtId="175" fontId="2" fillId="0" borderId="2" xfId="0" applyNumberFormat="1" applyFont="1" applyBorder="1" applyAlignment="1">
      <alignment horizontal="right" vertical="center"/>
    </xf>
    <xf numFmtId="0" fontId="0" fillId="0" borderId="20" xfId="0" applyBorder="1" applyAlignment="1">
      <alignment horizontal="center"/>
    </xf>
    <xf numFmtId="0" fontId="0" fillId="0" borderId="0" xfId="0" applyAlignment="1">
      <alignment horizontal="left" vertical="top"/>
    </xf>
    <xf numFmtId="0" fontId="0" fillId="3" borderId="4" xfId="0" applyFill="1" applyBorder="1" applyAlignment="1">
      <alignment horizontal="center"/>
    </xf>
    <xf numFmtId="0" fontId="51" fillId="11" borderId="67" xfId="0" applyFont="1" applyFill="1" applyBorder="1" applyAlignment="1" applyProtection="1">
      <alignment horizontal="center" vertical="center"/>
      <protection hidden="1"/>
    </xf>
    <xf numFmtId="0" fontId="0" fillId="34" borderId="2" xfId="0" applyFill="1" applyBorder="1" applyAlignment="1">
      <alignment vertical="center"/>
    </xf>
    <xf numFmtId="1" fontId="30" fillId="14" borderId="0" xfId="2" applyNumberFormat="1" applyFont="1" applyFill="1" applyAlignment="1">
      <alignment horizontal="center"/>
    </xf>
    <xf numFmtId="0" fontId="35" fillId="4" borderId="34" xfId="2" applyFont="1" applyFill="1" applyBorder="1" applyAlignment="1" applyProtection="1">
      <alignment horizontal="right" vertical="center"/>
      <protection locked="0"/>
    </xf>
    <xf numFmtId="0" fontId="35" fillId="30" borderId="14" xfId="2" applyFont="1" applyFill="1" applyBorder="1" applyAlignment="1" applyProtection="1">
      <alignment horizontal="left" vertical="center"/>
      <protection locked="0"/>
    </xf>
    <xf numFmtId="0" fontId="49" fillId="0" borderId="0" xfId="2" applyFont="1" applyProtection="1">
      <protection hidden="1"/>
    </xf>
    <xf numFmtId="0" fontId="17" fillId="5" borderId="31" xfId="2" applyFont="1" applyFill="1" applyBorder="1" applyAlignment="1">
      <alignment horizontal="center" vertical="center"/>
    </xf>
    <xf numFmtId="0" fontId="17" fillId="5" borderId="32" xfId="2" applyFont="1" applyFill="1" applyBorder="1" applyAlignment="1">
      <alignment horizontal="center" vertical="center"/>
    </xf>
    <xf numFmtId="0" fontId="17" fillId="5" borderId="21" xfId="2" applyFont="1" applyFill="1" applyBorder="1" applyAlignment="1">
      <alignment horizontal="center" vertical="center"/>
    </xf>
    <xf numFmtId="0" fontId="17" fillId="5" borderId="23" xfId="2" applyFont="1" applyFill="1" applyBorder="1" applyAlignment="1">
      <alignment horizontal="center" vertical="center"/>
    </xf>
    <xf numFmtId="0" fontId="2" fillId="4" borderId="2" xfId="2" applyFont="1" applyFill="1" applyBorder="1" applyAlignment="1" applyProtection="1">
      <alignment horizontal="center"/>
      <protection locked="0"/>
    </xf>
    <xf numFmtId="0" fontId="2" fillId="4" borderId="8" xfId="2" applyFont="1" applyFill="1" applyBorder="1" applyAlignment="1" applyProtection="1">
      <alignment horizontal="center"/>
      <protection locked="0"/>
    </xf>
    <xf numFmtId="177" fontId="33" fillId="5" borderId="34" xfId="2" applyNumberFormat="1" applyFont="1" applyFill="1" applyBorder="1" applyAlignment="1" applyProtection="1">
      <alignment horizontal="center"/>
      <protection hidden="1"/>
    </xf>
    <xf numFmtId="177" fontId="33" fillId="5" borderId="14" xfId="2" applyNumberFormat="1" applyFont="1" applyFill="1" applyBorder="1" applyAlignment="1" applyProtection="1">
      <alignment horizontal="center"/>
      <protection hidden="1"/>
    </xf>
    <xf numFmtId="176" fontId="33" fillId="5" borderId="34" xfId="2" applyNumberFormat="1" applyFont="1" applyFill="1" applyBorder="1" applyAlignment="1" applyProtection="1">
      <alignment horizontal="center"/>
      <protection hidden="1"/>
    </xf>
    <xf numFmtId="176" fontId="33" fillId="5" borderId="14" xfId="2" applyNumberFormat="1" applyFont="1" applyFill="1" applyBorder="1" applyAlignment="1" applyProtection="1">
      <alignment horizontal="center"/>
      <protection hidden="1"/>
    </xf>
    <xf numFmtId="177" fontId="2" fillId="4" borderId="2" xfId="2" applyNumberFormat="1" applyFont="1" applyFill="1" applyBorder="1" applyAlignment="1" applyProtection="1">
      <alignment horizontal="center"/>
      <protection locked="0"/>
    </xf>
    <xf numFmtId="165" fontId="2" fillId="5" borderId="34" xfId="2" applyNumberFormat="1" applyFont="1" applyFill="1" applyBorder="1" applyAlignment="1">
      <alignment horizontal="center"/>
    </xf>
    <xf numFmtId="165" fontId="2" fillId="5" borderId="14" xfId="2" applyNumberFormat="1" applyFont="1" applyFill="1" applyBorder="1" applyAlignment="1">
      <alignment horizontal="center"/>
    </xf>
    <xf numFmtId="178" fontId="33" fillId="5" borderId="34" xfId="2" applyNumberFormat="1" applyFont="1" applyFill="1" applyBorder="1" applyAlignment="1">
      <alignment horizontal="center"/>
    </xf>
    <xf numFmtId="178" fontId="33" fillId="5" borderId="14" xfId="2" applyNumberFormat="1" applyFont="1" applyFill="1" applyBorder="1" applyAlignment="1">
      <alignment horizontal="center"/>
    </xf>
    <xf numFmtId="0" fontId="15" fillId="0" borderId="0" xfId="2" applyFont="1" applyAlignment="1" applyProtection="1">
      <alignment horizontal="center"/>
      <protection hidden="1"/>
    </xf>
    <xf numFmtId="0" fontId="30" fillId="6" borderId="34" xfId="2" applyFont="1" applyFill="1" applyBorder="1" applyAlignment="1" applyProtection="1">
      <alignment horizontal="center"/>
      <protection hidden="1"/>
    </xf>
    <xf numFmtId="0" fontId="30" fillId="6" borderId="14" xfId="2" applyFont="1" applyFill="1" applyBorder="1" applyAlignment="1" applyProtection="1">
      <alignment horizontal="center"/>
      <protection hidden="1"/>
    </xf>
    <xf numFmtId="0" fontId="2" fillId="10" borderId="2" xfId="2" applyFont="1" applyFill="1" applyBorder="1" applyAlignment="1" applyProtection="1">
      <alignment horizontal="center"/>
      <protection hidden="1"/>
    </xf>
    <xf numFmtId="0" fontId="33" fillId="6" borderId="2" xfId="2" applyFont="1" applyFill="1" applyBorder="1" applyAlignment="1">
      <alignment horizontal="center"/>
    </xf>
    <xf numFmtId="165" fontId="33" fillId="5" borderId="2" xfId="2" applyNumberFormat="1" applyFont="1" applyFill="1" applyBorder="1" applyAlignment="1">
      <alignment horizontal="center"/>
    </xf>
    <xf numFmtId="20" fontId="2" fillId="4" borderId="34" xfId="2" applyNumberFormat="1" applyFont="1" applyFill="1" applyBorder="1" applyAlignment="1" applyProtection="1">
      <alignment horizontal="center"/>
      <protection locked="0"/>
    </xf>
    <xf numFmtId="20" fontId="2" fillId="4" borderId="82" xfId="2" applyNumberFormat="1" applyFont="1" applyFill="1" applyBorder="1" applyAlignment="1" applyProtection="1">
      <alignment horizontal="center"/>
      <protection locked="0"/>
    </xf>
    <xf numFmtId="0" fontId="45" fillId="0" borderId="83" xfId="2" applyFont="1" applyBorder="1" applyAlignment="1">
      <alignment horizontal="center"/>
    </xf>
    <xf numFmtId="177" fontId="2" fillId="4" borderId="34" xfId="2" applyNumberFormat="1" applyFont="1" applyFill="1" applyBorder="1" applyAlignment="1" applyProtection="1">
      <alignment horizontal="center"/>
      <protection locked="0"/>
    </xf>
    <xf numFmtId="177" fontId="2" fillId="4" borderId="14" xfId="2" applyNumberFormat="1" applyFont="1" applyFill="1" applyBorder="1" applyAlignment="1" applyProtection="1">
      <alignment horizontal="center"/>
      <protection locked="0"/>
    </xf>
    <xf numFmtId="0" fontId="2" fillId="4" borderId="21" xfId="2" applyFont="1" applyFill="1" applyBorder="1" applyAlignment="1" applyProtection="1">
      <alignment horizontal="center"/>
      <protection locked="0"/>
    </xf>
    <xf numFmtId="0" fontId="2" fillId="4" borderId="84" xfId="2" applyFont="1" applyFill="1" applyBorder="1" applyAlignment="1" applyProtection="1">
      <alignment horizontal="center"/>
      <protection locked="0"/>
    </xf>
    <xf numFmtId="0" fontId="3" fillId="19" borderId="0" xfId="2" applyFont="1" applyFill="1" applyAlignment="1">
      <alignment horizontal="center"/>
    </xf>
    <xf numFmtId="0" fontId="2" fillId="0" borderId="0" xfId="2" applyFont="1" applyAlignment="1" applyProtection="1">
      <alignment horizontal="center"/>
      <protection hidden="1"/>
    </xf>
    <xf numFmtId="178" fontId="33" fillId="5" borderId="2" xfId="2" applyNumberFormat="1" applyFont="1" applyFill="1" applyBorder="1" applyAlignment="1">
      <alignment horizontal="center"/>
    </xf>
    <xf numFmtId="0" fontId="2" fillId="10" borderId="80" xfId="2" applyFont="1" applyFill="1" applyBorder="1" applyAlignment="1" applyProtection="1">
      <alignment horizontal="center"/>
      <protection hidden="1"/>
    </xf>
    <xf numFmtId="0" fontId="2" fillId="10" borderId="81" xfId="2" applyFont="1" applyFill="1" applyBorder="1" applyAlignment="1" applyProtection="1">
      <alignment horizontal="center"/>
      <protection hidden="1"/>
    </xf>
    <xf numFmtId="0" fontId="2" fillId="4" borderId="34" xfId="2" applyFont="1" applyFill="1" applyBorder="1" applyAlignment="1" applyProtection="1">
      <alignment horizontal="center"/>
      <protection locked="0"/>
    </xf>
    <xf numFmtId="0" fontId="2" fillId="4" borderId="82" xfId="2" applyFont="1" applyFill="1" applyBorder="1" applyAlignment="1" applyProtection="1">
      <alignment horizontal="center"/>
      <protection locked="0"/>
    </xf>
    <xf numFmtId="0" fontId="2" fillId="10" borderId="34" xfId="2" applyFont="1" applyFill="1" applyBorder="1" applyAlignment="1" applyProtection="1">
      <alignment horizontal="center"/>
      <protection hidden="1"/>
    </xf>
    <xf numFmtId="0" fontId="2" fillId="10" borderId="14" xfId="2" applyFont="1" applyFill="1" applyBorder="1" applyAlignment="1" applyProtection="1">
      <alignment horizontal="center"/>
      <protection hidden="1"/>
    </xf>
    <xf numFmtId="176" fontId="33" fillId="5" borderId="34" xfId="2" applyNumberFormat="1" applyFont="1" applyFill="1" applyBorder="1" applyAlignment="1">
      <alignment horizontal="center"/>
    </xf>
    <xf numFmtId="176" fontId="33" fillId="5" borderId="14" xfId="2" applyNumberFormat="1" applyFont="1" applyFill="1" applyBorder="1" applyAlignment="1">
      <alignment horizontal="center"/>
    </xf>
    <xf numFmtId="178" fontId="34" fillId="5" borderId="34" xfId="2" applyNumberFormat="1" applyFont="1" applyFill="1" applyBorder="1" applyAlignment="1">
      <alignment horizontal="center"/>
    </xf>
    <xf numFmtId="178" fontId="34" fillId="5" borderId="14" xfId="2" applyNumberFormat="1" applyFont="1" applyFill="1" applyBorder="1" applyAlignment="1">
      <alignment horizontal="center"/>
    </xf>
    <xf numFmtId="0" fontId="33" fillId="6" borderId="34" xfId="2" applyFont="1" applyFill="1" applyBorder="1" applyAlignment="1">
      <alignment horizontal="center"/>
    </xf>
    <xf numFmtId="0" fontId="33" fillId="6" borderId="14" xfId="2" applyFont="1" applyFill="1" applyBorder="1" applyAlignment="1">
      <alignment horizontal="center"/>
    </xf>
    <xf numFmtId="0" fontId="45" fillId="0" borderId="0" xfId="2" applyFont="1" applyAlignment="1">
      <alignment horizontal="center"/>
    </xf>
    <xf numFmtId="0" fontId="2" fillId="6" borderId="2" xfId="2" applyFont="1" applyFill="1" applyBorder="1" applyAlignment="1" applyProtection="1">
      <alignment horizontal="center"/>
      <protection hidden="1"/>
    </xf>
    <xf numFmtId="0" fontId="2" fillId="10" borderId="75" xfId="2" applyFont="1" applyFill="1" applyBorder="1" applyAlignment="1" applyProtection="1">
      <alignment horizontal="center"/>
      <protection hidden="1"/>
    </xf>
    <xf numFmtId="0" fontId="2" fillId="10" borderId="76" xfId="2" applyFont="1" applyFill="1" applyBorder="1" applyAlignment="1" applyProtection="1">
      <alignment horizontal="center"/>
      <protection hidden="1"/>
    </xf>
    <xf numFmtId="0" fontId="45" fillId="4" borderId="25" xfId="2" applyFont="1" applyFill="1" applyBorder="1" applyAlignment="1" applyProtection="1">
      <alignment horizontal="center"/>
      <protection locked="0"/>
    </xf>
    <xf numFmtId="0" fontId="45" fillId="4" borderId="77" xfId="2" applyFont="1" applyFill="1" applyBorder="1" applyAlignment="1" applyProtection="1">
      <alignment horizontal="center"/>
      <protection locked="0"/>
    </xf>
    <xf numFmtId="165" fontId="33" fillId="5" borderId="34" xfId="2" applyNumberFormat="1" applyFont="1" applyFill="1" applyBorder="1" applyAlignment="1">
      <alignment horizontal="center"/>
    </xf>
    <xf numFmtId="165" fontId="33" fillId="5" borderId="14" xfId="2" applyNumberFormat="1" applyFont="1" applyFill="1" applyBorder="1" applyAlignment="1">
      <alignment horizontal="center"/>
    </xf>
    <xf numFmtId="0" fontId="2" fillId="10" borderId="78" xfId="2" applyFont="1" applyFill="1" applyBorder="1" applyAlignment="1" applyProtection="1">
      <alignment horizontal="center"/>
      <protection hidden="1"/>
    </xf>
    <xf numFmtId="0" fontId="2" fillId="10" borderId="79" xfId="2" applyFont="1" applyFill="1" applyBorder="1" applyAlignment="1" applyProtection="1">
      <alignment horizontal="center"/>
      <protection hidden="1"/>
    </xf>
    <xf numFmtId="0" fontId="2" fillId="0" borderId="0" xfId="2" applyFont="1" applyAlignment="1">
      <alignment horizontal="center"/>
    </xf>
    <xf numFmtId="0" fontId="35" fillId="4" borderId="25" xfId="2" applyFont="1" applyFill="1" applyBorder="1" applyAlignment="1" applyProtection="1">
      <alignment horizontal="center" vertical="center"/>
      <protection locked="0"/>
    </xf>
    <xf numFmtId="0" fontId="35" fillId="4" borderId="2" xfId="2" applyFont="1" applyFill="1" applyBorder="1" applyAlignment="1" applyProtection="1">
      <alignment horizontal="center" vertical="center"/>
      <protection locked="0"/>
    </xf>
    <xf numFmtId="0" fontId="35" fillId="13" borderId="2" xfId="0" applyFont="1" applyFill="1" applyBorder="1" applyAlignment="1">
      <alignment horizontal="center"/>
    </xf>
    <xf numFmtId="0" fontId="45" fillId="0" borderId="0" xfId="0" applyFont="1" applyAlignment="1">
      <alignment horizontal="center" vertical="center"/>
    </xf>
    <xf numFmtId="0" fontId="3" fillId="20" borderId="0" xfId="0" applyFont="1" applyFill="1" applyAlignment="1">
      <alignment horizontal="center"/>
    </xf>
    <xf numFmtId="0" fontId="2" fillId="12" borderId="15" xfId="0" applyFont="1" applyFill="1" applyBorder="1" applyAlignment="1" applyProtection="1">
      <alignment horizontal="center"/>
      <protection hidden="1"/>
    </xf>
    <xf numFmtId="0" fontId="35" fillId="13" borderId="15" xfId="0" applyFont="1" applyFill="1" applyBorder="1" applyAlignment="1">
      <alignment horizontal="center"/>
    </xf>
    <xf numFmtId="0" fontId="35" fillId="13" borderId="46" xfId="0" applyFont="1" applyFill="1" applyBorder="1" applyAlignment="1">
      <alignment horizontal="center"/>
    </xf>
    <xf numFmtId="0" fontId="2" fillId="0" borderId="0" xfId="0" applyFont="1" applyAlignment="1">
      <alignment horizontal="center" vertical="center"/>
    </xf>
    <xf numFmtId="0" fontId="2" fillId="0" borderId="0" xfId="0" applyFont="1" applyAlignment="1" applyProtection="1">
      <alignment horizontal="center"/>
      <protection hidden="1"/>
    </xf>
    <xf numFmtId="0" fontId="2" fillId="4" borderId="34" xfId="2" applyFont="1" applyFill="1" applyBorder="1" applyAlignment="1" applyProtection="1">
      <alignment horizontal="center" vertical="center"/>
      <protection locked="0"/>
    </xf>
    <xf numFmtId="0" fontId="2" fillId="4" borderId="14" xfId="2" applyFont="1" applyFill="1" applyBorder="1" applyAlignment="1" applyProtection="1">
      <alignment horizontal="center" vertical="center"/>
      <protection locked="0"/>
    </xf>
    <xf numFmtId="0" fontId="14" fillId="8" borderId="98" xfId="0" applyFont="1" applyFill="1" applyBorder="1" applyAlignment="1" applyProtection="1">
      <alignment horizontal="center" vertical="center"/>
      <protection hidden="1"/>
    </xf>
    <xf numFmtId="0" fontId="14" fillId="8" borderId="43" xfId="0" applyFont="1" applyFill="1" applyBorder="1" applyAlignment="1" applyProtection="1">
      <alignment horizontal="center" vertical="center"/>
      <protection hidden="1"/>
    </xf>
    <xf numFmtId="0" fontId="2" fillId="10" borderId="2" xfId="2" applyFont="1" applyFill="1" applyBorder="1" applyAlignment="1" applyProtection="1">
      <alignment horizontal="center" vertical="center"/>
      <protection hidden="1"/>
    </xf>
    <xf numFmtId="0" fontId="0" fillId="0" borderId="31" xfId="0" applyBorder="1" applyAlignment="1">
      <alignment horizontal="center" vertical="center"/>
    </xf>
    <xf numFmtId="0" fontId="0" fillId="0" borderId="33" xfId="0" applyBorder="1" applyAlignment="1">
      <alignment horizontal="center" vertical="center"/>
    </xf>
    <xf numFmtId="0" fontId="0" fillId="0" borderId="32" xfId="0" applyBorder="1" applyAlignment="1">
      <alignment horizontal="center" vertical="center"/>
    </xf>
    <xf numFmtId="0" fontId="2" fillId="4" borderId="2" xfId="2" applyFont="1" applyFill="1" applyBorder="1" applyAlignment="1" applyProtection="1">
      <alignment horizontal="center" vertical="center"/>
      <protection locked="0"/>
    </xf>
    <xf numFmtId="0" fontId="2" fillId="12" borderId="66" xfId="0" applyFont="1" applyFill="1" applyBorder="1" applyAlignment="1" applyProtection="1">
      <alignment horizontal="center"/>
      <protection hidden="1"/>
    </xf>
    <xf numFmtId="0" fontId="2" fillId="12" borderId="93" xfId="0" applyFont="1" applyFill="1" applyBorder="1" applyAlignment="1" applyProtection="1">
      <alignment horizontal="center"/>
      <protection hidden="1"/>
    </xf>
    <xf numFmtId="0" fontId="11" fillId="8" borderId="94" xfId="0" applyFont="1" applyFill="1" applyBorder="1" applyAlignment="1" applyProtection="1">
      <alignment horizontal="center" vertical="center"/>
      <protection hidden="1"/>
    </xf>
    <xf numFmtId="0" fontId="11" fillId="8" borderId="68" xfId="0" applyFont="1" applyFill="1" applyBorder="1" applyAlignment="1" applyProtection="1">
      <alignment horizontal="center" vertical="center"/>
      <protection hidden="1"/>
    </xf>
    <xf numFmtId="0" fontId="12" fillId="8" borderId="95" xfId="0" applyFont="1" applyFill="1" applyBorder="1" applyAlignment="1" applyProtection="1">
      <alignment horizontal="center" vertical="center"/>
      <protection hidden="1"/>
    </xf>
    <xf numFmtId="0" fontId="12" fillId="8" borderId="16" xfId="0" applyFont="1" applyFill="1" applyBorder="1" applyAlignment="1" applyProtection="1">
      <alignment horizontal="center" vertical="center"/>
      <protection hidden="1"/>
    </xf>
    <xf numFmtId="0" fontId="11" fillId="8" borderId="96" xfId="0" applyFont="1" applyFill="1" applyBorder="1" applyAlignment="1" applyProtection="1">
      <alignment horizontal="center" vertical="center"/>
      <protection hidden="1"/>
    </xf>
    <xf numFmtId="0" fontId="11" fillId="8" borderId="15" xfId="0" applyFont="1" applyFill="1" applyBorder="1" applyAlignment="1" applyProtection="1">
      <alignment horizontal="center" vertical="center"/>
      <protection hidden="1"/>
    </xf>
    <xf numFmtId="0" fontId="41" fillId="8" borderId="97" xfId="0" applyFont="1" applyFill="1" applyBorder="1" applyAlignment="1" applyProtection="1">
      <alignment horizontal="center" vertical="center"/>
      <protection hidden="1"/>
    </xf>
    <xf numFmtId="0" fontId="41" fillId="8" borderId="89" xfId="0" applyFont="1" applyFill="1" applyBorder="1" applyAlignment="1" applyProtection="1">
      <alignment horizontal="center" vertical="center"/>
      <protection hidden="1"/>
    </xf>
    <xf numFmtId="0" fontId="2" fillId="13" borderId="90" xfId="0" applyFont="1" applyFill="1" applyBorder="1" applyAlignment="1" applyProtection="1">
      <alignment horizontal="center" vertical="center"/>
      <protection locked="0"/>
    </xf>
    <xf numFmtId="0" fontId="2" fillId="13" borderId="91" xfId="0" applyFont="1" applyFill="1" applyBorder="1" applyAlignment="1" applyProtection="1">
      <alignment horizontal="center" vertical="center"/>
      <protection locked="0"/>
    </xf>
    <xf numFmtId="164" fontId="2" fillId="13" borderId="103" xfId="0" applyNumberFormat="1" applyFont="1" applyFill="1" applyBorder="1" applyAlignment="1">
      <alignment horizontal="center" vertical="center"/>
    </xf>
    <xf numFmtId="168" fontId="2" fillId="13" borderId="15" xfId="0" applyNumberFormat="1" applyFont="1" applyFill="1" applyBorder="1" applyAlignment="1" applyProtection="1">
      <alignment horizontal="center" vertical="center"/>
      <protection locked="0"/>
    </xf>
    <xf numFmtId="167" fontId="2" fillId="13" borderId="15" xfId="0" applyNumberFormat="1" applyFont="1" applyFill="1" applyBorder="1" applyAlignment="1" applyProtection="1">
      <alignment horizontal="center" vertical="center"/>
      <protection locked="0"/>
    </xf>
    <xf numFmtId="0" fontId="2" fillId="13" borderId="92" xfId="0" applyFont="1" applyFill="1" applyBorder="1" applyAlignment="1">
      <alignment horizontal="center"/>
    </xf>
    <xf numFmtId="0" fontId="2" fillId="13" borderId="91" xfId="0" applyFont="1" applyFill="1" applyBorder="1" applyAlignment="1">
      <alignment horizontal="center"/>
    </xf>
    <xf numFmtId="166" fontId="2" fillId="17" borderId="46" xfId="0" applyNumberFormat="1" applyFont="1" applyFill="1" applyBorder="1" applyAlignment="1">
      <alignment horizontal="center" vertical="center"/>
    </xf>
    <xf numFmtId="0" fontId="41" fillId="8" borderId="85" xfId="0" applyFont="1" applyFill="1" applyBorder="1" applyAlignment="1" applyProtection="1">
      <alignment horizontal="center" vertical="center"/>
      <protection hidden="1"/>
    </xf>
    <xf numFmtId="0" fontId="41" fillId="8" borderId="86" xfId="0" applyFont="1" applyFill="1" applyBorder="1" applyAlignment="1" applyProtection="1">
      <alignment horizontal="center" vertical="center"/>
      <protection hidden="1"/>
    </xf>
    <xf numFmtId="0" fontId="2" fillId="8" borderId="87" xfId="0" applyFont="1" applyFill="1" applyBorder="1" applyAlignment="1" applyProtection="1">
      <alignment horizontal="center" vertical="center"/>
      <protection hidden="1"/>
    </xf>
    <xf numFmtId="0" fontId="41" fillId="8" borderId="88" xfId="0" applyFont="1" applyFill="1" applyBorder="1" applyAlignment="1" applyProtection="1">
      <alignment horizontal="center" vertical="center"/>
      <protection hidden="1"/>
    </xf>
    <xf numFmtId="0" fontId="14" fillId="8" borderId="15" xfId="0" applyFont="1" applyFill="1" applyBorder="1" applyAlignment="1" applyProtection="1">
      <alignment horizontal="center" vertical="center"/>
      <protection hidden="1"/>
    </xf>
    <xf numFmtId="0" fontId="12" fillId="8" borderId="17" xfId="0" applyFont="1" applyFill="1" applyBorder="1" applyAlignment="1" applyProtection="1">
      <alignment horizontal="center" vertical="center"/>
      <protection hidden="1"/>
    </xf>
    <xf numFmtId="0" fontId="0" fillId="0" borderId="33" xfId="0" applyBorder="1" applyAlignment="1">
      <alignment horizontal="center"/>
    </xf>
    <xf numFmtId="0" fontId="0" fillId="0" borderId="0" xfId="0" applyAlignment="1">
      <alignment horizontal="center"/>
    </xf>
    <xf numFmtId="0" fontId="0" fillId="0" borderId="0" xfId="0" applyAlignment="1" applyProtection="1">
      <alignment horizontal="center"/>
      <protection locked="0"/>
    </xf>
    <xf numFmtId="0" fontId="0" fillId="28" borderId="31" xfId="0" applyFill="1" applyBorder="1" applyAlignment="1">
      <alignment horizontal="center"/>
    </xf>
    <xf numFmtId="0" fontId="0" fillId="28" borderId="32" xfId="0" applyFill="1" applyBorder="1" applyAlignment="1">
      <alignment horizontal="center"/>
    </xf>
    <xf numFmtId="0" fontId="0" fillId="4" borderId="19" xfId="0" applyFill="1" applyBorder="1" applyAlignment="1" applyProtection="1">
      <alignment horizontal="center"/>
      <protection locked="0"/>
    </xf>
    <xf numFmtId="0" fontId="0" fillId="4" borderId="20" xfId="0" applyFill="1" applyBorder="1" applyAlignment="1" applyProtection="1">
      <alignment horizontal="center"/>
      <protection locked="0"/>
    </xf>
    <xf numFmtId="0" fontId="0" fillId="30" borderId="19" xfId="0" applyFill="1" applyBorder="1" applyAlignment="1">
      <alignment horizontal="center"/>
    </xf>
    <xf numFmtId="0" fontId="0" fillId="30" borderId="20" xfId="0" applyFill="1" applyBorder="1" applyAlignment="1">
      <alignment horizontal="center"/>
    </xf>
    <xf numFmtId="0" fontId="0" fillId="30" borderId="21" xfId="0" applyFill="1" applyBorder="1" applyAlignment="1" applyProtection="1">
      <alignment horizontal="center"/>
      <protection locked="0"/>
    </xf>
    <xf numFmtId="0" fontId="0" fillId="30" borderId="23" xfId="0" applyFill="1" applyBorder="1" applyAlignment="1" applyProtection="1">
      <alignment horizontal="center"/>
      <protection locked="0"/>
    </xf>
    <xf numFmtId="0" fontId="0" fillId="30" borderId="19" xfId="0" applyFill="1" applyBorder="1" applyAlignment="1" applyProtection="1">
      <alignment horizontal="center"/>
      <protection locked="0"/>
    </xf>
    <xf numFmtId="0" fontId="0" fillId="30" borderId="20" xfId="0" applyFill="1" applyBorder="1" applyAlignment="1" applyProtection="1">
      <alignment horizontal="center"/>
      <protection locked="0"/>
    </xf>
    <xf numFmtId="0" fontId="0" fillId="4" borderId="0" xfId="0" applyFill="1" applyAlignment="1" applyProtection="1">
      <alignment horizontal="center"/>
      <protection locked="0"/>
    </xf>
    <xf numFmtId="0" fontId="0" fillId="0" borderId="33" xfId="0" applyBorder="1" applyAlignment="1" applyProtection="1">
      <alignment horizontal="center"/>
      <protection locked="0"/>
    </xf>
    <xf numFmtId="0" fontId="0" fillId="30" borderId="21" xfId="0" applyFill="1" applyBorder="1" applyAlignment="1">
      <alignment horizontal="center"/>
    </xf>
    <xf numFmtId="0" fontId="0" fillId="30" borderId="23" xfId="0" applyFill="1" applyBorder="1" applyAlignment="1">
      <alignment horizontal="center"/>
    </xf>
    <xf numFmtId="2" fontId="0" fillId="22" borderId="53" xfId="0" applyNumberFormat="1" applyFill="1" applyBorder="1" applyAlignment="1">
      <alignment horizontal="center"/>
    </xf>
    <xf numFmtId="2" fontId="0" fillId="22" borderId="65" xfId="0" applyNumberFormat="1" applyFill="1" applyBorder="1" applyAlignment="1">
      <alignment horizontal="center"/>
    </xf>
    <xf numFmtId="2" fontId="0" fillId="22" borderId="11" xfId="0" applyNumberFormat="1" applyFill="1" applyBorder="1" applyAlignment="1">
      <alignment horizontal="center"/>
    </xf>
    <xf numFmtId="2" fontId="0" fillId="22" borderId="54" xfId="0" applyNumberFormat="1" applyFill="1" applyBorder="1" applyAlignment="1">
      <alignment horizontal="center"/>
    </xf>
    <xf numFmtId="0" fontId="0" fillId="22" borderId="99" xfId="0" applyFill="1" applyBorder="1" applyAlignment="1">
      <alignment horizontal="center"/>
    </xf>
    <xf numFmtId="0" fontId="0" fillId="22" borderId="100" xfId="0" applyFill="1" applyBorder="1" applyAlignment="1">
      <alignment horizontal="center"/>
    </xf>
    <xf numFmtId="0" fontId="0" fillId="22" borderId="101" xfId="0" applyFill="1" applyBorder="1" applyAlignment="1">
      <alignment horizontal="center"/>
    </xf>
    <xf numFmtId="2" fontId="0" fillId="22" borderId="52" xfId="0" applyNumberFormat="1" applyFill="1" applyBorder="1" applyAlignment="1">
      <alignment horizontal="center"/>
    </xf>
    <xf numFmtId="194" fontId="2" fillId="13" borderId="46" xfId="0" applyNumberFormat="1" applyFont="1" applyFill="1" applyBorder="1" applyAlignment="1">
      <alignment horizontal="center" vertical="center"/>
    </xf>
    <xf numFmtId="195" fontId="2" fillId="17" borderId="15" xfId="0" applyNumberFormat="1" applyFont="1" applyFill="1" applyBorder="1" applyAlignment="1">
      <alignment horizontal="center" vertical="center"/>
    </xf>
    <xf numFmtId="0" fontId="2" fillId="13" borderId="15" xfId="0" applyFont="1" applyFill="1" applyBorder="1" applyAlignment="1">
      <alignment horizontal="center" vertical="center"/>
    </xf>
    <xf numFmtId="0" fontId="2" fillId="13" borderId="46" xfId="0" applyFont="1" applyFill="1" applyBorder="1" applyAlignment="1">
      <alignment horizontal="center" vertical="center"/>
    </xf>
    <xf numFmtId="0" fontId="35" fillId="13" borderId="18" xfId="0" applyFont="1" applyFill="1" applyBorder="1" applyAlignment="1">
      <alignment horizontal="center"/>
    </xf>
    <xf numFmtId="0" fontId="35" fillId="13" borderId="27" xfId="0" applyFont="1" applyFill="1" applyBorder="1" applyAlignment="1">
      <alignment horizontal="center"/>
    </xf>
    <xf numFmtId="0" fontId="2" fillId="0" borderId="21" xfId="0" applyFont="1" applyBorder="1" applyAlignment="1">
      <alignment horizontal="left"/>
    </xf>
    <xf numFmtId="0" fontId="2" fillId="0" borderId="22" xfId="0" applyFont="1" applyBorder="1" applyAlignment="1">
      <alignment horizontal="left"/>
    </xf>
    <xf numFmtId="0" fontId="2" fillId="0" borderId="31" xfId="0" applyFont="1" applyBorder="1" applyAlignment="1">
      <alignment horizontal="left"/>
    </xf>
    <xf numFmtId="0" fontId="2" fillId="0" borderId="33" xfId="0" applyFont="1" applyBorder="1" applyAlignment="1">
      <alignment horizontal="left"/>
    </xf>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165" fontId="2" fillId="0" borderId="0" xfId="0" applyNumberFormat="1" applyFont="1" applyAlignment="1">
      <alignment horizontal="center" vertical="center"/>
    </xf>
    <xf numFmtId="165" fontId="2" fillId="0" borderId="20" xfId="0" applyNumberFormat="1" applyFont="1" applyBorder="1" applyAlignment="1">
      <alignment horizontal="center" vertical="center"/>
    </xf>
    <xf numFmtId="165" fontId="2" fillId="0" borderId="12" xfId="0" applyNumberFormat="1" applyFont="1" applyBorder="1" applyAlignment="1">
      <alignment horizontal="center" vertical="center"/>
    </xf>
    <xf numFmtId="0" fontId="2" fillId="0" borderId="102" xfId="0" applyFont="1" applyBorder="1" applyAlignment="1">
      <alignment horizontal="center" vertical="center"/>
    </xf>
    <xf numFmtId="0" fontId="2" fillId="0" borderId="12" xfId="0" applyFont="1" applyBorder="1" applyAlignment="1">
      <alignment horizontal="center" vertical="center"/>
    </xf>
    <xf numFmtId="1" fontId="2" fillId="0" borderId="12" xfId="0" applyNumberFormat="1" applyFont="1" applyBorder="1" applyAlignment="1">
      <alignment horizontal="center" vertical="center"/>
    </xf>
    <xf numFmtId="0" fontId="2" fillId="0" borderId="20" xfId="0" applyFont="1" applyBorder="1" applyAlignment="1">
      <alignment horizontal="center" vertical="center"/>
    </xf>
    <xf numFmtId="175" fontId="2" fillId="0" borderId="22" xfId="0" applyNumberFormat="1" applyFont="1" applyBorder="1" applyAlignment="1">
      <alignment horizontal="center" vertical="center"/>
    </xf>
    <xf numFmtId="175" fontId="2" fillId="0" borderId="23" xfId="0" applyNumberFormat="1" applyFont="1" applyBorder="1" applyAlignment="1">
      <alignment horizontal="center" vertical="center"/>
    </xf>
  </cellXfs>
  <cellStyles count="3">
    <cellStyle name="Lien hypertexte" xfId="1" builtinId="8"/>
    <cellStyle name="Normal" xfId="0" builtinId="0"/>
    <cellStyle name="Normal 2" xfId="2" xr:uid="{00000000-0005-0000-0000-000002000000}"/>
  </cellStyles>
  <dxfs count="54">
    <dxf>
      <font>
        <color theme="0"/>
      </font>
    </dxf>
    <dxf>
      <font>
        <color theme="0"/>
      </font>
    </dxf>
    <dxf>
      <font>
        <color theme="0"/>
      </font>
    </dxf>
    <dxf>
      <fill>
        <patternFill patternType="solid">
          <fgColor indexed="42"/>
          <bgColor rgb="FFFFFFCC"/>
        </patternFill>
      </fill>
    </dxf>
    <dxf>
      <fill>
        <patternFill patternType="solid">
          <fgColor indexed="31"/>
          <bgColor indexed="22"/>
        </patternFill>
      </fill>
    </dxf>
    <dxf>
      <fill>
        <patternFill patternType="solid">
          <fgColor indexed="27"/>
          <bgColor rgb="FFFFCCFF"/>
        </patternFill>
      </fill>
    </dxf>
    <dxf>
      <font>
        <color rgb="FFFF0000"/>
      </font>
    </dxf>
    <dxf>
      <font>
        <color rgb="FF808080"/>
      </font>
    </dxf>
    <dxf>
      <fill>
        <patternFill>
          <bgColor indexed="10"/>
        </patternFill>
      </fill>
    </dxf>
    <dxf>
      <fill>
        <patternFill patternType="solid">
          <fgColor indexed="53"/>
          <bgColor rgb="FFFF0000"/>
        </patternFill>
      </fill>
    </dxf>
    <dxf>
      <fill>
        <patternFill patternType="solid">
          <fgColor indexed="60"/>
          <bgColor indexed="10"/>
        </patternFill>
      </fill>
    </dxf>
    <dxf>
      <fill>
        <patternFill>
          <bgColor rgb="FFFF0000"/>
        </patternFill>
      </fill>
    </dxf>
    <dxf>
      <font>
        <color rgb="FFCCFFFF"/>
      </font>
    </dxf>
    <dxf>
      <font>
        <color rgb="FFCC6600"/>
      </font>
    </dxf>
    <dxf>
      <font>
        <color rgb="FFCC6600"/>
      </font>
    </dxf>
    <dxf>
      <fill>
        <patternFill>
          <bgColor rgb="FFFF0000"/>
        </patternFill>
      </fill>
    </dxf>
    <dxf>
      <font>
        <color theme="0"/>
      </font>
      <fill>
        <patternFill patternType="none">
          <bgColor indexed="65"/>
        </patternFill>
      </fill>
      <border>
        <left/>
        <right/>
        <top/>
        <bottom/>
      </border>
    </dxf>
    <dxf>
      <font>
        <color theme="0"/>
      </font>
      <fill>
        <patternFill patternType="none">
          <bgColor indexed="65"/>
        </patternFill>
      </fill>
      <border>
        <left/>
        <right/>
        <bottom/>
      </border>
    </dxf>
    <dxf>
      <font>
        <color rgb="FF99CCFF"/>
      </font>
    </dxf>
    <dxf>
      <fill>
        <patternFill>
          <bgColor indexed="10"/>
        </patternFill>
      </fill>
    </dxf>
    <dxf>
      <font>
        <color theme="0"/>
      </font>
      <fill>
        <patternFill>
          <bgColor theme="0"/>
        </patternFill>
      </fill>
      <border>
        <right/>
        <top/>
        <bottom/>
      </border>
    </dxf>
    <dxf>
      <font>
        <color indexed="9"/>
      </font>
      <fill>
        <patternFill patternType="solid">
          <bgColor indexed="9"/>
        </patternFill>
      </fill>
      <border>
        <left/>
        <right/>
        <top/>
        <bottom/>
      </border>
    </dxf>
    <dxf>
      <font>
        <color theme="0"/>
      </font>
      <fill>
        <patternFill>
          <bgColor theme="0"/>
        </patternFill>
      </fill>
      <border>
        <left/>
        <right/>
        <top/>
        <bottom/>
      </border>
    </dxf>
    <dxf>
      <font>
        <color theme="0"/>
      </font>
      <fill>
        <patternFill patternType="solid">
          <bgColor theme="0"/>
        </patternFill>
      </fill>
      <border>
        <right/>
        <bottom/>
      </border>
    </dxf>
    <dxf>
      <fill>
        <patternFill patternType="solid">
          <fgColor indexed="60"/>
          <bgColor indexed="10"/>
        </patternFill>
      </fill>
    </dxf>
    <dxf>
      <font>
        <color rgb="FFFFFF99"/>
        <name val="Cambria"/>
        <scheme val="none"/>
      </font>
    </dxf>
    <dxf>
      <font>
        <color rgb="FF808080"/>
      </font>
    </dxf>
    <dxf>
      <font>
        <color theme="0"/>
      </font>
      <fill>
        <patternFill>
          <bgColor theme="0"/>
        </patternFill>
      </fill>
      <border>
        <left/>
        <right/>
        <bottom/>
      </border>
    </dxf>
    <dxf>
      <font>
        <color rgb="FFFF0000"/>
      </font>
    </dxf>
    <dxf>
      <font>
        <color indexed="9"/>
      </font>
      <fill>
        <patternFill>
          <bgColor indexed="9"/>
        </patternFill>
      </fill>
      <border>
        <left/>
        <right/>
        <top/>
        <bottom/>
      </border>
    </dxf>
    <dxf>
      <font>
        <condense val="0"/>
        <extend val="0"/>
        <color indexed="9"/>
      </font>
      <fill>
        <patternFill patternType="none">
          <bgColor indexed="65"/>
        </patternFill>
      </fill>
      <border>
        <left/>
        <right/>
        <top/>
        <bottom/>
      </border>
    </dxf>
    <dxf>
      <font>
        <condense val="0"/>
        <extend val="0"/>
        <color indexed="9"/>
      </font>
      <fill>
        <patternFill patternType="none">
          <bgColor indexed="65"/>
        </patternFill>
      </fill>
      <border>
        <left/>
        <right/>
        <top/>
        <bottom/>
      </border>
    </dxf>
    <dxf>
      <font>
        <color theme="0"/>
      </font>
    </dxf>
    <dxf>
      <font>
        <color rgb="FFFF0000"/>
      </font>
    </dxf>
    <dxf>
      <font>
        <color rgb="FFFF0000"/>
      </font>
    </dxf>
    <dxf>
      <font>
        <color rgb="FFFF0000"/>
      </font>
    </dxf>
    <dxf>
      <font>
        <condense val="0"/>
        <extend val="0"/>
        <color indexed="11"/>
      </font>
    </dxf>
    <dxf>
      <font>
        <color rgb="FFFF0000"/>
      </font>
    </dxf>
    <dxf>
      <font>
        <color rgb="FFFF0000"/>
      </font>
    </dxf>
    <dxf>
      <font>
        <color rgb="FFFF0000"/>
      </font>
    </dxf>
    <dxf>
      <font>
        <color rgb="FFFF0000"/>
      </font>
    </dxf>
    <dxf>
      <font>
        <color theme="1"/>
      </font>
    </dxf>
    <dxf>
      <font>
        <color rgb="FFFFFF99"/>
      </font>
    </dxf>
    <dxf>
      <font>
        <color rgb="FFCC6600"/>
      </font>
    </dxf>
    <dxf>
      <font>
        <color rgb="FFCC6600"/>
      </font>
    </dxf>
    <dxf>
      <font>
        <color rgb="FFCC6600"/>
      </font>
    </dxf>
    <dxf>
      <font>
        <color rgb="FFCC6600"/>
      </font>
    </dxf>
    <dxf>
      <font>
        <color rgb="FFCC6600"/>
      </font>
    </dxf>
    <dxf>
      <font>
        <color theme="1"/>
      </font>
    </dxf>
    <dxf>
      <font>
        <color rgb="FFCC6600"/>
      </font>
    </dxf>
    <dxf>
      <font>
        <color rgb="FFCC6600"/>
      </font>
    </dxf>
    <dxf>
      <font>
        <color rgb="FFFF0000"/>
      </font>
    </dxf>
    <dxf>
      <font>
        <color rgb="FFCC6600"/>
      </font>
    </dxf>
    <dxf>
      <font>
        <color theme="0"/>
      </font>
      <fill>
        <patternFill patternType="none">
          <bgColor indexed="65"/>
        </patternFill>
      </fill>
      <border>
        <left/>
        <right/>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3CAFF"/>
      <rgbColor rgb="00993366"/>
      <rgbColor rgb="00E6E6E6"/>
      <rgbColor rgb="00CCFFFF"/>
      <rgbColor rgb="00660066"/>
      <rgbColor rgb="00FF8080"/>
      <rgbColor rgb="000066CC"/>
      <rgbColor rgb="00CCCCCC"/>
      <rgbColor rgb="00000080"/>
      <rgbColor rgb="00FF00FF"/>
      <rgbColor rgb="00FFF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D320"/>
      <rgbColor rgb="00FF9900"/>
      <rgbColor rgb="00FF6600"/>
      <rgbColor rgb="00666699"/>
      <rgbColor rgb="00B3B3B3"/>
      <rgbColor rgb="0000458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70566137003713E-2"/>
          <c:y val="6.4690026954178192E-2"/>
          <c:w val="0.84871001627006748"/>
          <c:h val="0.90566037735849303"/>
        </c:manualLayout>
      </c:layout>
      <c:scatterChart>
        <c:scatterStyle val="lineMarker"/>
        <c:varyColors val="0"/>
        <c:ser>
          <c:idx val="0"/>
          <c:order val="0"/>
          <c:tx>
            <c:v>fuselage</c:v>
          </c:tx>
          <c:spPr>
            <a:ln w="25400">
              <a:solidFill>
                <a:srgbClr val="000080"/>
              </a:solidFill>
              <a:prstDash val="solid"/>
            </a:ln>
          </c:spPr>
          <c:marker>
            <c:symbol val="none"/>
          </c:marker>
          <c:xVal>
            <c:numRef>
              <c:f>Stabilito!$D$124:$D$131</c:f>
              <c:numCache>
                <c:formatCode>0</c:formatCode>
                <c:ptCount val="8"/>
                <c:pt idx="0">
                  <c:v>0</c:v>
                </c:pt>
                <c:pt idx="1">
                  <c:v>42</c:v>
                </c:pt>
                <c:pt idx="2">
                  <c:v>42</c:v>
                </c:pt>
                <c:pt idx="3">
                  <c:v>52</c:v>
                </c:pt>
                <c:pt idx="4">
                  <c:v>52</c:v>
                </c:pt>
                <c:pt idx="5">
                  <c:v>42</c:v>
                </c:pt>
                <c:pt idx="6">
                  <c:v>42</c:v>
                </c:pt>
                <c:pt idx="7">
                  <c:v>0</c:v>
                </c:pt>
              </c:numCache>
            </c:numRef>
          </c:xVal>
          <c:yVal>
            <c:numRef>
              <c:f>Stabilito!$C$124:$C$131</c:f>
              <c:numCache>
                <c:formatCode>0</c:formatCode>
                <c:ptCount val="8"/>
                <c:pt idx="0">
                  <c:v>-252</c:v>
                </c:pt>
                <c:pt idx="1">
                  <c:v>-252</c:v>
                </c:pt>
                <c:pt idx="2">
                  <c:v>-942</c:v>
                </c:pt>
                <c:pt idx="3">
                  <c:v>-1002</c:v>
                </c:pt>
                <c:pt idx="4">
                  <c:v>-2002</c:v>
                </c:pt>
                <c:pt idx="5">
                  <c:v>-2042</c:v>
                </c:pt>
                <c:pt idx="6">
                  <c:v>-2052</c:v>
                </c:pt>
                <c:pt idx="7">
                  <c:v>-2052</c:v>
                </c:pt>
              </c:numCache>
            </c:numRef>
          </c:yVal>
          <c:smooth val="0"/>
          <c:extLst>
            <c:ext xmlns:c16="http://schemas.microsoft.com/office/drawing/2014/chart" uri="{C3380CC4-5D6E-409C-BE32-E72D297353CC}">
              <c16:uniqueId val="{00000000-F091-4909-B7A3-EF83D77F839F}"/>
            </c:ext>
          </c:extLst>
        </c:ser>
        <c:ser>
          <c:idx val="1"/>
          <c:order val="1"/>
          <c:tx>
            <c:v>aileron</c:v>
          </c:tx>
          <c:spPr>
            <a:ln w="25400">
              <a:solidFill>
                <a:srgbClr val="00FF00"/>
              </a:solidFill>
              <a:prstDash val="solid"/>
            </a:ln>
          </c:spPr>
          <c:marker>
            <c:symbol val="none"/>
          </c:marker>
          <c:xVal>
            <c:numRef>
              <c:f>Stabilito!$D$132:$D$136</c:f>
              <c:numCache>
                <c:formatCode>0</c:formatCode>
                <c:ptCount val="5"/>
                <c:pt idx="0">
                  <c:v>52</c:v>
                </c:pt>
                <c:pt idx="1">
                  <c:v>192</c:v>
                </c:pt>
                <c:pt idx="2">
                  <c:v>192</c:v>
                </c:pt>
                <c:pt idx="3">
                  <c:v>52</c:v>
                </c:pt>
                <c:pt idx="4">
                  <c:v>52</c:v>
                </c:pt>
              </c:numCache>
            </c:numRef>
          </c:xVal>
          <c:yVal>
            <c:numRef>
              <c:f>Stabilito!$C$132:$C$136</c:f>
              <c:numCache>
                <c:formatCode>0</c:formatCode>
                <c:ptCount val="5"/>
                <c:pt idx="0">
                  <c:v>-1812</c:v>
                </c:pt>
                <c:pt idx="1">
                  <c:v>-1992</c:v>
                </c:pt>
                <c:pt idx="2">
                  <c:v>-2072</c:v>
                </c:pt>
                <c:pt idx="3">
                  <c:v>-2002</c:v>
                </c:pt>
                <c:pt idx="4">
                  <c:v>-1812</c:v>
                </c:pt>
              </c:numCache>
            </c:numRef>
          </c:yVal>
          <c:smooth val="0"/>
          <c:extLst>
            <c:ext xmlns:c16="http://schemas.microsoft.com/office/drawing/2014/chart" uri="{C3380CC4-5D6E-409C-BE32-E72D297353CC}">
              <c16:uniqueId val="{00000001-F091-4909-B7A3-EF83D77F839F}"/>
            </c:ext>
          </c:extLst>
        </c:ser>
        <c:ser>
          <c:idx val="2"/>
          <c:order val="2"/>
          <c:tx>
            <c:v>fuselage2</c:v>
          </c:tx>
          <c:spPr>
            <a:ln w="25400">
              <a:solidFill>
                <a:srgbClr val="000080"/>
              </a:solidFill>
              <a:prstDash val="solid"/>
            </a:ln>
          </c:spPr>
          <c:marker>
            <c:symbol val="none"/>
          </c:marker>
          <c:xVal>
            <c:numRef>
              <c:f>Stabilito!$E$124:$E$131</c:f>
              <c:numCache>
                <c:formatCode>0</c:formatCode>
                <c:ptCount val="8"/>
                <c:pt idx="0">
                  <c:v>0</c:v>
                </c:pt>
                <c:pt idx="1">
                  <c:v>-42</c:v>
                </c:pt>
                <c:pt idx="2">
                  <c:v>-42</c:v>
                </c:pt>
                <c:pt idx="3">
                  <c:v>-52</c:v>
                </c:pt>
                <c:pt idx="4">
                  <c:v>-52</c:v>
                </c:pt>
                <c:pt idx="5">
                  <c:v>-42</c:v>
                </c:pt>
                <c:pt idx="6">
                  <c:v>-42</c:v>
                </c:pt>
                <c:pt idx="7">
                  <c:v>0</c:v>
                </c:pt>
              </c:numCache>
            </c:numRef>
          </c:xVal>
          <c:yVal>
            <c:numRef>
              <c:f>Stabilito!$C$124:$C$131</c:f>
              <c:numCache>
                <c:formatCode>0</c:formatCode>
                <c:ptCount val="8"/>
                <c:pt idx="0">
                  <c:v>-252</c:v>
                </c:pt>
                <c:pt idx="1">
                  <c:v>-252</c:v>
                </c:pt>
                <c:pt idx="2">
                  <c:v>-942</c:v>
                </c:pt>
                <c:pt idx="3">
                  <c:v>-1002</c:v>
                </c:pt>
                <c:pt idx="4">
                  <c:v>-2002</c:v>
                </c:pt>
                <c:pt idx="5">
                  <c:v>-2042</c:v>
                </c:pt>
                <c:pt idx="6">
                  <c:v>-2052</c:v>
                </c:pt>
                <c:pt idx="7">
                  <c:v>-2052</c:v>
                </c:pt>
              </c:numCache>
            </c:numRef>
          </c:yVal>
          <c:smooth val="0"/>
          <c:extLst>
            <c:ext xmlns:c16="http://schemas.microsoft.com/office/drawing/2014/chart" uri="{C3380CC4-5D6E-409C-BE32-E72D297353CC}">
              <c16:uniqueId val="{00000002-F091-4909-B7A3-EF83D77F839F}"/>
            </c:ext>
          </c:extLst>
        </c:ser>
        <c:ser>
          <c:idx val="3"/>
          <c:order val="3"/>
          <c:tx>
            <c:v>aileron2</c:v>
          </c:tx>
          <c:spPr>
            <a:ln w="25400">
              <a:solidFill>
                <a:srgbClr val="00FF00"/>
              </a:solidFill>
              <a:prstDash val="solid"/>
            </a:ln>
          </c:spPr>
          <c:marker>
            <c:symbol val="none"/>
          </c:marker>
          <c:xVal>
            <c:numRef>
              <c:f>Stabilito!$E$132:$E$136</c:f>
              <c:numCache>
                <c:formatCode>0</c:formatCode>
                <c:ptCount val="5"/>
                <c:pt idx="0">
                  <c:v>-52</c:v>
                </c:pt>
                <c:pt idx="1">
                  <c:v>-192</c:v>
                </c:pt>
                <c:pt idx="2">
                  <c:v>-192</c:v>
                </c:pt>
                <c:pt idx="3">
                  <c:v>-52</c:v>
                </c:pt>
                <c:pt idx="4">
                  <c:v>-52</c:v>
                </c:pt>
              </c:numCache>
            </c:numRef>
          </c:xVal>
          <c:yVal>
            <c:numRef>
              <c:f>Stabilito!$C$132:$C$136</c:f>
              <c:numCache>
                <c:formatCode>0</c:formatCode>
                <c:ptCount val="5"/>
                <c:pt idx="0">
                  <c:v>-1812</c:v>
                </c:pt>
                <c:pt idx="1">
                  <c:v>-1992</c:v>
                </c:pt>
                <c:pt idx="2">
                  <c:v>-2072</c:v>
                </c:pt>
                <c:pt idx="3">
                  <c:v>-2002</c:v>
                </c:pt>
                <c:pt idx="4">
                  <c:v>-1812</c:v>
                </c:pt>
              </c:numCache>
            </c:numRef>
          </c:yVal>
          <c:smooth val="0"/>
          <c:extLst>
            <c:ext xmlns:c16="http://schemas.microsoft.com/office/drawing/2014/chart" uri="{C3380CC4-5D6E-409C-BE32-E72D297353CC}">
              <c16:uniqueId val="{00000003-F091-4909-B7A3-EF83D77F839F}"/>
            </c:ext>
          </c:extLst>
        </c:ser>
        <c:ser>
          <c:idx val="4"/>
          <c:order val="4"/>
          <c:tx>
            <c:strRef>
              <c:f>Stabilito!$B$13</c:f>
              <c:strCache>
                <c:ptCount val="1"/>
                <c:pt idx="0">
                  <c:v>Centre de Masse</c:v>
                </c:pt>
              </c:strCache>
            </c:strRef>
          </c:tx>
          <c:spPr>
            <a:ln w="25400">
              <a:solidFill>
                <a:srgbClr val="0000FF"/>
              </a:solidFill>
              <a:prstDash val="solid"/>
            </a:ln>
          </c:spPr>
          <c:marker>
            <c:symbol val="circle"/>
            <c:size val="5"/>
            <c:spPr>
              <a:solidFill>
                <a:srgbClr val="0000FF"/>
              </a:solidFill>
              <a:ln w="9525">
                <a:noFill/>
              </a:ln>
            </c:spPr>
          </c:marker>
          <c:dLbls>
            <c:dLbl>
              <c:idx val="1"/>
              <c:spPr>
                <a:noFill/>
                <a:ln w="25400">
                  <a:noFill/>
                </a:ln>
              </c:spPr>
              <c:txPr>
                <a:bodyPr/>
                <a:lstStyle/>
                <a:p>
                  <a:pPr>
                    <a:defRPr sz="800" b="0" i="0" u="none" strike="noStrike" baseline="0">
                      <a:solidFill>
                        <a:srgbClr val="0000FF"/>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Stabilito!$D$149:$D$150</c:f>
              <c:numCache>
                <c:formatCode>0</c:formatCode>
                <c:ptCount val="2"/>
                <c:pt idx="0">
                  <c:v>0</c:v>
                </c:pt>
                <c:pt idx="1">
                  <c:v>0</c:v>
                </c:pt>
              </c:numCache>
            </c:numRef>
          </c:xVal>
          <c:yVal>
            <c:numRef>
              <c:f>Stabilito!$C$149:$C$150</c:f>
              <c:numCache>
                <c:formatCode>0</c:formatCode>
                <c:ptCount val="2"/>
                <c:pt idx="0">
                  <c:v>-1170.4516129032256</c:v>
                </c:pt>
                <c:pt idx="1">
                  <c:v>-1084.7516778523491</c:v>
                </c:pt>
              </c:numCache>
            </c:numRef>
          </c:yVal>
          <c:smooth val="0"/>
          <c:extLst>
            <c:ext xmlns:c16="http://schemas.microsoft.com/office/drawing/2014/chart" uri="{C3380CC4-5D6E-409C-BE32-E72D297353CC}">
              <c16:uniqueId val="{00000005-F091-4909-B7A3-EF83D77F839F}"/>
            </c:ext>
          </c:extLst>
        </c:ser>
        <c:ser>
          <c:idx val="5"/>
          <c:order val="5"/>
          <c:tx>
            <c:strRef>
              <c:f>Stabilito!$F$28</c:f>
              <c:strCache>
                <c:ptCount val="1"/>
                <c:pt idx="0">
                  <c:v>Portance</c:v>
                </c:pt>
              </c:strCache>
            </c:strRef>
          </c:tx>
          <c:spPr>
            <a:ln w="25400">
              <a:solidFill>
                <a:srgbClr val="800000"/>
              </a:solidFill>
              <a:prstDash val="solid"/>
            </a:ln>
          </c:spPr>
          <c:marker>
            <c:symbol val="diamond"/>
            <c:size val="5"/>
            <c:spPr>
              <a:solidFill>
                <a:srgbClr val="800000"/>
              </a:solidFill>
              <a:ln>
                <a:solidFill>
                  <a:srgbClr val="800000"/>
                </a:solidFill>
                <a:prstDash val="solid"/>
              </a:ln>
            </c:spPr>
          </c:marker>
          <c:dLbls>
            <c:dLbl>
              <c:idx val="1"/>
              <c:spPr>
                <a:noFill/>
                <a:ln w="25400">
                  <a:noFill/>
                </a:ln>
              </c:spPr>
              <c:txPr>
                <a:bodyPr/>
                <a:lstStyle/>
                <a:p>
                  <a:pPr>
                    <a:defRPr sz="800" b="0" i="0" u="none" strike="noStrike" baseline="0">
                      <a:solidFill>
                        <a:srgbClr val="800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Stabilito!$D$151:$D$154</c:f>
              <c:numCache>
                <c:formatCode>0</c:formatCode>
                <c:ptCount val="4"/>
                <c:pt idx="0">
                  <c:v>0</c:v>
                </c:pt>
                <c:pt idx="1">
                  <c:v>143.55275361745115</c:v>
                </c:pt>
                <c:pt idx="2">
                  <c:v>173.07175031058503</c:v>
                </c:pt>
                <c:pt idx="3">
                  <c:v>0</c:v>
                </c:pt>
              </c:numCache>
            </c:numRef>
          </c:xVal>
          <c:yVal>
            <c:numRef>
              <c:f>Stabilito!$C$151:$C$154</c:f>
              <c:numCache>
                <c:formatCode>0</c:formatCode>
                <c:ptCount val="4"/>
                <c:pt idx="0">
                  <c:v>-1291.2433377140769</c:v>
                </c:pt>
                <c:pt idx="1">
                  <c:v>-1291.2433377140769</c:v>
                </c:pt>
                <c:pt idx="2">
                  <c:v>-1399.4038122602162</c:v>
                </c:pt>
                <c:pt idx="3">
                  <c:v>-1399.4038122602162</c:v>
                </c:pt>
              </c:numCache>
            </c:numRef>
          </c:yVal>
          <c:smooth val="0"/>
          <c:extLst>
            <c:ext xmlns:c16="http://schemas.microsoft.com/office/drawing/2014/chart" uri="{C3380CC4-5D6E-409C-BE32-E72D297353CC}">
              <c16:uniqueId val="{00000007-F091-4909-B7A3-EF83D77F839F}"/>
            </c:ext>
          </c:extLst>
        </c:ser>
        <c:ser>
          <c:idx val="6"/>
          <c:order val="6"/>
          <c:tx>
            <c:v>canard</c:v>
          </c:tx>
          <c:spPr>
            <a:ln w="25400">
              <a:solidFill>
                <a:srgbClr val="008000"/>
              </a:solidFill>
              <a:prstDash val="solid"/>
            </a:ln>
          </c:spPr>
          <c:marker>
            <c:symbol val="none"/>
          </c:marker>
          <c:xVal>
            <c:numRef>
              <c:f>Stabilito!$D$158:$D$162</c:f>
              <c:numCache>
                <c:formatCode>0</c:formatCode>
                <c:ptCount val="5"/>
                <c:pt idx="0">
                  <c:v>52</c:v>
                </c:pt>
                <c:pt idx="1">
                  <c:v>159</c:v>
                </c:pt>
                <c:pt idx="2">
                  <c:v>159</c:v>
                </c:pt>
                <c:pt idx="3">
                  <c:v>52</c:v>
                </c:pt>
                <c:pt idx="4">
                  <c:v>52</c:v>
                </c:pt>
              </c:numCache>
            </c:numRef>
          </c:xVal>
          <c:yVal>
            <c:numRef>
              <c:f>Stabilito!$C$158:$C$162</c:f>
              <c:numCache>
                <c:formatCode>0</c:formatCode>
                <c:ptCount val="5"/>
                <c:pt idx="0">
                  <c:v>-772</c:v>
                </c:pt>
                <c:pt idx="1">
                  <c:v>-892</c:v>
                </c:pt>
                <c:pt idx="2">
                  <c:v>-972</c:v>
                </c:pt>
                <c:pt idx="3">
                  <c:v>-942</c:v>
                </c:pt>
                <c:pt idx="4">
                  <c:v>-772</c:v>
                </c:pt>
              </c:numCache>
            </c:numRef>
          </c:yVal>
          <c:smooth val="0"/>
          <c:extLst>
            <c:ext xmlns:c16="http://schemas.microsoft.com/office/drawing/2014/chart" uri="{C3380CC4-5D6E-409C-BE32-E72D297353CC}">
              <c16:uniqueId val="{00000008-F091-4909-B7A3-EF83D77F839F}"/>
            </c:ext>
          </c:extLst>
        </c:ser>
        <c:ser>
          <c:idx val="7"/>
          <c:order val="7"/>
          <c:tx>
            <c:v>canard2</c:v>
          </c:tx>
          <c:spPr>
            <a:ln w="25400">
              <a:solidFill>
                <a:srgbClr val="008000"/>
              </a:solidFill>
              <a:prstDash val="solid"/>
            </a:ln>
          </c:spPr>
          <c:marker>
            <c:symbol val="none"/>
          </c:marker>
          <c:xVal>
            <c:numRef>
              <c:f>Stabilito!$E$158:$E$162</c:f>
              <c:numCache>
                <c:formatCode>0</c:formatCode>
                <c:ptCount val="5"/>
                <c:pt idx="0">
                  <c:v>-52</c:v>
                </c:pt>
                <c:pt idx="1">
                  <c:v>-159</c:v>
                </c:pt>
                <c:pt idx="2">
                  <c:v>-159</c:v>
                </c:pt>
                <c:pt idx="3">
                  <c:v>-52</c:v>
                </c:pt>
                <c:pt idx="4">
                  <c:v>-52</c:v>
                </c:pt>
              </c:numCache>
            </c:numRef>
          </c:xVal>
          <c:yVal>
            <c:numRef>
              <c:f>Stabilito!$C$158:$C$162</c:f>
              <c:numCache>
                <c:formatCode>0</c:formatCode>
                <c:ptCount val="5"/>
                <c:pt idx="0">
                  <c:v>-772</c:v>
                </c:pt>
                <c:pt idx="1">
                  <c:v>-892</c:v>
                </c:pt>
                <c:pt idx="2">
                  <c:v>-972</c:v>
                </c:pt>
                <c:pt idx="3">
                  <c:v>-942</c:v>
                </c:pt>
                <c:pt idx="4">
                  <c:v>-772</c:v>
                </c:pt>
              </c:numCache>
            </c:numRef>
          </c:yVal>
          <c:smooth val="0"/>
          <c:extLst>
            <c:ext xmlns:c16="http://schemas.microsoft.com/office/drawing/2014/chart" uri="{C3380CC4-5D6E-409C-BE32-E72D297353CC}">
              <c16:uniqueId val="{00000009-F091-4909-B7A3-EF83D77F839F}"/>
            </c:ext>
          </c:extLst>
        </c:ser>
        <c:ser>
          <c:idx val="8"/>
          <c:order val="8"/>
          <c:tx>
            <c:v>masquage</c:v>
          </c:tx>
          <c:spPr>
            <a:ln w="25400">
              <a:solidFill>
                <a:srgbClr val="FF0000"/>
              </a:solidFill>
              <a:prstDash val="sysDash"/>
            </a:ln>
          </c:spPr>
          <c:marker>
            <c:symbol val="none"/>
          </c:marker>
          <c:xVal>
            <c:numRef>
              <c:f>Stabilito!$D$163:$D$167</c:f>
              <c:numCache>
                <c:formatCode>0</c:formatCode>
                <c:ptCount val="5"/>
                <c:pt idx="0">
                  <c:v>52</c:v>
                </c:pt>
                <c:pt idx="1">
                  <c:v>149</c:v>
                </c:pt>
                <c:pt idx="2">
                  <c:v>149</c:v>
                </c:pt>
                <c:pt idx="3">
                  <c:v>52</c:v>
                </c:pt>
                <c:pt idx="4">
                  <c:v>52</c:v>
                </c:pt>
              </c:numCache>
            </c:numRef>
          </c:xVal>
          <c:yVal>
            <c:numRef>
              <c:f>Stabilito!$C$163:$C$167</c:f>
              <c:numCache>
                <c:formatCode>0</c:formatCode>
                <c:ptCount val="5"/>
                <c:pt idx="0">
                  <c:v>-1812</c:v>
                </c:pt>
                <c:pt idx="1">
                  <c:v>-1936.7142857142858</c:v>
                </c:pt>
                <c:pt idx="2">
                  <c:v>-2050.5</c:v>
                </c:pt>
                <c:pt idx="3">
                  <c:v>-2002</c:v>
                </c:pt>
                <c:pt idx="4">
                  <c:v>-1812</c:v>
                </c:pt>
              </c:numCache>
            </c:numRef>
          </c:yVal>
          <c:smooth val="0"/>
          <c:extLst>
            <c:ext xmlns:c16="http://schemas.microsoft.com/office/drawing/2014/chart" uri="{C3380CC4-5D6E-409C-BE32-E72D297353CC}">
              <c16:uniqueId val="{0000000A-F091-4909-B7A3-EF83D77F839F}"/>
            </c:ext>
          </c:extLst>
        </c:ser>
        <c:ser>
          <c:idx val="9"/>
          <c:order val="9"/>
          <c:tx>
            <c:v>masquage2</c:v>
          </c:tx>
          <c:spPr>
            <a:ln w="25400">
              <a:solidFill>
                <a:srgbClr val="FF0000"/>
              </a:solidFill>
              <a:prstDash val="sysDash"/>
            </a:ln>
          </c:spPr>
          <c:marker>
            <c:symbol val="none"/>
          </c:marker>
          <c:xVal>
            <c:numRef>
              <c:f>Stabilito!$E$163:$E$167</c:f>
              <c:numCache>
                <c:formatCode>0</c:formatCode>
                <c:ptCount val="5"/>
                <c:pt idx="0">
                  <c:v>-52</c:v>
                </c:pt>
                <c:pt idx="1">
                  <c:v>-149</c:v>
                </c:pt>
                <c:pt idx="2">
                  <c:v>-149</c:v>
                </c:pt>
                <c:pt idx="3">
                  <c:v>-52</c:v>
                </c:pt>
                <c:pt idx="4">
                  <c:v>-52</c:v>
                </c:pt>
              </c:numCache>
            </c:numRef>
          </c:xVal>
          <c:yVal>
            <c:numRef>
              <c:f>Stabilito!$C$163:$C$167</c:f>
              <c:numCache>
                <c:formatCode>0</c:formatCode>
                <c:ptCount val="5"/>
                <c:pt idx="0">
                  <c:v>-1812</c:v>
                </c:pt>
                <c:pt idx="1">
                  <c:v>-1936.7142857142858</c:v>
                </c:pt>
                <c:pt idx="2">
                  <c:v>-2050.5</c:v>
                </c:pt>
                <c:pt idx="3">
                  <c:v>-2002</c:v>
                </c:pt>
                <c:pt idx="4">
                  <c:v>-1812</c:v>
                </c:pt>
              </c:numCache>
            </c:numRef>
          </c:yVal>
          <c:smooth val="0"/>
          <c:extLst>
            <c:ext xmlns:c16="http://schemas.microsoft.com/office/drawing/2014/chart" uri="{C3380CC4-5D6E-409C-BE32-E72D297353CC}">
              <c16:uniqueId val="{0000000B-F091-4909-B7A3-EF83D77F839F}"/>
            </c:ext>
          </c:extLst>
        </c:ser>
        <c:ser>
          <c:idx val="10"/>
          <c:order val="10"/>
          <c:tx>
            <c:v>cadre</c:v>
          </c:tx>
          <c:spPr>
            <a:ln w="12700">
              <a:solidFill>
                <a:srgbClr val="FFFFFF"/>
              </a:solidFill>
              <a:prstDash val="solid"/>
            </a:ln>
          </c:spPr>
          <c:marker>
            <c:symbol val="none"/>
          </c:marker>
          <c:xVal>
            <c:numRef>
              <c:f>Stabilito!$D$168:$D$169</c:f>
              <c:numCache>
                <c:formatCode>0</c:formatCode>
                <c:ptCount val="2"/>
                <c:pt idx="0">
                  <c:v>684</c:v>
                </c:pt>
                <c:pt idx="1">
                  <c:v>-684</c:v>
                </c:pt>
              </c:numCache>
            </c:numRef>
          </c:xVal>
          <c:yVal>
            <c:numRef>
              <c:f>Stabilito!$C$168:$C$169</c:f>
              <c:numCache>
                <c:formatCode>0</c:formatCode>
                <c:ptCount val="2"/>
                <c:pt idx="0">
                  <c:v>-2092.7199999999998</c:v>
                </c:pt>
                <c:pt idx="1">
                  <c:v>-2092.7199999999998</c:v>
                </c:pt>
              </c:numCache>
            </c:numRef>
          </c:yVal>
          <c:smooth val="0"/>
          <c:extLst>
            <c:ext xmlns:c16="http://schemas.microsoft.com/office/drawing/2014/chart" uri="{C3380CC4-5D6E-409C-BE32-E72D297353CC}">
              <c16:uniqueId val="{0000000C-F091-4909-B7A3-EF83D77F839F}"/>
            </c:ext>
          </c:extLst>
        </c:ser>
        <c:ser>
          <c:idx val="11"/>
          <c:order val="11"/>
          <c:tx>
            <c:v>Propu</c:v>
          </c:tx>
          <c:spPr>
            <a:ln w="25400">
              <a:solidFill>
                <a:srgbClr val="FF00FF"/>
              </a:solidFill>
              <a:prstDash val="solid"/>
            </a:ln>
          </c:spPr>
          <c:marker>
            <c:symbol val="none"/>
          </c:marker>
          <c:xVal>
            <c:numRef>
              <c:f>Stabilito!$D$170:$D$174</c:f>
              <c:numCache>
                <c:formatCode>0</c:formatCode>
                <c:ptCount val="5"/>
                <c:pt idx="0">
                  <c:v>-27</c:v>
                </c:pt>
                <c:pt idx="1">
                  <c:v>27</c:v>
                </c:pt>
                <c:pt idx="2">
                  <c:v>27</c:v>
                </c:pt>
                <c:pt idx="3">
                  <c:v>-27</c:v>
                </c:pt>
                <c:pt idx="4">
                  <c:v>-27</c:v>
                </c:pt>
              </c:numCache>
            </c:numRef>
          </c:xVal>
          <c:yVal>
            <c:numRef>
              <c:f>Stabilito!$C$170:$C$174</c:f>
              <c:numCache>
                <c:formatCode>0</c:formatCode>
                <c:ptCount val="5"/>
                <c:pt idx="0">
                  <c:v>-1564</c:v>
                </c:pt>
                <c:pt idx="1">
                  <c:v>-1564</c:v>
                </c:pt>
                <c:pt idx="2">
                  <c:v>-2052</c:v>
                </c:pt>
                <c:pt idx="3">
                  <c:v>-2052</c:v>
                </c:pt>
                <c:pt idx="4">
                  <c:v>-1564</c:v>
                </c:pt>
              </c:numCache>
            </c:numRef>
          </c:yVal>
          <c:smooth val="0"/>
          <c:extLst>
            <c:ext xmlns:c16="http://schemas.microsoft.com/office/drawing/2014/chart" uri="{C3380CC4-5D6E-409C-BE32-E72D297353CC}">
              <c16:uniqueId val="{0000000D-F091-4909-B7A3-EF83D77F839F}"/>
            </c:ext>
          </c:extLst>
        </c:ser>
        <c:ser>
          <c:idx val="12"/>
          <c:order val="12"/>
          <c:tx>
            <c:v>Cone</c:v>
          </c:tx>
          <c:spPr>
            <a:ln w="25400">
              <a:solidFill>
                <a:srgbClr val="800080"/>
              </a:solidFill>
              <a:prstDash val="solid"/>
            </a:ln>
          </c:spPr>
          <c:marker>
            <c:symbol val="none"/>
          </c:marker>
          <c:xVal>
            <c:numRef>
              <c:f>Stabilito!$D$175:$D$180</c:f>
              <c:numCache>
                <c:formatCode>0</c:formatCode>
                <c:ptCount val="6"/>
                <c:pt idx="0">
                  <c:v>0</c:v>
                </c:pt>
                <c:pt idx="1">
                  <c:v>4.2</c:v>
                </c:pt>
                <c:pt idx="2">
                  <c:v>10.5</c:v>
                </c:pt>
                <c:pt idx="3">
                  <c:v>21</c:v>
                </c:pt>
                <c:pt idx="4">
                  <c:v>31.5</c:v>
                </c:pt>
                <c:pt idx="5">
                  <c:v>42</c:v>
                </c:pt>
              </c:numCache>
            </c:numRef>
          </c:xVal>
          <c:yVal>
            <c:numRef>
              <c:f>Stabilito!$C$175:$C$180</c:f>
              <c:numCache>
                <c:formatCode>0</c:formatCode>
                <c:ptCount val="6"/>
                <c:pt idx="0">
                  <c:v>0</c:v>
                </c:pt>
                <c:pt idx="1">
                  <c:v>-25.200000000000003</c:v>
                </c:pt>
                <c:pt idx="2">
                  <c:v>-63</c:v>
                </c:pt>
                <c:pt idx="3">
                  <c:v>-126</c:v>
                </c:pt>
                <c:pt idx="4">
                  <c:v>-189</c:v>
                </c:pt>
                <c:pt idx="5">
                  <c:v>-252</c:v>
                </c:pt>
              </c:numCache>
            </c:numRef>
          </c:yVal>
          <c:smooth val="0"/>
          <c:extLst>
            <c:ext xmlns:c16="http://schemas.microsoft.com/office/drawing/2014/chart" uri="{C3380CC4-5D6E-409C-BE32-E72D297353CC}">
              <c16:uniqueId val="{0000000E-F091-4909-B7A3-EF83D77F839F}"/>
            </c:ext>
          </c:extLst>
        </c:ser>
        <c:ser>
          <c:idx val="13"/>
          <c:order val="13"/>
          <c:tx>
            <c:v>Cone1</c:v>
          </c:tx>
          <c:spPr>
            <a:ln w="25400">
              <a:solidFill>
                <a:srgbClr val="800080"/>
              </a:solidFill>
              <a:prstDash val="solid"/>
            </a:ln>
          </c:spPr>
          <c:marker>
            <c:symbol val="none"/>
          </c:marker>
          <c:xVal>
            <c:numRef>
              <c:f>Stabilito!$E$175:$E$180</c:f>
              <c:numCache>
                <c:formatCode>0</c:formatCode>
                <c:ptCount val="6"/>
                <c:pt idx="0">
                  <c:v>0</c:v>
                </c:pt>
                <c:pt idx="1">
                  <c:v>-4.2</c:v>
                </c:pt>
                <c:pt idx="2">
                  <c:v>-10.5</c:v>
                </c:pt>
                <c:pt idx="3">
                  <c:v>-21</c:v>
                </c:pt>
                <c:pt idx="4">
                  <c:v>-31.5</c:v>
                </c:pt>
                <c:pt idx="5">
                  <c:v>-42</c:v>
                </c:pt>
              </c:numCache>
            </c:numRef>
          </c:xVal>
          <c:yVal>
            <c:numRef>
              <c:f>Stabilito!$C$175:$C$180</c:f>
              <c:numCache>
                <c:formatCode>0</c:formatCode>
                <c:ptCount val="6"/>
                <c:pt idx="0">
                  <c:v>0</c:v>
                </c:pt>
                <c:pt idx="1">
                  <c:v>-25.200000000000003</c:v>
                </c:pt>
                <c:pt idx="2">
                  <c:v>-63</c:v>
                </c:pt>
                <c:pt idx="3">
                  <c:v>-126</c:v>
                </c:pt>
                <c:pt idx="4">
                  <c:v>-189</c:v>
                </c:pt>
                <c:pt idx="5">
                  <c:v>-252</c:v>
                </c:pt>
              </c:numCache>
            </c:numRef>
          </c:yVal>
          <c:smooth val="0"/>
          <c:extLst>
            <c:ext xmlns:c16="http://schemas.microsoft.com/office/drawing/2014/chart" uri="{C3380CC4-5D6E-409C-BE32-E72D297353CC}">
              <c16:uniqueId val="{0000000F-F091-4909-B7A3-EF83D77F839F}"/>
            </c:ext>
          </c:extLst>
        </c:ser>
        <c:ser>
          <c:idx val="14"/>
          <c:order val="14"/>
          <c:tx>
            <c:strRef>
              <c:f>Stabilito!$B$137</c:f>
              <c:strCache>
                <c:ptCount val="1"/>
                <c:pt idx="0">
                  <c:v>Envergure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0-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Stabilito!$D$137:$D$139</c:f>
              <c:numCache>
                <c:formatCode>0</c:formatCode>
                <c:ptCount val="3"/>
                <c:pt idx="0">
                  <c:v>-192</c:v>
                </c:pt>
                <c:pt idx="1">
                  <c:v>-122</c:v>
                </c:pt>
                <c:pt idx="2">
                  <c:v>-52</c:v>
                </c:pt>
              </c:numCache>
            </c:numRef>
          </c:xVal>
          <c:yVal>
            <c:numRef>
              <c:f>Stabilito!$C$137:$C$139</c:f>
              <c:numCache>
                <c:formatCode>0</c:formatCode>
                <c:ptCount val="3"/>
                <c:pt idx="0">
                  <c:v>-2140.4</c:v>
                </c:pt>
                <c:pt idx="1">
                  <c:v>-2140.4</c:v>
                </c:pt>
                <c:pt idx="2">
                  <c:v>-2140.4</c:v>
                </c:pt>
              </c:numCache>
            </c:numRef>
          </c:yVal>
          <c:smooth val="0"/>
          <c:extLst>
            <c:ext xmlns:c16="http://schemas.microsoft.com/office/drawing/2014/chart" uri="{C3380CC4-5D6E-409C-BE32-E72D297353CC}">
              <c16:uniqueId val="{00000011-F091-4909-B7A3-EF83D77F839F}"/>
            </c:ext>
          </c:extLst>
        </c:ser>
        <c:ser>
          <c:idx val="15"/>
          <c:order val="15"/>
          <c:tx>
            <c:strRef>
              <c:f>Stabilito!$B$143</c:f>
              <c:strCache>
                <c:ptCount val="1"/>
                <c:pt idx="0">
                  <c:v>Flèche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2-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Stabilito!$D$143:$D$145</c:f>
              <c:numCache>
                <c:formatCode>0</c:formatCode>
                <c:ptCount val="3"/>
                <c:pt idx="0">
                  <c:v>-260.39999999999998</c:v>
                </c:pt>
                <c:pt idx="1">
                  <c:v>-260.39999999999998</c:v>
                </c:pt>
                <c:pt idx="2">
                  <c:v>-260.39999999999998</c:v>
                </c:pt>
              </c:numCache>
            </c:numRef>
          </c:xVal>
          <c:yVal>
            <c:numRef>
              <c:f>Stabilito!$C$143:$C$145</c:f>
              <c:numCache>
                <c:formatCode>0</c:formatCode>
                <c:ptCount val="3"/>
                <c:pt idx="0">
                  <c:v>-1812</c:v>
                </c:pt>
                <c:pt idx="1">
                  <c:v>-1902</c:v>
                </c:pt>
                <c:pt idx="2">
                  <c:v>-1992</c:v>
                </c:pt>
              </c:numCache>
            </c:numRef>
          </c:yVal>
          <c:smooth val="0"/>
          <c:extLst>
            <c:ext xmlns:c16="http://schemas.microsoft.com/office/drawing/2014/chart" uri="{C3380CC4-5D6E-409C-BE32-E72D297353CC}">
              <c16:uniqueId val="{00000013-F091-4909-B7A3-EF83D77F839F}"/>
            </c:ext>
          </c:extLst>
        </c:ser>
        <c:ser>
          <c:idx val="16"/>
          <c:order val="16"/>
          <c:tx>
            <c:strRef>
              <c:f>Stabilito!$B$146</c:f>
              <c:strCache>
                <c:ptCount val="1"/>
                <c:pt idx="0">
                  <c:v>Saumon</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4-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Stabilito!$D$146:$D$148</c:f>
              <c:numCache>
                <c:formatCode>0</c:formatCode>
                <c:ptCount val="3"/>
                <c:pt idx="0">
                  <c:v>-294.60000000000002</c:v>
                </c:pt>
                <c:pt idx="1">
                  <c:v>-294.60000000000002</c:v>
                </c:pt>
                <c:pt idx="2">
                  <c:v>-294.60000000000002</c:v>
                </c:pt>
              </c:numCache>
            </c:numRef>
          </c:xVal>
          <c:yVal>
            <c:numRef>
              <c:f>Stabilito!$C$146:$C$148</c:f>
              <c:numCache>
                <c:formatCode>0</c:formatCode>
                <c:ptCount val="3"/>
                <c:pt idx="0">
                  <c:v>-1992</c:v>
                </c:pt>
                <c:pt idx="1">
                  <c:v>-2032</c:v>
                </c:pt>
                <c:pt idx="2">
                  <c:v>-2072</c:v>
                </c:pt>
              </c:numCache>
            </c:numRef>
          </c:yVal>
          <c:smooth val="0"/>
          <c:extLst>
            <c:ext xmlns:c16="http://schemas.microsoft.com/office/drawing/2014/chart" uri="{C3380CC4-5D6E-409C-BE32-E72D297353CC}">
              <c16:uniqueId val="{00000015-F091-4909-B7A3-EF83D77F839F}"/>
            </c:ext>
          </c:extLst>
        </c:ser>
        <c:ser>
          <c:idx val="17"/>
          <c:order val="17"/>
          <c:tx>
            <c:strRef>
              <c:f>Stabilito!$B$140</c:f>
              <c:strCache>
                <c:ptCount val="1"/>
                <c:pt idx="0">
                  <c:v>Emplanture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6-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Stabilito!$D$140:$D$142</c:f>
              <c:numCache>
                <c:formatCode>0</c:formatCode>
                <c:ptCount val="3"/>
                <c:pt idx="0">
                  <c:v>294.60000000000002</c:v>
                </c:pt>
                <c:pt idx="1">
                  <c:v>294.60000000000002</c:v>
                </c:pt>
                <c:pt idx="2">
                  <c:v>294.60000000000002</c:v>
                </c:pt>
              </c:numCache>
            </c:numRef>
          </c:xVal>
          <c:yVal>
            <c:numRef>
              <c:f>Stabilito!$C$140:$C$142</c:f>
              <c:numCache>
                <c:formatCode>0</c:formatCode>
                <c:ptCount val="3"/>
                <c:pt idx="0">
                  <c:v>-1812</c:v>
                </c:pt>
                <c:pt idx="1">
                  <c:v>-1907</c:v>
                </c:pt>
                <c:pt idx="2">
                  <c:v>-2002</c:v>
                </c:pt>
              </c:numCache>
            </c:numRef>
          </c:yVal>
          <c:smooth val="0"/>
          <c:extLst>
            <c:ext xmlns:c16="http://schemas.microsoft.com/office/drawing/2014/chart" uri="{C3380CC4-5D6E-409C-BE32-E72D297353CC}">
              <c16:uniqueId val="{00000017-F091-4909-B7A3-EF83D77F839F}"/>
            </c:ext>
          </c:extLst>
        </c:ser>
        <c:ser>
          <c:idx val="18"/>
          <c:order val="18"/>
          <c:tx>
            <c:strRef>
              <c:f>Stabilito!$B$155</c:f>
              <c:strCache>
                <c:ptCount val="1"/>
                <c:pt idx="0">
                  <c:v>Marge Statique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8-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Stabilito!$D$155:$D$157</c:f>
              <c:numCache>
                <c:formatCode>0</c:formatCode>
                <c:ptCount val="3"/>
                <c:pt idx="0">
                  <c:v>-294.60000000000002</c:v>
                </c:pt>
                <c:pt idx="1">
                  <c:v>-294.60000000000002</c:v>
                </c:pt>
                <c:pt idx="2">
                  <c:v>-294.60000000000002</c:v>
                </c:pt>
              </c:numCache>
            </c:numRef>
          </c:xVal>
          <c:yVal>
            <c:numRef>
              <c:f>Stabilito!$C$155:$C$157</c:f>
              <c:numCache>
                <c:formatCode>0</c:formatCode>
                <c:ptCount val="3"/>
                <c:pt idx="0">
                  <c:v>-1127.6016453777875</c:v>
                </c:pt>
                <c:pt idx="1">
                  <c:v>-1209.4224915459322</c:v>
                </c:pt>
                <c:pt idx="2">
                  <c:v>-1291.2433377140769</c:v>
                </c:pt>
              </c:numCache>
            </c:numRef>
          </c:yVal>
          <c:smooth val="0"/>
          <c:extLst>
            <c:ext xmlns:c16="http://schemas.microsoft.com/office/drawing/2014/chart" uri="{C3380CC4-5D6E-409C-BE32-E72D297353CC}">
              <c16:uniqueId val="{00000019-F091-4909-B7A3-EF83D77F839F}"/>
            </c:ext>
          </c:extLst>
        </c:ser>
        <c:dLbls>
          <c:showLegendKey val="0"/>
          <c:showVal val="0"/>
          <c:showCatName val="0"/>
          <c:showSerName val="0"/>
          <c:showPercent val="0"/>
          <c:showBubbleSize val="0"/>
        </c:dLbls>
        <c:axId val="148707200"/>
        <c:axId val="148708736"/>
      </c:scatterChart>
      <c:valAx>
        <c:axId val="148707200"/>
        <c:scaling>
          <c:orientation val="minMax"/>
        </c:scaling>
        <c:delete val="0"/>
        <c:axPos val="t"/>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8736"/>
        <c:crosses val="max"/>
        <c:crossBetween val="midCat"/>
      </c:valAx>
      <c:valAx>
        <c:axId val="148708736"/>
        <c:scaling>
          <c:orientation val="minMax"/>
        </c:scaling>
        <c:delete val="0"/>
        <c:axPos val="r"/>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7200"/>
        <c:crosses val="max"/>
        <c:crossBetween val="midCat"/>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Abaco!$B$77</c:f>
          <c:strCache>
            <c:ptCount val="1"/>
            <c:pt idx="0">
              <c:v>Vitesse max / Masse totale</c:v>
            </c:pt>
          </c:strCache>
        </c:strRef>
      </c:tx>
      <c:layout>
        <c:manualLayout>
          <c:xMode val="edge"/>
          <c:yMode val="edge"/>
          <c:x val="0.32580555555555563"/>
          <c:y val="3.2407484861159096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54 mm</c:v>
                </c:pt>
              </c:strCache>
            </c:strRef>
          </c:tx>
          <c:xVal>
            <c:numRef>
              <c:f>Abaco!$D$43:$D$51</c:f>
              <c:numCache>
                <c:formatCode>General\ "kg"</c:formatCode>
                <c:ptCount val="9"/>
                <c:pt idx="0">
                  <c:v>1.6319999999999999</c:v>
                </c:pt>
                <c:pt idx="1">
                  <c:v>3.3319999999999999</c:v>
                </c:pt>
                <c:pt idx="2">
                  <c:v>5.032</c:v>
                </c:pt>
                <c:pt idx="3">
                  <c:v>6.7319999999999993</c:v>
                </c:pt>
                <c:pt idx="4">
                  <c:v>8.4320000000000004</c:v>
                </c:pt>
                <c:pt idx="5">
                  <c:v>10.132</c:v>
                </c:pt>
                <c:pt idx="6">
                  <c:v>11.831999999999999</c:v>
                </c:pt>
                <c:pt idx="7">
                  <c:v>13.532</c:v>
                </c:pt>
                <c:pt idx="8">
                  <c:v>15.231999999999999</c:v>
                </c:pt>
              </c:numCache>
            </c:numRef>
          </c:xVal>
          <c:yVal>
            <c:numRef>
              <c:f>Abaco!$K$43:$K$51</c:f>
              <c:numCache>
                <c:formatCode>General" m/s"</c:formatCode>
                <c:ptCount val="9"/>
                <c:pt idx="0">
                  <c:v>1002.4406316061013</c:v>
                </c:pt>
                <c:pt idx="1">
                  <c:v>607.14203244534497</c:v>
                </c:pt>
                <c:pt idx="2">
                  <c:v>402.69084574671263</c:v>
                </c:pt>
                <c:pt idx="3">
                  <c:v>295.54851141081042</c:v>
                </c:pt>
                <c:pt idx="4">
                  <c:v>231.1658165691147</c:v>
                </c:pt>
                <c:pt idx="5">
                  <c:v>188.51899274824845</c:v>
                </c:pt>
                <c:pt idx="6">
                  <c:v>158.28248485004076</c:v>
                </c:pt>
                <c:pt idx="7">
                  <c:v>135.76067425127982</c:v>
                </c:pt>
                <c:pt idx="8">
                  <c:v>118.34920874243217</c:v>
                </c:pt>
              </c:numCache>
            </c:numRef>
          </c:yVal>
          <c:smooth val="0"/>
          <c:extLst>
            <c:ext xmlns:c16="http://schemas.microsoft.com/office/drawing/2014/chart" uri="{C3380CC4-5D6E-409C-BE32-E72D297353CC}">
              <c16:uniqueId val="{00000000-8857-4FF4-B70E-166DFD57E3E3}"/>
            </c:ext>
          </c:extLst>
        </c:ser>
        <c:ser>
          <c:idx val="1"/>
          <c:order val="1"/>
          <c:tx>
            <c:strRef>
              <c:f>Abaco!$B$52</c:f>
              <c:strCache>
                <c:ptCount val="1"/>
                <c:pt idx="0">
                  <c:v>Ø = 99 mm</c:v>
                </c:pt>
              </c:strCache>
            </c:strRef>
          </c:tx>
          <c:xVal>
            <c:numRef>
              <c:f>Abaco!$D$52:$D$60</c:f>
              <c:numCache>
                <c:formatCode>General\ "kg"</c:formatCode>
                <c:ptCount val="9"/>
                <c:pt idx="0">
                  <c:v>1.6319999999999999</c:v>
                </c:pt>
                <c:pt idx="1">
                  <c:v>3.3319999999999999</c:v>
                </c:pt>
                <c:pt idx="2">
                  <c:v>5.032</c:v>
                </c:pt>
                <c:pt idx="3">
                  <c:v>6.7319999999999993</c:v>
                </c:pt>
                <c:pt idx="4">
                  <c:v>8.4320000000000004</c:v>
                </c:pt>
                <c:pt idx="5">
                  <c:v>10.132</c:v>
                </c:pt>
                <c:pt idx="6">
                  <c:v>11.831999999999999</c:v>
                </c:pt>
                <c:pt idx="7">
                  <c:v>13.532</c:v>
                </c:pt>
                <c:pt idx="8">
                  <c:v>15.231999999999999</c:v>
                </c:pt>
              </c:numCache>
            </c:numRef>
          </c:xVal>
          <c:yVal>
            <c:numRef>
              <c:f>Abaco!$K$52:$K$60</c:f>
              <c:numCache>
                <c:formatCode>General" m/s"</c:formatCode>
                <c:ptCount val="9"/>
                <c:pt idx="0">
                  <c:v>590.49474934968862</c:v>
                </c:pt>
                <c:pt idx="1">
                  <c:v>485.00644799649695</c:v>
                </c:pt>
                <c:pt idx="2">
                  <c:v>362.29494995191754</c:v>
                </c:pt>
                <c:pt idx="3">
                  <c:v>278.6124970736434</c:v>
                </c:pt>
                <c:pt idx="4">
                  <c:v>222.76643703038485</c:v>
                </c:pt>
                <c:pt idx="5">
                  <c:v>183.84098335537104</c:v>
                </c:pt>
                <c:pt idx="6">
                  <c:v>155.45141419708011</c:v>
                </c:pt>
                <c:pt idx="7">
                  <c:v>133.93806619340432</c:v>
                </c:pt>
                <c:pt idx="8">
                  <c:v>117.11867127036943</c:v>
                </c:pt>
              </c:numCache>
            </c:numRef>
          </c:yVal>
          <c:smooth val="0"/>
          <c:extLst>
            <c:ext xmlns:c16="http://schemas.microsoft.com/office/drawing/2014/chart" uri="{C3380CC4-5D6E-409C-BE32-E72D297353CC}">
              <c16:uniqueId val="{00000001-8857-4FF4-B70E-166DFD57E3E3}"/>
            </c:ext>
          </c:extLst>
        </c:ser>
        <c:ser>
          <c:idx val="2"/>
          <c:order val="2"/>
          <c:tx>
            <c:strRef>
              <c:f>Abaco!$B$61</c:f>
              <c:strCache>
                <c:ptCount val="1"/>
                <c:pt idx="0">
                  <c:v>Ø = 149 mm</c:v>
                </c:pt>
              </c:strCache>
            </c:strRef>
          </c:tx>
          <c:xVal>
            <c:numRef>
              <c:f>Abaco!$D$61:$D$69</c:f>
              <c:numCache>
                <c:formatCode>General\ "kg"</c:formatCode>
                <c:ptCount val="9"/>
                <c:pt idx="0">
                  <c:v>1.6319999999999999</c:v>
                </c:pt>
                <c:pt idx="1">
                  <c:v>3.3319999999999999</c:v>
                </c:pt>
                <c:pt idx="2">
                  <c:v>5.032</c:v>
                </c:pt>
                <c:pt idx="3">
                  <c:v>6.7319999999999993</c:v>
                </c:pt>
                <c:pt idx="4">
                  <c:v>8.4320000000000004</c:v>
                </c:pt>
                <c:pt idx="5">
                  <c:v>10.132</c:v>
                </c:pt>
                <c:pt idx="6">
                  <c:v>11.831999999999999</c:v>
                </c:pt>
                <c:pt idx="7">
                  <c:v>13.532</c:v>
                </c:pt>
                <c:pt idx="8">
                  <c:v>15.231999999999999</c:v>
                </c:pt>
              </c:numCache>
            </c:numRef>
          </c:xVal>
          <c:yVal>
            <c:numRef>
              <c:f>Abaco!$K$61:$K$69</c:f>
              <c:numCache>
                <c:formatCode>General" m/s"</c:formatCode>
                <c:ptCount val="9"/>
                <c:pt idx="0">
                  <c:v>395.83342877308831</c:v>
                </c:pt>
                <c:pt idx="1">
                  <c:v>369.92120451047248</c:v>
                </c:pt>
                <c:pt idx="2">
                  <c:v>310.24474934527859</c:v>
                </c:pt>
                <c:pt idx="3">
                  <c:v>253.61173035732941</c:v>
                </c:pt>
                <c:pt idx="4">
                  <c:v>209.50208115042608</c:v>
                </c:pt>
                <c:pt idx="5">
                  <c:v>176.17134527807647</c:v>
                </c:pt>
                <c:pt idx="6">
                  <c:v>150.70330640618363</c:v>
                </c:pt>
                <c:pt idx="7">
                  <c:v>130.83609150411436</c:v>
                </c:pt>
                <c:pt idx="8">
                  <c:v>115.0033325518458</c:v>
                </c:pt>
              </c:numCache>
            </c:numRef>
          </c:yVal>
          <c:smooth val="0"/>
          <c:extLst>
            <c:ext xmlns:c16="http://schemas.microsoft.com/office/drawing/2014/chart" uri="{C3380CC4-5D6E-409C-BE32-E72D297353CC}">
              <c16:uniqueId val="{00000002-8857-4FF4-B70E-166DFD57E3E3}"/>
            </c:ext>
          </c:extLst>
        </c:ser>
        <c:dLbls>
          <c:showLegendKey val="0"/>
          <c:showVal val="0"/>
          <c:showCatName val="0"/>
          <c:showSerName val="0"/>
          <c:showPercent val="0"/>
          <c:showBubbleSize val="0"/>
        </c:dLbls>
        <c:axId val="193467904"/>
        <c:axId val="193469824"/>
      </c:scatterChart>
      <c:valAx>
        <c:axId val="193467904"/>
        <c:scaling>
          <c:orientation val="minMax"/>
        </c:scaling>
        <c:delete val="0"/>
        <c:axPos val="b"/>
        <c:majorGridlines/>
        <c:title>
          <c:tx>
            <c:strRef>
              <c:f>Abaco!$B$75</c:f>
              <c:strCache>
                <c:ptCount val="1"/>
                <c:pt idx="0">
                  <c:v>Masse totale</c:v>
                </c:pt>
              </c:strCache>
            </c:strRef>
          </c:tx>
          <c:layout>
            <c:manualLayout>
              <c:xMode val="edge"/>
              <c:yMode val="edge"/>
              <c:x val="0.25133792650918629"/>
              <c:y val="0.80923605680929611"/>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9824"/>
        <c:crosses val="autoZero"/>
        <c:crossBetween val="midCat"/>
      </c:valAx>
      <c:valAx>
        <c:axId val="193469824"/>
        <c:scaling>
          <c:orientation val="minMax"/>
        </c:scaling>
        <c:delete val="0"/>
        <c:axPos val="l"/>
        <c:majorGridlines/>
        <c:title>
          <c:tx>
            <c:strRef>
              <c:f>Abaco!$B$76</c:f>
              <c:strCache>
                <c:ptCount val="1"/>
                <c:pt idx="0">
                  <c:v>Vitesse max</c:v>
                </c:pt>
              </c:strCache>
            </c:strRef>
          </c:tx>
          <c:layout>
            <c:manualLayout>
              <c:xMode val="edge"/>
              <c:yMode val="edge"/>
              <c:x val="0.14166666666666666"/>
              <c:y val="5.803422378207343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7904"/>
        <c:crosses val="autoZero"/>
        <c:crossBetween val="midCat"/>
      </c:valAx>
    </c:plotArea>
    <c:legend>
      <c:legendPos val="r"/>
      <c:layout>
        <c:manualLayout>
          <c:xMode val="edge"/>
          <c:yMode val="edge"/>
          <c:x val="0.71944466316710431"/>
          <c:y val="0.18706733829172051"/>
          <c:w val="0.20833333333333343"/>
          <c:h val="0.24711352766816386"/>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Abaco!$B$79</c:f>
          <c:strCache>
            <c:ptCount val="1"/>
            <c:pt idx="0">
              <c:v>Altitude max / Masse totale</c:v>
            </c:pt>
          </c:strCache>
        </c:strRef>
      </c:tx>
      <c:layout>
        <c:manualLayout>
          <c:xMode val="edge"/>
          <c:yMode val="edge"/>
          <c:x val="0.32580555555555563"/>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54 mm</c:v>
                </c:pt>
              </c:strCache>
            </c:strRef>
          </c:tx>
          <c:xVal>
            <c:numRef>
              <c:f>Abaco!$D$43:$D$51</c:f>
              <c:numCache>
                <c:formatCode>General\ "kg"</c:formatCode>
                <c:ptCount val="9"/>
                <c:pt idx="0">
                  <c:v>1.6319999999999999</c:v>
                </c:pt>
                <c:pt idx="1">
                  <c:v>3.3319999999999999</c:v>
                </c:pt>
                <c:pt idx="2">
                  <c:v>5.032</c:v>
                </c:pt>
                <c:pt idx="3">
                  <c:v>6.7319999999999993</c:v>
                </c:pt>
                <c:pt idx="4">
                  <c:v>8.4320000000000004</c:v>
                </c:pt>
                <c:pt idx="5">
                  <c:v>10.132</c:v>
                </c:pt>
                <c:pt idx="6">
                  <c:v>11.831999999999999</c:v>
                </c:pt>
                <c:pt idx="7">
                  <c:v>13.532</c:v>
                </c:pt>
                <c:pt idx="8">
                  <c:v>15.231999999999999</c:v>
                </c:pt>
              </c:numCache>
            </c:numRef>
          </c:xVal>
          <c:yVal>
            <c:numRef>
              <c:f>Abaco!$L$43:$L$51</c:f>
              <c:numCache>
                <c:formatCode>General" m"</c:formatCode>
                <c:ptCount val="9"/>
                <c:pt idx="0">
                  <c:v>2763.5913417554384</c:v>
                </c:pt>
                <c:pt idx="1">
                  <c:v>3917.2364629100011</c:v>
                </c:pt>
                <c:pt idx="2">
                  <c:v>3673.173721385187</c:v>
                </c:pt>
                <c:pt idx="3">
                  <c:v>2961.3441535971206</c:v>
                </c:pt>
                <c:pt idx="4">
                  <c:v>2250.9316737739614</c:v>
                </c:pt>
                <c:pt idx="5">
                  <c:v>1691.3044328119433</c:v>
                </c:pt>
                <c:pt idx="6">
                  <c:v>1283.8350293025796</c:v>
                </c:pt>
                <c:pt idx="7">
                  <c:v>992.18121734766976</c:v>
                </c:pt>
                <c:pt idx="8">
                  <c:v>781.74037613117332</c:v>
                </c:pt>
              </c:numCache>
            </c:numRef>
          </c:yVal>
          <c:smooth val="0"/>
          <c:extLst>
            <c:ext xmlns:c16="http://schemas.microsoft.com/office/drawing/2014/chart" uri="{C3380CC4-5D6E-409C-BE32-E72D297353CC}">
              <c16:uniqueId val="{00000000-7047-4687-B7C4-0BB054548F22}"/>
            </c:ext>
          </c:extLst>
        </c:ser>
        <c:ser>
          <c:idx val="1"/>
          <c:order val="1"/>
          <c:tx>
            <c:strRef>
              <c:f>Abaco!$B$52</c:f>
              <c:strCache>
                <c:ptCount val="1"/>
                <c:pt idx="0">
                  <c:v>Ø = 99 mm</c:v>
                </c:pt>
              </c:strCache>
            </c:strRef>
          </c:tx>
          <c:xVal>
            <c:numRef>
              <c:f>Abaco!$D$52:$D$60</c:f>
              <c:numCache>
                <c:formatCode>General\ "kg"</c:formatCode>
                <c:ptCount val="9"/>
                <c:pt idx="0">
                  <c:v>1.6319999999999999</c:v>
                </c:pt>
                <c:pt idx="1">
                  <c:v>3.3319999999999999</c:v>
                </c:pt>
                <c:pt idx="2">
                  <c:v>5.032</c:v>
                </c:pt>
                <c:pt idx="3">
                  <c:v>6.7319999999999993</c:v>
                </c:pt>
                <c:pt idx="4">
                  <c:v>8.4320000000000004</c:v>
                </c:pt>
                <c:pt idx="5">
                  <c:v>10.132</c:v>
                </c:pt>
                <c:pt idx="6">
                  <c:v>11.831999999999999</c:v>
                </c:pt>
                <c:pt idx="7">
                  <c:v>13.532</c:v>
                </c:pt>
                <c:pt idx="8">
                  <c:v>15.231999999999999</c:v>
                </c:pt>
              </c:numCache>
            </c:numRef>
          </c:xVal>
          <c:yVal>
            <c:numRef>
              <c:f>Abaco!$L$52:$L$60</c:f>
              <c:numCache>
                <c:formatCode>General" m"</c:formatCode>
                <c:ptCount val="9"/>
                <c:pt idx="0">
                  <c:v>1283.2325904559127</c:v>
                </c:pt>
                <c:pt idx="1">
                  <c:v>1748.2268559255056</c:v>
                </c:pt>
                <c:pt idx="2">
                  <c:v>1851.9671141612764</c:v>
                </c:pt>
                <c:pt idx="3">
                  <c:v>1738.655864649261</c:v>
                </c:pt>
                <c:pt idx="4">
                  <c:v>1521.583742106214</c:v>
                </c:pt>
                <c:pt idx="5">
                  <c:v>1278.6867144581972</c:v>
                </c:pt>
                <c:pt idx="6">
                  <c:v>1053.0534273872288</c:v>
                </c:pt>
                <c:pt idx="7">
                  <c:v>861.49936714274907</c:v>
                </c:pt>
                <c:pt idx="8">
                  <c:v>705.93134896902495</c:v>
                </c:pt>
              </c:numCache>
            </c:numRef>
          </c:yVal>
          <c:smooth val="0"/>
          <c:extLst>
            <c:ext xmlns:c16="http://schemas.microsoft.com/office/drawing/2014/chart" uri="{C3380CC4-5D6E-409C-BE32-E72D297353CC}">
              <c16:uniqueId val="{00000001-7047-4687-B7C4-0BB054548F22}"/>
            </c:ext>
          </c:extLst>
        </c:ser>
        <c:ser>
          <c:idx val="2"/>
          <c:order val="2"/>
          <c:tx>
            <c:strRef>
              <c:f>Abaco!$B$61</c:f>
              <c:strCache>
                <c:ptCount val="1"/>
                <c:pt idx="0">
                  <c:v>Ø = 149 mm</c:v>
                </c:pt>
              </c:strCache>
            </c:strRef>
          </c:tx>
          <c:xVal>
            <c:numRef>
              <c:f>Abaco!$D$61:$D$69</c:f>
              <c:numCache>
                <c:formatCode>General\ "kg"</c:formatCode>
                <c:ptCount val="9"/>
                <c:pt idx="0">
                  <c:v>1.6319999999999999</c:v>
                </c:pt>
                <c:pt idx="1">
                  <c:v>3.3319999999999999</c:v>
                </c:pt>
                <c:pt idx="2">
                  <c:v>5.032</c:v>
                </c:pt>
                <c:pt idx="3">
                  <c:v>6.7319999999999993</c:v>
                </c:pt>
                <c:pt idx="4">
                  <c:v>8.4320000000000004</c:v>
                </c:pt>
                <c:pt idx="5">
                  <c:v>10.132</c:v>
                </c:pt>
                <c:pt idx="6">
                  <c:v>11.831999999999999</c:v>
                </c:pt>
                <c:pt idx="7">
                  <c:v>13.532</c:v>
                </c:pt>
                <c:pt idx="8">
                  <c:v>15.231999999999999</c:v>
                </c:pt>
              </c:numCache>
            </c:numRef>
          </c:xVal>
          <c:yVal>
            <c:numRef>
              <c:f>Abaco!$L$61:$L$69</c:f>
              <c:numCache>
                <c:formatCode>General" m"</c:formatCode>
                <c:ptCount val="9"/>
                <c:pt idx="0">
                  <c:v>794.75834496934203</c:v>
                </c:pt>
                <c:pt idx="1">
                  <c:v>1017.1654773557838</c:v>
                </c:pt>
                <c:pt idx="2">
                  <c:v>1108.4701380331376</c:v>
                </c:pt>
                <c:pt idx="3">
                  <c:v>1105.5095560055947</c:v>
                </c:pt>
                <c:pt idx="4">
                  <c:v>1039.8440869467108</c:v>
                </c:pt>
                <c:pt idx="5">
                  <c:v>939.27947614970583</c:v>
                </c:pt>
                <c:pt idx="6">
                  <c:v>825.44583794918788</c:v>
                </c:pt>
                <c:pt idx="7">
                  <c:v>712.94117537509067</c:v>
                </c:pt>
                <c:pt idx="8">
                  <c:v>609.95221672874106</c:v>
                </c:pt>
              </c:numCache>
            </c:numRef>
          </c:yVal>
          <c:smooth val="0"/>
          <c:extLst>
            <c:ext xmlns:c16="http://schemas.microsoft.com/office/drawing/2014/chart" uri="{C3380CC4-5D6E-409C-BE32-E72D297353CC}">
              <c16:uniqueId val="{00000002-7047-4687-B7C4-0BB054548F22}"/>
            </c:ext>
          </c:extLst>
        </c:ser>
        <c:dLbls>
          <c:showLegendKey val="0"/>
          <c:showVal val="0"/>
          <c:showCatName val="0"/>
          <c:showSerName val="0"/>
          <c:showPercent val="0"/>
          <c:showBubbleSize val="0"/>
        </c:dLbls>
        <c:axId val="193512576"/>
        <c:axId val="193514496"/>
      </c:scatterChart>
      <c:valAx>
        <c:axId val="193512576"/>
        <c:scaling>
          <c:orientation val="minMax"/>
        </c:scaling>
        <c:delete val="0"/>
        <c:axPos val="b"/>
        <c:majorGridlines/>
        <c:title>
          <c:tx>
            <c:strRef>
              <c:f>Abaco!$B$75</c:f>
              <c:strCache>
                <c:ptCount val="1"/>
                <c:pt idx="0">
                  <c:v>Masse totale</c:v>
                </c:pt>
              </c:strCache>
            </c:strRef>
          </c:tx>
          <c:layout>
            <c:manualLayout>
              <c:xMode val="edge"/>
              <c:yMode val="edge"/>
              <c:x val="0.25133792650918629"/>
              <c:y val="0.8092359976229385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4496"/>
        <c:crosses val="autoZero"/>
        <c:crossBetween val="midCat"/>
      </c:valAx>
      <c:valAx>
        <c:axId val="193514496"/>
        <c:scaling>
          <c:orientation val="minMax"/>
        </c:scaling>
        <c:delete val="0"/>
        <c:axPos val="l"/>
        <c:majorGridlines/>
        <c:title>
          <c:tx>
            <c:strRef>
              <c:f>Abaco!$B$78</c:f>
              <c:strCache>
                <c:ptCount val="1"/>
                <c:pt idx="0">
                  <c:v>Altitude max</c:v>
                </c:pt>
              </c:strCache>
            </c:strRef>
          </c:tx>
          <c:layout>
            <c:manualLayout>
              <c:xMode val="edge"/>
              <c:yMode val="edge"/>
              <c:x val="0.14166666666666666"/>
              <c:y val="5.8034467389689502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2576"/>
        <c:crosses val="autoZero"/>
        <c:crossBetween val="midCat"/>
      </c:valAx>
    </c:plotArea>
    <c:legend>
      <c:legendPos val="r"/>
      <c:layout>
        <c:manualLayout>
          <c:xMode val="edge"/>
          <c:yMode val="edge"/>
          <c:x val="0.71944466316710431"/>
          <c:y val="0.18396263556678061"/>
          <c:w val="0.20833333333333343"/>
          <c:h val="0.25235886198187502"/>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Abaco!$B$81</c:f>
          <c:strCache>
            <c:ptCount val="1"/>
            <c:pt idx="0">
              <c:v>Temps de culmination / Masse totale</c:v>
            </c:pt>
          </c:strCache>
        </c:strRef>
      </c:tx>
      <c:layout>
        <c:manualLayout>
          <c:xMode val="edge"/>
          <c:yMode val="edge"/>
          <c:x val="0.18369438576275529"/>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54 mm</c:v>
                </c:pt>
              </c:strCache>
            </c:strRef>
          </c:tx>
          <c:xVal>
            <c:numRef>
              <c:f>Abaco!$D$43:$D$51</c:f>
              <c:numCache>
                <c:formatCode>General\ "kg"</c:formatCode>
                <c:ptCount val="9"/>
                <c:pt idx="0">
                  <c:v>1.6319999999999999</c:v>
                </c:pt>
                <c:pt idx="1">
                  <c:v>3.3319999999999999</c:v>
                </c:pt>
                <c:pt idx="2">
                  <c:v>5.032</c:v>
                </c:pt>
                <c:pt idx="3">
                  <c:v>6.7319999999999993</c:v>
                </c:pt>
                <c:pt idx="4">
                  <c:v>8.4320000000000004</c:v>
                </c:pt>
                <c:pt idx="5">
                  <c:v>10.132</c:v>
                </c:pt>
                <c:pt idx="6">
                  <c:v>11.831999999999999</c:v>
                </c:pt>
                <c:pt idx="7">
                  <c:v>13.532</c:v>
                </c:pt>
                <c:pt idx="8">
                  <c:v>15.231999999999999</c:v>
                </c:pt>
              </c:numCache>
            </c:numRef>
          </c:xVal>
          <c:yVal>
            <c:numRef>
              <c:f>Abaco!$M$43:$M$51</c:f>
              <c:numCache>
                <c:formatCode>General" s"</c:formatCode>
                <c:ptCount val="9"/>
                <c:pt idx="0">
                  <c:v>13.944383064217877</c:v>
                </c:pt>
                <c:pt idx="1">
                  <c:v>22.373387819072278</c:v>
                </c:pt>
                <c:pt idx="2">
                  <c:v>24.409629981940071</c:v>
                </c:pt>
                <c:pt idx="3">
                  <c:v>23.430015314147063</c:v>
                </c:pt>
                <c:pt idx="4">
                  <c:v>21.248873443811277</c:v>
                </c:pt>
                <c:pt idx="5">
                  <c:v>18.88332679038664</c:v>
                </c:pt>
                <c:pt idx="6">
                  <c:v>16.739981931776416</c:v>
                </c:pt>
                <c:pt idx="7">
                  <c:v>14.915068532874093</c:v>
                </c:pt>
                <c:pt idx="8">
                  <c:v>13.390326684665993</c:v>
                </c:pt>
              </c:numCache>
            </c:numRef>
          </c:yVal>
          <c:smooth val="0"/>
          <c:extLst>
            <c:ext xmlns:c16="http://schemas.microsoft.com/office/drawing/2014/chart" uri="{C3380CC4-5D6E-409C-BE32-E72D297353CC}">
              <c16:uniqueId val="{00000000-DDCF-44BB-899F-3EC11CCF873C}"/>
            </c:ext>
          </c:extLst>
        </c:ser>
        <c:ser>
          <c:idx val="1"/>
          <c:order val="1"/>
          <c:tx>
            <c:strRef>
              <c:f>Abaco!$B$52</c:f>
              <c:strCache>
                <c:ptCount val="1"/>
                <c:pt idx="0">
                  <c:v>Ø = 99 mm</c:v>
                </c:pt>
              </c:strCache>
            </c:strRef>
          </c:tx>
          <c:xVal>
            <c:numRef>
              <c:f>Abaco!$D$52:$D$60</c:f>
              <c:numCache>
                <c:formatCode>General\ "kg"</c:formatCode>
                <c:ptCount val="9"/>
                <c:pt idx="0">
                  <c:v>1.6319999999999999</c:v>
                </c:pt>
                <c:pt idx="1">
                  <c:v>3.3319999999999999</c:v>
                </c:pt>
                <c:pt idx="2">
                  <c:v>5.032</c:v>
                </c:pt>
                <c:pt idx="3">
                  <c:v>6.7319999999999993</c:v>
                </c:pt>
                <c:pt idx="4">
                  <c:v>8.4320000000000004</c:v>
                </c:pt>
                <c:pt idx="5">
                  <c:v>10.132</c:v>
                </c:pt>
                <c:pt idx="6">
                  <c:v>11.831999999999999</c:v>
                </c:pt>
                <c:pt idx="7">
                  <c:v>13.532</c:v>
                </c:pt>
                <c:pt idx="8">
                  <c:v>15.231999999999999</c:v>
                </c:pt>
              </c:numCache>
            </c:numRef>
          </c:xVal>
          <c:yVal>
            <c:numRef>
              <c:f>Abaco!$M$52:$M$60</c:f>
              <c:numCache>
                <c:formatCode>General" s"</c:formatCode>
                <c:ptCount val="9"/>
                <c:pt idx="0">
                  <c:v>8.4052570892024328</c:v>
                </c:pt>
                <c:pt idx="1">
                  <c:v>13.628672375979455</c:v>
                </c:pt>
                <c:pt idx="2">
                  <c:v>15.979434229856487</c:v>
                </c:pt>
                <c:pt idx="3">
                  <c:v>16.786521976320376</c:v>
                </c:pt>
                <c:pt idx="4">
                  <c:v>16.594090040439273</c:v>
                </c:pt>
                <c:pt idx="5">
                  <c:v>15.814676930949704</c:v>
                </c:pt>
                <c:pt idx="6">
                  <c:v>14.761343069263519</c:v>
                </c:pt>
                <c:pt idx="7">
                  <c:v>13.637568254247611</c:v>
                </c:pt>
                <c:pt idx="8">
                  <c:v>12.553991087936687</c:v>
                </c:pt>
              </c:numCache>
            </c:numRef>
          </c:yVal>
          <c:smooth val="0"/>
          <c:extLst>
            <c:ext xmlns:c16="http://schemas.microsoft.com/office/drawing/2014/chart" uri="{C3380CC4-5D6E-409C-BE32-E72D297353CC}">
              <c16:uniqueId val="{00000001-DDCF-44BB-899F-3EC11CCF873C}"/>
            </c:ext>
          </c:extLst>
        </c:ser>
        <c:ser>
          <c:idx val="2"/>
          <c:order val="2"/>
          <c:tx>
            <c:strRef>
              <c:f>Abaco!$B$61</c:f>
              <c:strCache>
                <c:ptCount val="1"/>
                <c:pt idx="0">
                  <c:v>Ø = 149 mm</c:v>
                </c:pt>
              </c:strCache>
            </c:strRef>
          </c:tx>
          <c:xVal>
            <c:numRef>
              <c:f>Abaco!$D$61:$D$69</c:f>
              <c:numCache>
                <c:formatCode>General\ "kg"</c:formatCode>
                <c:ptCount val="9"/>
                <c:pt idx="0">
                  <c:v>1.6319999999999999</c:v>
                </c:pt>
                <c:pt idx="1">
                  <c:v>3.3319999999999999</c:v>
                </c:pt>
                <c:pt idx="2">
                  <c:v>5.032</c:v>
                </c:pt>
                <c:pt idx="3">
                  <c:v>6.7319999999999993</c:v>
                </c:pt>
                <c:pt idx="4">
                  <c:v>8.4320000000000004</c:v>
                </c:pt>
                <c:pt idx="5">
                  <c:v>10.132</c:v>
                </c:pt>
                <c:pt idx="6">
                  <c:v>11.831999999999999</c:v>
                </c:pt>
                <c:pt idx="7">
                  <c:v>13.532</c:v>
                </c:pt>
                <c:pt idx="8">
                  <c:v>15.231999999999999</c:v>
                </c:pt>
              </c:numCache>
            </c:numRef>
          </c:xVal>
          <c:yVal>
            <c:numRef>
              <c:f>Abaco!$M$61:$M$69</c:f>
              <c:numCache>
                <c:formatCode>General" s"</c:formatCode>
                <c:ptCount val="9"/>
                <c:pt idx="0">
                  <c:v>6.1713838175324387</c:v>
                </c:pt>
                <c:pt idx="1">
                  <c:v>9.7725626577975344</c:v>
                </c:pt>
                <c:pt idx="2">
                  <c:v>11.685814493361406</c:v>
                </c:pt>
                <c:pt idx="3">
                  <c:v>12.714674712910281</c:v>
                </c:pt>
                <c:pt idx="4">
                  <c:v>13.112718004830215</c:v>
                </c:pt>
                <c:pt idx="5">
                  <c:v>13.051500243690041</c:v>
                </c:pt>
                <c:pt idx="6">
                  <c:v>12.677174849898707</c:v>
                </c:pt>
                <c:pt idx="7">
                  <c:v>12.113634888062888</c:v>
                </c:pt>
                <c:pt idx="8">
                  <c:v>11.456726196549363</c:v>
                </c:pt>
              </c:numCache>
            </c:numRef>
          </c:yVal>
          <c:smooth val="0"/>
          <c:extLst>
            <c:ext xmlns:c16="http://schemas.microsoft.com/office/drawing/2014/chart" uri="{C3380CC4-5D6E-409C-BE32-E72D297353CC}">
              <c16:uniqueId val="{00000002-DDCF-44BB-899F-3EC11CCF873C}"/>
            </c:ext>
          </c:extLst>
        </c:ser>
        <c:dLbls>
          <c:showLegendKey val="0"/>
          <c:showVal val="0"/>
          <c:showCatName val="0"/>
          <c:showSerName val="0"/>
          <c:showPercent val="0"/>
          <c:showBubbleSize val="0"/>
        </c:dLbls>
        <c:axId val="195678976"/>
        <c:axId val="195680896"/>
      </c:scatterChart>
      <c:valAx>
        <c:axId val="195678976"/>
        <c:scaling>
          <c:orientation val="minMax"/>
        </c:scaling>
        <c:delete val="0"/>
        <c:axPos val="b"/>
        <c:majorGridlines/>
        <c:title>
          <c:tx>
            <c:strRef>
              <c:f>Abaco!$B$75</c:f>
              <c:strCache>
                <c:ptCount val="1"/>
                <c:pt idx="0">
                  <c:v>Masse totale</c:v>
                </c:pt>
              </c:strCache>
            </c:strRef>
          </c:tx>
          <c:layout>
            <c:manualLayout>
              <c:xMode val="edge"/>
              <c:yMode val="edge"/>
              <c:x val="0.25133794251328334"/>
              <c:y val="0.8092359976229385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80896"/>
        <c:crosses val="autoZero"/>
        <c:crossBetween val="midCat"/>
      </c:valAx>
      <c:valAx>
        <c:axId val="195680896"/>
        <c:scaling>
          <c:orientation val="minMax"/>
        </c:scaling>
        <c:delete val="0"/>
        <c:axPos val="l"/>
        <c:majorGridlines/>
        <c:title>
          <c:tx>
            <c:strRef>
              <c:f>Abaco!$B$80</c:f>
              <c:strCache>
                <c:ptCount val="1"/>
                <c:pt idx="0">
                  <c:v>Temps de culmination</c:v>
                </c:pt>
              </c:strCache>
            </c:strRef>
          </c:tx>
          <c:layout>
            <c:manualLayout>
              <c:xMode val="edge"/>
              <c:yMode val="edge"/>
              <c:x val="0.14166677336064695"/>
              <c:y val="5.8034467389689502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78976"/>
        <c:crosses val="autoZero"/>
        <c:crossBetween val="midCat"/>
      </c:valAx>
    </c:plotArea>
    <c:legend>
      <c:legendPos val="r"/>
      <c:layout>
        <c:manualLayout>
          <c:xMode val="edge"/>
          <c:yMode val="edge"/>
          <c:x val="0.72357744916031841"/>
          <c:y val="0.18396263556678061"/>
          <c:w val="0.20325203252032525"/>
          <c:h val="0.25235886198187502"/>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Stabilito!$B$117</c:f>
          <c:strCache>
            <c:ptCount val="1"/>
            <c:pt idx="0">
              <c:v>Diagramme des critères de stabilité</c:v>
            </c:pt>
          </c:strCache>
        </c:strRef>
      </c:tx>
      <c:layout>
        <c:manualLayout>
          <c:xMode val="edge"/>
          <c:yMode val="edge"/>
          <c:x val="0.19620910443519407"/>
          <c:y val="8.0214173228346466E-2"/>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4.5092838196286504E-2"/>
          <c:y val="5.8823683008029475E-2"/>
          <c:w val="0.93899204244031864"/>
          <c:h val="0.82887916965859743"/>
        </c:manualLayout>
      </c:layout>
      <c:scatterChart>
        <c:scatterStyle val="smoothMarker"/>
        <c:varyColors val="0"/>
        <c:ser>
          <c:idx val="0"/>
          <c:order val="0"/>
          <c:tx>
            <c:v>Cna min</c:v>
          </c:tx>
          <c:spPr>
            <a:ln w="12700">
              <a:solidFill>
                <a:srgbClr val="FF0000"/>
              </a:solidFill>
              <a:prstDash val="solid"/>
            </a:ln>
          </c:spPr>
          <c:marker>
            <c:symbol val="none"/>
          </c:marker>
          <c:xVal>
            <c:numRef>
              <c:f>Stabilito!$B$182:$B$183</c:f>
              <c:numCache>
                <c:formatCode>General</c:formatCode>
                <c:ptCount val="2"/>
                <c:pt idx="0">
                  <c:v>0</c:v>
                </c:pt>
                <c:pt idx="1">
                  <c:v>7</c:v>
                </c:pt>
              </c:numCache>
            </c:numRef>
          </c:xVal>
          <c:yVal>
            <c:numRef>
              <c:f>Stabilito!$C$182:$C$183</c:f>
              <c:numCache>
                <c:formatCode>General</c:formatCode>
                <c:ptCount val="2"/>
                <c:pt idx="0">
                  <c:v>15</c:v>
                </c:pt>
                <c:pt idx="1">
                  <c:v>15</c:v>
                </c:pt>
              </c:numCache>
            </c:numRef>
          </c:yVal>
          <c:smooth val="1"/>
          <c:extLst>
            <c:ext xmlns:c16="http://schemas.microsoft.com/office/drawing/2014/chart" uri="{C3380CC4-5D6E-409C-BE32-E72D297353CC}">
              <c16:uniqueId val="{00000000-DD97-4068-951F-4990D529CDCA}"/>
            </c:ext>
          </c:extLst>
        </c:ser>
        <c:ser>
          <c:idx val="1"/>
          <c:order val="1"/>
          <c:tx>
            <c:v>Cna max</c:v>
          </c:tx>
          <c:spPr>
            <a:ln w="12700">
              <a:solidFill>
                <a:srgbClr val="FF0000"/>
              </a:solidFill>
              <a:prstDash val="solid"/>
            </a:ln>
          </c:spPr>
          <c:marker>
            <c:symbol val="none"/>
          </c:marker>
          <c:xVal>
            <c:numRef>
              <c:f>Stabilito!$B$184:$B$185</c:f>
              <c:numCache>
                <c:formatCode>General</c:formatCode>
                <c:ptCount val="2"/>
                <c:pt idx="0">
                  <c:v>0</c:v>
                </c:pt>
                <c:pt idx="1">
                  <c:v>7</c:v>
                </c:pt>
              </c:numCache>
            </c:numRef>
          </c:xVal>
          <c:yVal>
            <c:numRef>
              <c:f>Stabilito!$C$184:$C$185</c:f>
              <c:numCache>
                <c:formatCode>General</c:formatCode>
                <c:ptCount val="2"/>
                <c:pt idx="0">
                  <c:v>40</c:v>
                </c:pt>
                <c:pt idx="1">
                  <c:v>40</c:v>
                </c:pt>
              </c:numCache>
            </c:numRef>
          </c:yVal>
          <c:smooth val="1"/>
          <c:extLst>
            <c:ext xmlns:c16="http://schemas.microsoft.com/office/drawing/2014/chart" uri="{C3380CC4-5D6E-409C-BE32-E72D297353CC}">
              <c16:uniqueId val="{00000001-DD97-4068-951F-4990D529CDCA}"/>
            </c:ext>
          </c:extLst>
        </c:ser>
        <c:ser>
          <c:idx val="2"/>
          <c:order val="2"/>
          <c:tx>
            <c:v>MS min</c:v>
          </c:tx>
          <c:spPr>
            <a:ln w="12700">
              <a:solidFill>
                <a:srgbClr val="FF0000"/>
              </a:solidFill>
              <a:prstDash val="solid"/>
            </a:ln>
          </c:spPr>
          <c:marker>
            <c:symbol val="none"/>
          </c:marker>
          <c:xVal>
            <c:numRef>
              <c:f>Stabilito!$B$186:$B$187</c:f>
              <c:numCache>
                <c:formatCode>General</c:formatCode>
                <c:ptCount val="2"/>
                <c:pt idx="0">
                  <c:v>2</c:v>
                </c:pt>
                <c:pt idx="1">
                  <c:v>2</c:v>
                </c:pt>
              </c:numCache>
            </c:numRef>
          </c:xVal>
          <c:yVal>
            <c:numRef>
              <c:f>Stabilito!$C$186:$C$187</c:f>
              <c:numCache>
                <c:formatCode>General</c:formatCode>
                <c:ptCount val="2"/>
                <c:pt idx="0">
                  <c:v>0</c:v>
                </c:pt>
                <c:pt idx="1">
                  <c:v>55</c:v>
                </c:pt>
              </c:numCache>
            </c:numRef>
          </c:yVal>
          <c:smooth val="1"/>
          <c:extLst>
            <c:ext xmlns:c16="http://schemas.microsoft.com/office/drawing/2014/chart" uri="{C3380CC4-5D6E-409C-BE32-E72D297353CC}">
              <c16:uniqueId val="{00000002-DD97-4068-951F-4990D529CDCA}"/>
            </c:ext>
          </c:extLst>
        </c:ser>
        <c:ser>
          <c:idx val="3"/>
          <c:order val="3"/>
          <c:tx>
            <c:v>MS max</c:v>
          </c:tx>
          <c:spPr>
            <a:ln w="12700">
              <a:solidFill>
                <a:srgbClr val="FF0000"/>
              </a:solidFill>
              <a:prstDash val="solid"/>
            </a:ln>
          </c:spPr>
          <c:marker>
            <c:symbol val="none"/>
          </c:marker>
          <c:xVal>
            <c:numRef>
              <c:f>Stabilito!$B$188:$B$189</c:f>
              <c:numCache>
                <c:formatCode>General</c:formatCode>
                <c:ptCount val="2"/>
                <c:pt idx="0">
                  <c:v>6</c:v>
                </c:pt>
                <c:pt idx="1">
                  <c:v>6</c:v>
                </c:pt>
              </c:numCache>
            </c:numRef>
          </c:xVal>
          <c:yVal>
            <c:numRef>
              <c:f>Stabilito!$C$188:$C$189</c:f>
              <c:numCache>
                <c:formatCode>General</c:formatCode>
                <c:ptCount val="2"/>
                <c:pt idx="0">
                  <c:v>0</c:v>
                </c:pt>
                <c:pt idx="1">
                  <c:v>55</c:v>
                </c:pt>
              </c:numCache>
            </c:numRef>
          </c:yVal>
          <c:smooth val="1"/>
          <c:extLst>
            <c:ext xmlns:c16="http://schemas.microsoft.com/office/drawing/2014/chart" uri="{C3380CC4-5D6E-409C-BE32-E72D297353CC}">
              <c16:uniqueId val="{00000003-DD97-4068-951F-4990D529CDCA}"/>
            </c:ext>
          </c:extLst>
        </c:ser>
        <c:ser>
          <c:idx val="5"/>
          <c:order val="6"/>
          <c:tx>
            <c:v>MS*Cna min</c:v>
          </c:tx>
          <c:spPr>
            <a:ln w="12700">
              <a:solidFill>
                <a:srgbClr val="FF0000"/>
              </a:solidFill>
              <a:prstDash val="solid"/>
            </a:ln>
          </c:spPr>
          <c:marker>
            <c:symbol val="none"/>
          </c:marker>
          <c:xVal>
            <c:numRef>
              <c:f>Stabilito!$D$182:$D$187</c:f>
              <c:numCache>
                <c:formatCode>General</c:formatCode>
                <c:ptCount val="6"/>
                <c:pt idx="0">
                  <c:v>0.5</c:v>
                </c:pt>
                <c:pt idx="1">
                  <c:v>1</c:v>
                </c:pt>
                <c:pt idx="2">
                  <c:v>2</c:v>
                </c:pt>
                <c:pt idx="3">
                  <c:v>3</c:v>
                </c:pt>
                <c:pt idx="4">
                  <c:v>5</c:v>
                </c:pt>
                <c:pt idx="5">
                  <c:v>7</c:v>
                </c:pt>
              </c:numCache>
            </c:numRef>
          </c:xVal>
          <c:yVal>
            <c:numRef>
              <c:f>Stabilito!$E$182:$E$187</c:f>
              <c:numCache>
                <c:formatCode>General</c:formatCode>
                <c:ptCount val="6"/>
                <c:pt idx="0">
                  <c:v>80</c:v>
                </c:pt>
                <c:pt idx="1">
                  <c:v>40</c:v>
                </c:pt>
                <c:pt idx="2">
                  <c:v>20</c:v>
                </c:pt>
                <c:pt idx="3">
                  <c:v>13.333333333333334</c:v>
                </c:pt>
                <c:pt idx="4">
                  <c:v>8</c:v>
                </c:pt>
                <c:pt idx="5">
                  <c:v>5.7142857142857144</c:v>
                </c:pt>
              </c:numCache>
            </c:numRef>
          </c:yVal>
          <c:smooth val="1"/>
          <c:extLst>
            <c:ext xmlns:c16="http://schemas.microsoft.com/office/drawing/2014/chart" uri="{C3380CC4-5D6E-409C-BE32-E72D297353CC}">
              <c16:uniqueId val="{00000004-DD97-4068-951F-4990D529CDCA}"/>
            </c:ext>
          </c:extLst>
        </c:ser>
        <c:ser>
          <c:idx val="6"/>
          <c:order val="7"/>
          <c:tx>
            <c:v>MS*Cna max</c:v>
          </c:tx>
          <c:spPr>
            <a:ln w="12700">
              <a:solidFill>
                <a:srgbClr val="FF0000"/>
              </a:solidFill>
              <a:prstDash val="solid"/>
            </a:ln>
          </c:spPr>
          <c:marker>
            <c:symbol val="none"/>
          </c:marker>
          <c:xVal>
            <c:numRef>
              <c:f>Stabilito!$D$188:$D$193</c:f>
              <c:numCache>
                <c:formatCode>General</c:formatCode>
                <c:ptCount val="6"/>
                <c:pt idx="0">
                  <c:v>1</c:v>
                </c:pt>
                <c:pt idx="1">
                  <c:v>2</c:v>
                </c:pt>
                <c:pt idx="2">
                  <c:v>3</c:v>
                </c:pt>
                <c:pt idx="3">
                  <c:v>4</c:v>
                </c:pt>
                <c:pt idx="4">
                  <c:v>6</c:v>
                </c:pt>
                <c:pt idx="5">
                  <c:v>7</c:v>
                </c:pt>
              </c:numCache>
            </c:numRef>
          </c:xVal>
          <c:yVal>
            <c:numRef>
              <c:f>Stabilito!$E$188:$E$193</c:f>
              <c:numCache>
                <c:formatCode>General</c:formatCode>
                <c:ptCount val="6"/>
                <c:pt idx="0">
                  <c:v>100</c:v>
                </c:pt>
                <c:pt idx="1">
                  <c:v>50</c:v>
                </c:pt>
                <c:pt idx="2">
                  <c:v>33.333333333333336</c:v>
                </c:pt>
                <c:pt idx="3">
                  <c:v>25</c:v>
                </c:pt>
                <c:pt idx="4">
                  <c:v>16.666666666666668</c:v>
                </c:pt>
                <c:pt idx="5">
                  <c:v>14.285714285714286</c:v>
                </c:pt>
              </c:numCache>
            </c:numRef>
          </c:yVal>
          <c:smooth val="1"/>
          <c:extLst>
            <c:ext xmlns:c16="http://schemas.microsoft.com/office/drawing/2014/chart" uri="{C3380CC4-5D6E-409C-BE32-E72D297353CC}">
              <c16:uniqueId val="{00000005-DD97-4068-951F-4990D529CDCA}"/>
            </c:ext>
          </c:extLst>
        </c:ser>
        <c:ser>
          <c:idx val="7"/>
          <c:order val="8"/>
          <c:tx>
            <c:v>Cna moy</c:v>
          </c:tx>
          <c:spPr>
            <a:ln w="12700">
              <a:solidFill>
                <a:srgbClr val="FF0000"/>
              </a:solidFill>
              <a:prstDash val="solid"/>
            </a:ln>
          </c:spPr>
          <c:marker>
            <c:symbol val="none"/>
          </c:marker>
          <c:xVal>
            <c:numRef>
              <c:f>Stabilito!$B$195:$B$196</c:f>
              <c:numCache>
                <c:formatCode>General</c:formatCode>
                <c:ptCount val="2"/>
                <c:pt idx="0">
                  <c:v>0</c:v>
                </c:pt>
                <c:pt idx="1">
                  <c:v>2</c:v>
                </c:pt>
              </c:numCache>
            </c:numRef>
          </c:xVal>
          <c:yVal>
            <c:numRef>
              <c:f>Stabilito!$C$195:$C$196</c:f>
              <c:numCache>
                <c:formatCode>General</c:formatCode>
                <c:ptCount val="2"/>
                <c:pt idx="0">
                  <c:v>27.5</c:v>
                </c:pt>
                <c:pt idx="1">
                  <c:v>27.5</c:v>
                </c:pt>
              </c:numCache>
            </c:numRef>
          </c:yVal>
          <c:smooth val="1"/>
          <c:extLst>
            <c:ext xmlns:c16="http://schemas.microsoft.com/office/drawing/2014/chart" uri="{C3380CC4-5D6E-409C-BE32-E72D297353CC}">
              <c16:uniqueId val="{00000006-DD97-4068-951F-4990D529CDCA}"/>
            </c:ext>
          </c:extLst>
        </c:ser>
        <c:ser>
          <c:idx val="8"/>
          <c:order val="9"/>
          <c:tx>
            <c:v>Cna moy2</c:v>
          </c:tx>
          <c:spPr>
            <a:ln w="12700">
              <a:solidFill>
                <a:srgbClr val="FF0000"/>
              </a:solidFill>
              <a:prstDash val="solid"/>
            </a:ln>
          </c:spPr>
          <c:marker>
            <c:symbol val="none"/>
          </c:marker>
          <c:xVal>
            <c:numRef>
              <c:f>Stabilito!$B$197:$B$198</c:f>
              <c:numCache>
                <c:formatCode>General</c:formatCode>
                <c:ptCount val="2"/>
                <c:pt idx="0">
                  <c:v>3.6363636363636362</c:v>
                </c:pt>
                <c:pt idx="1">
                  <c:v>7</c:v>
                </c:pt>
              </c:numCache>
            </c:numRef>
          </c:xVal>
          <c:yVal>
            <c:numRef>
              <c:f>Stabilito!$C$197:$C$198</c:f>
              <c:numCache>
                <c:formatCode>General</c:formatCode>
                <c:ptCount val="2"/>
                <c:pt idx="0">
                  <c:v>27.5</c:v>
                </c:pt>
                <c:pt idx="1">
                  <c:v>27.5</c:v>
                </c:pt>
              </c:numCache>
            </c:numRef>
          </c:yVal>
          <c:smooth val="1"/>
          <c:extLst>
            <c:ext xmlns:c16="http://schemas.microsoft.com/office/drawing/2014/chart" uri="{C3380CC4-5D6E-409C-BE32-E72D297353CC}">
              <c16:uniqueId val="{00000007-DD97-4068-951F-4990D529CDCA}"/>
            </c:ext>
          </c:extLst>
        </c:ser>
        <c:ser>
          <c:idx val="9"/>
          <c:order val="10"/>
          <c:tx>
            <c:v>MS moy</c:v>
          </c:tx>
          <c:spPr>
            <a:ln w="12700">
              <a:solidFill>
                <a:srgbClr val="FF0000"/>
              </a:solidFill>
              <a:prstDash val="solid"/>
            </a:ln>
          </c:spPr>
          <c:marker>
            <c:symbol val="none"/>
          </c:marker>
          <c:xVal>
            <c:numRef>
              <c:f>Stabilito!$B$199:$B$200</c:f>
              <c:numCache>
                <c:formatCode>General</c:formatCode>
                <c:ptCount val="2"/>
                <c:pt idx="0">
                  <c:v>4</c:v>
                </c:pt>
                <c:pt idx="1">
                  <c:v>4</c:v>
                </c:pt>
              </c:numCache>
            </c:numRef>
          </c:xVal>
          <c:yVal>
            <c:numRef>
              <c:f>Stabilito!$C$199:$C$200</c:f>
              <c:numCache>
                <c:formatCode>General</c:formatCode>
                <c:ptCount val="2"/>
                <c:pt idx="0">
                  <c:v>0</c:v>
                </c:pt>
                <c:pt idx="1">
                  <c:v>15</c:v>
                </c:pt>
              </c:numCache>
            </c:numRef>
          </c:yVal>
          <c:smooth val="1"/>
          <c:extLst>
            <c:ext xmlns:c16="http://schemas.microsoft.com/office/drawing/2014/chart" uri="{C3380CC4-5D6E-409C-BE32-E72D297353CC}">
              <c16:uniqueId val="{00000008-DD97-4068-951F-4990D529CDCA}"/>
            </c:ext>
          </c:extLst>
        </c:ser>
        <c:ser>
          <c:idx val="10"/>
          <c:order val="11"/>
          <c:tx>
            <c:v>MS moy2</c:v>
          </c:tx>
          <c:spPr>
            <a:ln w="12700">
              <a:solidFill>
                <a:srgbClr val="FF0000"/>
              </a:solidFill>
              <a:prstDash val="solid"/>
            </a:ln>
          </c:spPr>
          <c:marker>
            <c:symbol val="none"/>
          </c:marker>
          <c:xVal>
            <c:numRef>
              <c:f>Stabilito!$B$201:$B$202</c:f>
              <c:numCache>
                <c:formatCode>General</c:formatCode>
                <c:ptCount val="2"/>
                <c:pt idx="0">
                  <c:v>4</c:v>
                </c:pt>
                <c:pt idx="1">
                  <c:v>4</c:v>
                </c:pt>
              </c:numCache>
            </c:numRef>
          </c:xVal>
          <c:yVal>
            <c:numRef>
              <c:f>Stabilito!$C$201:$C$202</c:f>
              <c:numCache>
                <c:formatCode>General</c:formatCode>
                <c:ptCount val="2"/>
                <c:pt idx="0">
                  <c:v>25</c:v>
                </c:pt>
                <c:pt idx="1">
                  <c:v>55</c:v>
                </c:pt>
              </c:numCache>
            </c:numRef>
          </c:yVal>
          <c:smooth val="1"/>
          <c:extLst>
            <c:ext xmlns:c16="http://schemas.microsoft.com/office/drawing/2014/chart" uri="{C3380CC4-5D6E-409C-BE32-E72D297353CC}">
              <c16:uniqueId val="{00000009-DD97-4068-951F-4990D529CDCA}"/>
            </c:ext>
          </c:extLst>
        </c:ser>
        <c:dLbls>
          <c:showLegendKey val="0"/>
          <c:showVal val="0"/>
          <c:showCatName val="0"/>
          <c:showSerName val="0"/>
          <c:showPercent val="0"/>
          <c:showBubbleSize val="0"/>
        </c:dLbls>
        <c:axId val="148471168"/>
        <c:axId val="148481536"/>
      </c:scatterChart>
      <c:scatterChart>
        <c:scatterStyle val="lineMarker"/>
        <c:varyColors val="0"/>
        <c:ser>
          <c:idx val="4"/>
          <c:order val="4"/>
          <c:tx>
            <c:v>Fusée en cours</c:v>
          </c:tx>
          <c:spPr>
            <a:ln w="25400">
              <a:solidFill>
                <a:schemeClr val="tx1"/>
              </a:solidFill>
            </a:ln>
          </c:spPr>
          <c:marker>
            <c:symbol val="diamond"/>
            <c:size val="7"/>
            <c:spPr>
              <a:solidFill>
                <a:schemeClr val="tx1"/>
              </a:solidFill>
              <a:ln>
                <a:noFill/>
              </a:ln>
            </c:spPr>
          </c:marker>
          <c:xVal>
            <c:numRef>
              <c:f>Stabilito!$B$190:$B$193</c:f>
              <c:numCache>
                <c:formatCode>0.00</c:formatCode>
                <c:ptCount val="4"/>
                <c:pt idx="0">
                  <c:v>1.2201184324328413</c:v>
                </c:pt>
                <c:pt idx="1">
                  <c:v>2.3126484783534402</c:v>
                </c:pt>
                <c:pt idx="2">
                  <c:v>3.1783043879582542</c:v>
                </c:pt>
                <c:pt idx="3">
                  <c:v>2.0857743420376549</c:v>
                </c:pt>
              </c:numCache>
            </c:numRef>
          </c:xVal>
          <c:yVal>
            <c:numRef>
              <c:f>Stabilito!$C$190:$C$193</c:f>
              <c:numCache>
                <c:formatCode>0.00</c:formatCode>
                <c:ptCount val="4"/>
                <c:pt idx="0">
                  <c:v>21.750417214765324</c:v>
                </c:pt>
                <c:pt idx="1">
                  <c:v>26.22299247130076</c:v>
                </c:pt>
                <c:pt idx="2">
                  <c:v>26.22299247130076</c:v>
                </c:pt>
                <c:pt idx="3">
                  <c:v>21.750417214765324</c:v>
                </c:pt>
              </c:numCache>
            </c:numRef>
          </c:yVal>
          <c:smooth val="0"/>
          <c:extLst>
            <c:ext xmlns:c16="http://schemas.microsoft.com/office/drawing/2014/chart" uri="{C3380CC4-5D6E-409C-BE32-E72D297353CC}">
              <c16:uniqueId val="{0000000A-DD97-4068-951F-4990D529CDCA}"/>
            </c:ext>
          </c:extLst>
        </c:ser>
        <c:ser>
          <c:idx val="11"/>
          <c:order val="5"/>
          <c:tx>
            <c:v>Fusée en cours0</c:v>
          </c:tx>
          <c:spPr>
            <a:ln w="25400">
              <a:solidFill>
                <a:schemeClr val="tx1"/>
              </a:solidFill>
            </a:ln>
          </c:spPr>
          <c:marker>
            <c:symbol val="none"/>
          </c:marker>
          <c:xVal>
            <c:numRef>
              <c:f>Stabilito!$B$193:$B$194</c:f>
              <c:numCache>
                <c:formatCode>0.00</c:formatCode>
                <c:ptCount val="2"/>
                <c:pt idx="0">
                  <c:v>2.0857743420376549</c:v>
                </c:pt>
                <c:pt idx="1">
                  <c:v>1.2201184324328413</c:v>
                </c:pt>
              </c:numCache>
            </c:numRef>
          </c:xVal>
          <c:yVal>
            <c:numRef>
              <c:f>Stabilito!$C$193:$C$194</c:f>
              <c:numCache>
                <c:formatCode>0.00</c:formatCode>
                <c:ptCount val="2"/>
                <c:pt idx="0">
                  <c:v>21.750417214765324</c:v>
                </c:pt>
                <c:pt idx="1">
                  <c:v>21.750417214765324</c:v>
                </c:pt>
              </c:numCache>
            </c:numRef>
          </c:yVal>
          <c:smooth val="0"/>
          <c:extLst>
            <c:ext xmlns:c16="http://schemas.microsoft.com/office/drawing/2014/chart" uri="{C3380CC4-5D6E-409C-BE32-E72D297353CC}">
              <c16:uniqueId val="{0000000B-DD97-4068-951F-4990D529CDCA}"/>
            </c:ext>
          </c:extLst>
        </c:ser>
        <c:ser>
          <c:idx val="12"/>
          <c:order val="12"/>
          <c:tx>
            <c:strRef>
              <c:f>Stabilito!$U$29</c:f>
              <c:strCache>
                <c:ptCount val="1"/>
                <c:pt idx="0">
                  <c:v>OpenRocket</c:v>
                </c:pt>
              </c:strCache>
            </c:strRef>
          </c:tx>
          <c:xVal>
            <c:numRef>
              <c:f>Stabilito!$U$31:$U$32</c:f>
              <c:numCache>
                <c:formatCode>General</c:formatCode>
                <c:ptCount val="2"/>
                <c:pt idx="0">
                  <c:v>2.1</c:v>
                </c:pt>
                <c:pt idx="1">
                  <c:v>3.06</c:v>
                </c:pt>
              </c:numCache>
            </c:numRef>
          </c:xVal>
          <c:yVal>
            <c:numRef>
              <c:f>Stabilito!$V$31:$V$32</c:f>
              <c:numCache>
                <c:formatCode>General</c:formatCode>
                <c:ptCount val="2"/>
                <c:pt idx="0">
                  <c:v>24.152000000000001</c:v>
                </c:pt>
                <c:pt idx="1">
                  <c:v>24.152000000000001</c:v>
                </c:pt>
              </c:numCache>
            </c:numRef>
          </c:yVal>
          <c:smooth val="0"/>
          <c:extLst>
            <c:ext xmlns:c16="http://schemas.microsoft.com/office/drawing/2014/chart" uri="{C3380CC4-5D6E-409C-BE32-E72D297353CC}">
              <c16:uniqueId val="{00000000-3ED3-4439-B93A-D35DD3C53364}"/>
            </c:ext>
          </c:extLst>
        </c:ser>
        <c:dLbls>
          <c:showLegendKey val="0"/>
          <c:showVal val="0"/>
          <c:showCatName val="0"/>
          <c:showSerName val="0"/>
          <c:showPercent val="0"/>
          <c:showBubbleSize val="0"/>
        </c:dLbls>
        <c:axId val="148471168"/>
        <c:axId val="148481536"/>
      </c:scatterChart>
      <c:valAx>
        <c:axId val="148471168"/>
        <c:scaling>
          <c:orientation val="minMax"/>
          <c:max val="7"/>
          <c:min val="0"/>
        </c:scaling>
        <c:delete val="0"/>
        <c:axPos val="b"/>
        <c:title>
          <c:tx>
            <c:strRef>
              <c:f>Stabilito!$B$118</c:f>
              <c:strCache>
                <c:ptCount val="1"/>
                <c:pt idx="0">
                  <c:v>Marge Statique (MS)</c:v>
                </c:pt>
              </c:strCache>
            </c:strRef>
          </c:tx>
          <c:layout>
            <c:manualLayout>
              <c:xMode val="edge"/>
              <c:yMode val="edge"/>
              <c:x val="0.51717271009913568"/>
              <c:y val="0.73094047244094495"/>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81536"/>
        <c:crosses val="autoZero"/>
        <c:crossBetween val="midCat"/>
      </c:valAx>
      <c:valAx>
        <c:axId val="148481536"/>
        <c:scaling>
          <c:orientation val="minMax"/>
          <c:max val="55"/>
          <c:min val="0"/>
        </c:scaling>
        <c:delete val="0"/>
        <c:axPos val="l"/>
        <c:title>
          <c:tx>
            <c:strRef>
              <c:f>Stabilito!$B$119</c:f>
              <c:strCache>
                <c:ptCount val="1"/>
                <c:pt idx="0">
                  <c:v>Portance Cnα</c:v>
                </c:pt>
              </c:strCache>
            </c:strRef>
          </c:tx>
          <c:layout>
            <c:manualLayout>
              <c:xMode val="edge"/>
              <c:yMode val="edge"/>
              <c:x val="6.9119481083972797E-2"/>
              <c:y val="0.24099905511811029"/>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711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Trajecto!$B$111</c:f>
          <c:strCache>
            <c:ptCount val="1"/>
            <c:pt idx="0">
              <c:v>Trajectoire (x z)</c:v>
            </c:pt>
          </c:strCache>
        </c:strRef>
      </c:tx>
      <c:layout>
        <c:manualLayout>
          <c:xMode val="edge"/>
          <c:yMode val="edge"/>
          <c:x val="0.66868786671936287"/>
          <c:y val="3.8575744069727136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6.9697175950449913E-2"/>
          <c:y val="3.5608360198500402E-2"/>
          <c:w val="0.89697235136230857"/>
          <c:h val="0.89614373166225958"/>
        </c:manualLayout>
      </c:layout>
      <c:scatterChart>
        <c:scatterStyle val="lineMarker"/>
        <c:varyColors val="0"/>
        <c:ser>
          <c:idx val="0"/>
          <c:order val="0"/>
          <c:tx>
            <c:v>Point invisible pour mise à l'echelle</c:v>
          </c:tx>
          <c:spPr>
            <a:ln w="3175">
              <a:solidFill>
                <a:srgbClr val="99CCFF"/>
              </a:solidFill>
              <a:prstDash val="solid"/>
            </a:ln>
          </c:spPr>
          <c:marker>
            <c:symbol val="none"/>
          </c:marker>
          <c:xVal>
            <c:numRef>
              <c:f>Trajecto!$B$121</c:f>
              <c:numCache>
                <c:formatCode>0</c:formatCode>
                <c:ptCount val="1"/>
                <c:pt idx="0">
                  <c:v>1378.6942585540462</c:v>
                </c:pt>
              </c:numCache>
            </c:numRef>
          </c:xVal>
          <c:yVal>
            <c:numRef>
              <c:f>Trajecto!$C$121</c:f>
              <c:numCache>
                <c:formatCode>0</c:formatCode>
                <c:ptCount val="1"/>
                <c:pt idx="0">
                  <c:v>1378.6942585540462</c:v>
                </c:pt>
              </c:numCache>
            </c:numRef>
          </c:yVal>
          <c:smooth val="1"/>
          <c:extLst>
            <c:ext xmlns:c16="http://schemas.microsoft.com/office/drawing/2014/chart" uri="{C3380CC4-5D6E-409C-BE32-E72D297353CC}">
              <c16:uniqueId val="{00000000-432A-49A9-9499-7ED3E32DDB07}"/>
            </c:ext>
          </c:extLst>
        </c:ser>
        <c:ser>
          <c:idx val="1"/>
          <c:order val="1"/>
          <c:tx>
            <c:v>1 point par seconde</c:v>
          </c:tx>
          <c:spPr>
            <a:ln w="28575">
              <a:noFill/>
            </a:ln>
          </c:spPr>
          <c:marker>
            <c:symbol val="plus"/>
            <c:size val="7"/>
            <c:spPr>
              <a:noFill/>
              <a:ln>
                <a:solidFill>
                  <a:srgbClr val="000000"/>
                </a:solidFill>
                <a:prstDash val="solid"/>
              </a:ln>
            </c:spPr>
          </c:marker>
          <c:xVal>
            <c:numRef>
              <c:f>Calculs!$AD$4:$AD$1004</c:f>
              <c:numCache>
                <c:formatCode>0</c:formatCode>
                <c:ptCount val="1001"/>
                <c:pt idx="0">
                  <c:v>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13.33639562773168</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51.856991656275248</c:v>
                </c:pt>
                <c:pt idx="201">
                  <c:v>#N/A</c:v>
                </c:pt>
                <c:pt idx="202">
                  <c:v>#N/A</c:v>
                </c:pt>
                <c:pt idx="203">
                  <c:v>#N/A</c:v>
                </c:pt>
                <c:pt idx="204">
                  <c:v>#N/A</c:v>
                </c:pt>
                <c:pt idx="205">
                  <c:v>#N/A</c:v>
                </c:pt>
                <c:pt idx="206">
                  <c:v>#N/A</c:v>
                </c:pt>
                <c:pt idx="207">
                  <c:v>#N/A</c:v>
                </c:pt>
                <c:pt idx="208">
                  <c:v>#N/A</c:v>
                </c:pt>
                <c:pt idx="209">
                  <c:v>#N/A</c:v>
                </c:pt>
                <c:pt idx="210">
                  <c:v>91.493673830832222</c:v>
                </c:pt>
                <c:pt idx="211">
                  <c:v>#N/A</c:v>
                </c:pt>
                <c:pt idx="212">
                  <c:v>#N/A</c:v>
                </c:pt>
                <c:pt idx="213">
                  <c:v>#N/A</c:v>
                </c:pt>
                <c:pt idx="214">
                  <c:v>#N/A</c:v>
                </c:pt>
                <c:pt idx="215">
                  <c:v>#N/A</c:v>
                </c:pt>
                <c:pt idx="216">
                  <c:v>#N/A</c:v>
                </c:pt>
                <c:pt idx="217">
                  <c:v>#N/A</c:v>
                </c:pt>
                <c:pt idx="218">
                  <c:v>#N/A</c:v>
                </c:pt>
                <c:pt idx="219">
                  <c:v>#N/A</c:v>
                </c:pt>
                <c:pt idx="220">
                  <c:v>127.57035529124532</c:v>
                </c:pt>
                <c:pt idx="221">
                  <c:v>#N/A</c:v>
                </c:pt>
                <c:pt idx="222">
                  <c:v>#N/A</c:v>
                </c:pt>
                <c:pt idx="223">
                  <c:v>#N/A</c:v>
                </c:pt>
                <c:pt idx="224">
                  <c:v>#N/A</c:v>
                </c:pt>
                <c:pt idx="225">
                  <c:v>#N/A</c:v>
                </c:pt>
                <c:pt idx="226">
                  <c:v>#N/A</c:v>
                </c:pt>
                <c:pt idx="227">
                  <c:v>#N/A</c:v>
                </c:pt>
                <c:pt idx="228">
                  <c:v>#N/A</c:v>
                </c:pt>
                <c:pt idx="229">
                  <c:v>#N/A</c:v>
                </c:pt>
                <c:pt idx="230">
                  <c:v>160.87343134255599</c:v>
                </c:pt>
                <c:pt idx="231">
                  <c:v>#N/A</c:v>
                </c:pt>
                <c:pt idx="232">
                  <c:v>#N/A</c:v>
                </c:pt>
                <c:pt idx="233">
                  <c:v>#N/A</c:v>
                </c:pt>
                <c:pt idx="234">
                  <c:v>#N/A</c:v>
                </c:pt>
                <c:pt idx="235">
                  <c:v>#N/A</c:v>
                </c:pt>
                <c:pt idx="236">
                  <c:v>#N/A</c:v>
                </c:pt>
                <c:pt idx="237">
                  <c:v>#N/A</c:v>
                </c:pt>
                <c:pt idx="238">
                  <c:v>#N/A</c:v>
                </c:pt>
                <c:pt idx="239">
                  <c:v>#N/A</c:v>
                </c:pt>
                <c:pt idx="240">
                  <c:v>191.97254378894581</c:v>
                </c:pt>
                <c:pt idx="241">
                  <c:v>#N/A</c:v>
                </c:pt>
                <c:pt idx="242">
                  <c:v>#N/A</c:v>
                </c:pt>
                <c:pt idx="243">
                  <c:v>#N/A</c:v>
                </c:pt>
                <c:pt idx="244">
                  <c:v>#N/A</c:v>
                </c:pt>
                <c:pt idx="245">
                  <c:v>#N/A</c:v>
                </c:pt>
                <c:pt idx="246">
                  <c:v>#N/A</c:v>
                </c:pt>
                <c:pt idx="247">
                  <c:v>#N/A</c:v>
                </c:pt>
                <c:pt idx="248">
                  <c:v>#N/A</c:v>
                </c:pt>
                <c:pt idx="249">
                  <c:v>#N/A</c:v>
                </c:pt>
                <c:pt idx="250">
                  <c:v>221.29588785736109</c:v>
                </c:pt>
                <c:pt idx="251">
                  <c:v>#N/A</c:v>
                </c:pt>
                <c:pt idx="252">
                  <c:v>#N/A</c:v>
                </c:pt>
                <c:pt idx="253">
                  <c:v>#N/A</c:v>
                </c:pt>
                <c:pt idx="254">
                  <c:v>#N/A</c:v>
                </c:pt>
                <c:pt idx="255">
                  <c:v>#N/A</c:v>
                </c:pt>
                <c:pt idx="256">
                  <c:v>#N/A</c:v>
                </c:pt>
                <c:pt idx="257">
                  <c:v>#N/A</c:v>
                </c:pt>
                <c:pt idx="258">
                  <c:v>#N/A</c:v>
                </c:pt>
                <c:pt idx="259">
                  <c:v>#N/A</c:v>
                </c:pt>
                <c:pt idx="260">
                  <c:v>249.1754404931423</c:v>
                </c:pt>
                <c:pt idx="261">
                  <c:v>#N/A</c:v>
                </c:pt>
                <c:pt idx="262">
                  <c:v>#N/A</c:v>
                </c:pt>
                <c:pt idx="263">
                  <c:v>#N/A</c:v>
                </c:pt>
                <c:pt idx="264">
                  <c:v>#N/A</c:v>
                </c:pt>
                <c:pt idx="265">
                  <c:v>#N/A</c:v>
                </c:pt>
                <c:pt idx="266">
                  <c:v>#N/A</c:v>
                </c:pt>
                <c:pt idx="267">
                  <c:v>#N/A</c:v>
                </c:pt>
                <c:pt idx="268">
                  <c:v>#N/A</c:v>
                </c:pt>
                <c:pt idx="269">
                  <c:v>#N/A</c:v>
                </c:pt>
                <c:pt idx="270">
                  <c:v>275.87548522535013</c:v>
                </c:pt>
                <c:pt idx="271">
                  <c:v>#N/A</c:v>
                </c:pt>
                <c:pt idx="272">
                  <c:v>#N/A</c:v>
                </c:pt>
                <c:pt idx="273">
                  <c:v>#N/A</c:v>
                </c:pt>
                <c:pt idx="274">
                  <c:v>#N/A</c:v>
                </c:pt>
                <c:pt idx="275">
                  <c:v>#N/A</c:v>
                </c:pt>
                <c:pt idx="276">
                  <c:v>#N/A</c:v>
                </c:pt>
                <c:pt idx="277">
                  <c:v>#N/A</c:v>
                </c:pt>
                <c:pt idx="278">
                  <c:v>#N/A</c:v>
                </c:pt>
                <c:pt idx="279">
                  <c:v>#N/A</c:v>
                </c:pt>
                <c:pt idx="280">
                  <c:v>301.6112910286061</c:v>
                </c:pt>
                <c:pt idx="281">
                  <c:v>#N/A</c:v>
                </c:pt>
                <c:pt idx="282">
                  <c:v>#N/A</c:v>
                </c:pt>
                <c:pt idx="283">
                  <c:v>#N/A</c:v>
                </c:pt>
                <c:pt idx="284">
                  <c:v>#N/A</c:v>
                </c:pt>
                <c:pt idx="285">
                  <c:v>#N/A</c:v>
                </c:pt>
                <c:pt idx="286">
                  <c:v>#N/A</c:v>
                </c:pt>
                <c:pt idx="287">
                  <c:v>#N/A</c:v>
                </c:pt>
                <c:pt idx="288">
                  <c:v>#N/A</c:v>
                </c:pt>
                <c:pt idx="289">
                  <c:v>#N/A</c:v>
                </c:pt>
                <c:pt idx="290">
                  <c:v>326.56164155636969</c:v>
                </c:pt>
                <c:pt idx="291">
                  <c:v>#N/A</c:v>
                </c:pt>
                <c:pt idx="292">
                  <c:v>#N/A</c:v>
                </c:pt>
                <c:pt idx="293">
                  <c:v>#N/A</c:v>
                </c:pt>
                <c:pt idx="294">
                  <c:v>#N/A</c:v>
                </c:pt>
                <c:pt idx="295">
                  <c:v>#N/A</c:v>
                </c:pt>
                <c:pt idx="296">
                  <c:v>#N/A</c:v>
                </c:pt>
                <c:pt idx="297">
                  <c:v>#N/A</c:v>
                </c:pt>
                <c:pt idx="298">
                  <c:v>#N/A</c:v>
                </c:pt>
                <c:pt idx="299">
                  <c:v>#N/A</c:v>
                </c:pt>
                <c:pt idx="300">
                  <c:v>350.87722670503769</c:v>
                </c:pt>
                <c:pt idx="301">
                  <c:v>#N/A</c:v>
                </c:pt>
                <c:pt idx="302">
                  <c:v>#N/A</c:v>
                </c:pt>
                <c:pt idx="303">
                  <c:v>#N/A</c:v>
                </c:pt>
                <c:pt idx="304">
                  <c:v>#N/A</c:v>
                </c:pt>
                <c:pt idx="305">
                  <c:v>#N/A</c:v>
                </c:pt>
                <c:pt idx="306">
                  <c:v>#N/A</c:v>
                </c:pt>
                <c:pt idx="307">
                  <c:v>#N/A</c:v>
                </c:pt>
                <c:pt idx="308">
                  <c:v>#N/A</c:v>
                </c:pt>
                <c:pt idx="309">
                  <c:v>#N/A</c:v>
                </c:pt>
                <c:pt idx="310">
                  <c:v>374.68585678944595</c:v>
                </c:pt>
                <c:pt idx="311">
                  <c:v>#N/A</c:v>
                </c:pt>
                <c:pt idx="312">
                  <c:v>#N/A</c:v>
                </c:pt>
                <c:pt idx="313">
                  <c:v>#N/A</c:v>
                </c:pt>
                <c:pt idx="314">
                  <c:v>#N/A</c:v>
                </c:pt>
                <c:pt idx="315">
                  <c:v>#N/A</c:v>
                </c:pt>
                <c:pt idx="316">
                  <c:v>#N/A</c:v>
                </c:pt>
                <c:pt idx="317">
                  <c:v>#N/A</c:v>
                </c:pt>
                <c:pt idx="318">
                  <c:v>#N/A</c:v>
                </c:pt>
                <c:pt idx="319">
                  <c:v>#N/A</c:v>
                </c:pt>
                <c:pt idx="320">
                  <c:v>398.09455678571589</c:v>
                </c:pt>
                <c:pt idx="321">
                  <c:v>#N/A</c:v>
                </c:pt>
                <c:pt idx="322">
                  <c:v>#N/A</c:v>
                </c:pt>
                <c:pt idx="323">
                  <c:v>#N/A</c:v>
                </c:pt>
                <c:pt idx="324">
                  <c:v>#N/A</c:v>
                </c:pt>
                <c:pt idx="325">
                  <c:v>#N/A</c:v>
                </c:pt>
                <c:pt idx="326">
                  <c:v>#N/A</c:v>
                </c:pt>
                <c:pt idx="327">
                  <c:v>#N/A</c:v>
                </c:pt>
                <c:pt idx="328">
                  <c:v>#N/A</c:v>
                </c:pt>
                <c:pt idx="329">
                  <c:v>#N/A</c:v>
                </c:pt>
                <c:pt idx="330">
                  <c:v>421.1875359069881</c:v>
                </c:pt>
                <c:pt idx="331">
                  <c:v>#N/A</c:v>
                </c:pt>
                <c:pt idx="332">
                  <c:v>#N/A</c:v>
                </c:pt>
                <c:pt idx="333">
                  <c:v>#N/A</c:v>
                </c:pt>
                <c:pt idx="334">
                  <c:v>#N/A</c:v>
                </c:pt>
                <c:pt idx="335">
                  <c:v>#N/A</c:v>
                </c:pt>
                <c:pt idx="336">
                  <c:v>#N/A</c:v>
                </c:pt>
                <c:pt idx="337">
                  <c:v>#N/A</c:v>
                </c:pt>
                <c:pt idx="338">
                  <c:v>#N/A</c:v>
                </c:pt>
                <c:pt idx="339">
                  <c:v>#N/A</c:v>
                </c:pt>
                <c:pt idx="340">
                  <c:v>444.01857778568552</c:v>
                </c:pt>
                <c:pt idx="341">
                  <c:v>#N/A</c:v>
                </c:pt>
                <c:pt idx="342">
                  <c:v>#N/A</c:v>
                </c:pt>
                <c:pt idx="343">
                  <c:v>#N/A</c:v>
                </c:pt>
                <c:pt idx="344">
                  <c:v>#N/A</c:v>
                </c:pt>
                <c:pt idx="345">
                  <c:v>#N/A</c:v>
                </c:pt>
                <c:pt idx="346">
                  <c:v>#N/A</c:v>
                </c:pt>
                <c:pt idx="347">
                  <c:v>#N/A</c:v>
                </c:pt>
                <c:pt idx="348">
                  <c:v>#N/A</c:v>
                </c:pt>
                <c:pt idx="349">
                  <c:v>#N/A</c:v>
                </c:pt>
                <c:pt idx="350">
                  <c:v>466.6010534100609</c:v>
                </c:pt>
                <c:pt idx="351">
                  <c:v>#N/A</c:v>
                </c:pt>
                <c:pt idx="352">
                  <c:v>#N/A</c:v>
                </c:pt>
                <c:pt idx="353">
                  <c:v>#N/A</c:v>
                </c:pt>
                <c:pt idx="354">
                  <c:v>#N/A</c:v>
                </c:pt>
                <c:pt idx="355">
                  <c:v>#N/A</c:v>
                </c:pt>
                <c:pt idx="356">
                  <c:v>#N/A</c:v>
                </c:pt>
                <c:pt idx="357">
                  <c:v>#N/A</c:v>
                </c:pt>
                <c:pt idx="358">
                  <c:v>#N/A</c:v>
                </c:pt>
                <c:pt idx="359">
                  <c:v>#N/A</c:v>
                </c:pt>
                <c:pt idx="360">
                  <c:v>488.90769119475414</c:v>
                </c:pt>
                <c:pt idx="361">
                  <c:v>#N/A</c:v>
                </c:pt>
                <c:pt idx="362">
                  <c:v>#N/A</c:v>
                </c:pt>
                <c:pt idx="363">
                  <c:v>#N/A</c:v>
                </c:pt>
                <c:pt idx="364">
                  <c:v>#N/A</c:v>
                </c:pt>
                <c:pt idx="365">
                  <c:v>#N/A</c:v>
                </c:pt>
                <c:pt idx="366">
                  <c:v>#N/A</c:v>
                </c:pt>
                <c:pt idx="367">
                  <c:v>#N/A</c:v>
                </c:pt>
                <c:pt idx="368">
                  <c:v>#N/A</c:v>
                </c:pt>
                <c:pt idx="369">
                  <c:v>#N/A</c:v>
                </c:pt>
                <c:pt idx="370">
                  <c:v>510.88385266163039</c:v>
                </c:pt>
                <c:pt idx="371">
                  <c:v>#N/A</c:v>
                </c:pt>
                <c:pt idx="372">
                  <c:v>#N/A</c:v>
                </c:pt>
                <c:pt idx="373">
                  <c:v>#N/A</c:v>
                </c:pt>
                <c:pt idx="374">
                  <c:v>#N/A</c:v>
                </c:pt>
                <c:pt idx="375">
                  <c:v>#N/A</c:v>
                </c:pt>
                <c:pt idx="376">
                  <c:v>#N/A</c:v>
                </c:pt>
                <c:pt idx="377">
                  <c:v>#N/A</c:v>
                </c:pt>
                <c:pt idx="378">
                  <c:v>#N/A</c:v>
                </c:pt>
                <c:pt idx="379">
                  <c:v>#N/A</c:v>
                </c:pt>
                <c:pt idx="380">
                  <c:v>532.46236933072453</c:v>
                </c:pt>
                <c:pt idx="381">
                  <c:v>#N/A</c:v>
                </c:pt>
                <c:pt idx="382">
                  <c:v>#N/A</c:v>
                </c:pt>
                <c:pt idx="383">
                  <c:v>#N/A</c:v>
                </c:pt>
                <c:pt idx="384">
                  <c:v>#N/A</c:v>
                </c:pt>
                <c:pt idx="385">
                  <c:v>#N/A</c:v>
                </c:pt>
                <c:pt idx="386">
                  <c:v>#N/A</c:v>
                </c:pt>
                <c:pt idx="387">
                  <c:v>#N/A</c:v>
                </c:pt>
                <c:pt idx="388">
                  <c:v>#N/A</c:v>
                </c:pt>
                <c:pt idx="389">
                  <c:v>#N/A</c:v>
                </c:pt>
                <c:pt idx="390">
                  <c:v>553.57314134042656</c:v>
                </c:pt>
                <c:pt idx="391">
                  <c:v>#N/A</c:v>
                </c:pt>
                <c:pt idx="392">
                  <c:v>#N/A</c:v>
                </c:pt>
                <c:pt idx="393">
                  <c:v>#N/A</c:v>
                </c:pt>
                <c:pt idx="394">
                  <c:v>#N/A</c:v>
                </c:pt>
                <c:pt idx="395">
                  <c:v>#N/A</c:v>
                </c:pt>
                <c:pt idx="396">
                  <c:v>#N/A</c:v>
                </c:pt>
                <c:pt idx="397">
                  <c:v>#N/A</c:v>
                </c:pt>
                <c:pt idx="398">
                  <c:v>#N/A</c:v>
                </c:pt>
                <c:pt idx="399">
                  <c:v>#N/A</c:v>
                </c:pt>
                <c:pt idx="400">
                  <c:v>574.14853936122688</c:v>
                </c:pt>
                <c:pt idx="401">
                  <c:v>#N/A</c:v>
                </c:pt>
                <c:pt idx="402">
                  <c:v>#N/A</c:v>
                </c:pt>
                <c:pt idx="403">
                  <c:v>#N/A</c:v>
                </c:pt>
                <c:pt idx="404">
                  <c:v>#N/A</c:v>
                </c:pt>
                <c:pt idx="405">
                  <c:v>#N/A</c:v>
                </c:pt>
                <c:pt idx="406">
                  <c:v>#N/A</c:v>
                </c:pt>
                <c:pt idx="407">
                  <c:v>#N/A</c:v>
                </c:pt>
                <c:pt idx="408">
                  <c:v>#N/A</c:v>
                </c:pt>
                <c:pt idx="409">
                  <c:v>#N/A</c:v>
                </c:pt>
                <c:pt idx="410">
                  <c:v>594.12651125882326</c:v>
                </c:pt>
                <c:pt idx="411">
                  <c:v>#N/A</c:v>
                </c:pt>
                <c:pt idx="412">
                  <c:v>#N/A</c:v>
                </c:pt>
                <c:pt idx="413">
                  <c:v>#N/A</c:v>
                </c:pt>
                <c:pt idx="414">
                  <c:v>#N/A</c:v>
                </c:pt>
                <c:pt idx="415">
                  <c:v>#N/A</c:v>
                </c:pt>
                <c:pt idx="416">
                  <c:v>#N/A</c:v>
                </c:pt>
                <c:pt idx="417">
                  <c:v>#N/A</c:v>
                </c:pt>
                <c:pt idx="418">
                  <c:v>#N/A</c:v>
                </c:pt>
                <c:pt idx="419">
                  <c:v>#N/A</c:v>
                </c:pt>
                <c:pt idx="420">
                  <c:v>613.45242332346413</c:v>
                </c:pt>
                <c:pt idx="421">
                  <c:v>#N/A</c:v>
                </c:pt>
                <c:pt idx="422">
                  <c:v>#N/A</c:v>
                </c:pt>
                <c:pt idx="423">
                  <c:v>#N/A</c:v>
                </c:pt>
                <c:pt idx="424">
                  <c:v>#N/A</c:v>
                </c:pt>
                <c:pt idx="425">
                  <c:v>#N/A</c:v>
                </c:pt>
                <c:pt idx="426">
                  <c:v>#N/A</c:v>
                </c:pt>
                <c:pt idx="427">
                  <c:v>#N/A</c:v>
                </c:pt>
                <c:pt idx="428">
                  <c:v>#N/A</c:v>
                </c:pt>
                <c:pt idx="429">
                  <c:v>#N/A</c:v>
                </c:pt>
                <c:pt idx="430">
                  <c:v>632.08011480143409</c:v>
                </c:pt>
                <c:pt idx="431">
                  <c:v>#N/A</c:v>
                </c:pt>
                <c:pt idx="432">
                  <c:v>#N/A</c:v>
                </c:pt>
                <c:pt idx="433">
                  <c:v>#N/A</c:v>
                </c:pt>
                <c:pt idx="434">
                  <c:v>#N/A</c:v>
                </c:pt>
                <c:pt idx="435">
                  <c:v>#N/A</c:v>
                </c:pt>
                <c:pt idx="436">
                  <c:v>#N/A</c:v>
                </c:pt>
                <c:pt idx="437">
                  <c:v>#N/A</c:v>
                </c:pt>
                <c:pt idx="438">
                  <c:v>#N/A</c:v>
                </c:pt>
                <c:pt idx="439">
                  <c:v>#N/A</c:v>
                </c:pt>
                <c:pt idx="440">
                  <c:v>649.97240256026691</c:v>
                </c:pt>
                <c:pt idx="441">
                  <c:v>#N/A</c:v>
                </c:pt>
                <c:pt idx="442">
                  <c:v>#N/A</c:v>
                </c:pt>
                <c:pt idx="443">
                  <c:v>#N/A</c:v>
                </c:pt>
                <c:pt idx="444">
                  <c:v>#N/A</c:v>
                </c:pt>
                <c:pt idx="445">
                  <c:v>#N/A</c:v>
                </c:pt>
                <c:pt idx="446">
                  <c:v>#N/A</c:v>
                </c:pt>
                <c:pt idx="447">
                  <c:v>#N/A</c:v>
                </c:pt>
                <c:pt idx="448">
                  <c:v>#N/A</c:v>
                </c:pt>
                <c:pt idx="449">
                  <c:v>#N/A</c:v>
                </c:pt>
                <c:pt idx="450">
                  <c:v>667.10117276034964</c:v>
                </c:pt>
                <c:pt idx="451">
                  <c:v>#N/A</c:v>
                </c:pt>
                <c:pt idx="452">
                  <c:v>#N/A</c:v>
                </c:pt>
                <c:pt idx="453">
                  <c:v>#N/A</c:v>
                </c:pt>
                <c:pt idx="454">
                  <c:v>#N/A</c:v>
                </c:pt>
                <c:pt idx="455">
                  <c:v>#N/A</c:v>
                </c:pt>
                <c:pt idx="456">
                  <c:v>#N/A</c:v>
                </c:pt>
                <c:pt idx="457">
                  <c:v>#N/A</c:v>
                </c:pt>
                <c:pt idx="458">
                  <c:v>#N/A</c:v>
                </c:pt>
                <c:pt idx="459">
                  <c:v>#N/A</c:v>
                </c:pt>
                <c:pt idx="460">
                  <c:v>683.4471544916621</c:v>
                </c:pt>
                <c:pt idx="461">
                  <c:v>#N/A</c:v>
                </c:pt>
                <c:pt idx="462">
                  <c:v>#N/A</c:v>
                </c:pt>
                <c:pt idx="463">
                  <c:v>#N/A</c:v>
                </c:pt>
                <c:pt idx="464">
                  <c:v>#N/A</c:v>
                </c:pt>
                <c:pt idx="465">
                  <c:v>#N/A</c:v>
                </c:pt>
                <c:pt idx="466">
                  <c:v>#N/A</c:v>
                </c:pt>
                <c:pt idx="467">
                  <c:v>#N/A</c:v>
                </c:pt>
                <c:pt idx="468">
                  <c:v>#N/A</c:v>
                </c:pt>
                <c:pt idx="469">
                  <c:v>#N/A</c:v>
                </c:pt>
                <c:pt idx="470">
                  <c:v>698.99945132921175</c:v>
                </c:pt>
                <c:pt idx="471">
                  <c:v>#N/A</c:v>
                </c:pt>
                <c:pt idx="472">
                  <c:v>#N/A</c:v>
                </c:pt>
                <c:pt idx="473">
                  <c:v>#N/A</c:v>
                </c:pt>
                <c:pt idx="474">
                  <c:v>#N/A</c:v>
                </c:pt>
                <c:pt idx="475">
                  <c:v>#N/A</c:v>
                </c:pt>
                <c:pt idx="476">
                  <c:v>#N/A</c:v>
                </c:pt>
                <c:pt idx="477">
                  <c:v>#N/A</c:v>
                </c:pt>
                <c:pt idx="478">
                  <c:v>#N/A</c:v>
                </c:pt>
                <c:pt idx="479">
                  <c:v>#N/A</c:v>
                </c:pt>
                <c:pt idx="480">
                  <c:v>713.75489621944303</c:v>
                </c:pt>
                <c:pt idx="481">
                  <c:v>#N/A</c:v>
                </c:pt>
                <c:pt idx="482">
                  <c:v>#N/A</c:v>
                </c:pt>
                <c:pt idx="483">
                  <c:v>#N/A</c:v>
                </c:pt>
                <c:pt idx="484">
                  <c:v>#N/A</c:v>
                </c:pt>
                <c:pt idx="485">
                  <c:v>#N/A</c:v>
                </c:pt>
                <c:pt idx="486">
                  <c:v>#N/A</c:v>
                </c:pt>
                <c:pt idx="487">
                  <c:v>#N/A</c:v>
                </c:pt>
                <c:pt idx="488">
                  <c:v>#N/A</c:v>
                </c:pt>
                <c:pt idx="489">
                  <c:v>#N/A</c:v>
                </c:pt>
                <c:pt idx="490">
                  <c:v>727.71728716140456</c:v>
                </c:pt>
                <c:pt idx="491">
                  <c:v>#N/A</c:v>
                </c:pt>
                <c:pt idx="492">
                  <c:v>#N/A</c:v>
                </c:pt>
                <c:pt idx="493">
                  <c:v>#N/A</c:v>
                </c:pt>
                <c:pt idx="494">
                  <c:v>#N/A</c:v>
                </c:pt>
                <c:pt idx="495">
                  <c:v>#N/A</c:v>
                </c:pt>
                <c:pt idx="496">
                  <c:v>#N/A</c:v>
                </c:pt>
                <c:pt idx="497">
                  <c:v>#N/A</c:v>
                </c:pt>
                <c:pt idx="498">
                  <c:v>#N/A</c:v>
                </c:pt>
                <c:pt idx="499">
                  <c:v>#N/A</c:v>
                </c:pt>
                <c:pt idx="500">
                  <c:v>740.89655358760626</c:v>
                </c:pt>
                <c:pt idx="501">
                  <c:v>#N/A</c:v>
                </c:pt>
                <c:pt idx="502">
                  <c:v>#N/A</c:v>
                </c:pt>
                <c:pt idx="503">
                  <c:v>#N/A</c:v>
                </c:pt>
                <c:pt idx="504">
                  <c:v>#N/A</c:v>
                </c:pt>
                <c:pt idx="505">
                  <c:v>#N/A</c:v>
                </c:pt>
                <c:pt idx="506">
                  <c:v>#N/A</c:v>
                </c:pt>
                <c:pt idx="507">
                  <c:v>#N/A</c:v>
                </c:pt>
                <c:pt idx="508">
                  <c:v>#N/A</c:v>
                </c:pt>
                <c:pt idx="509">
                  <c:v>#N/A</c:v>
                </c:pt>
                <c:pt idx="510">
                  <c:v>753.30789558091089</c:v>
                </c:pt>
                <c:pt idx="511">
                  <c:v>#N/A</c:v>
                </c:pt>
                <c:pt idx="512">
                  <c:v>#N/A</c:v>
                </c:pt>
                <c:pt idx="513">
                  <c:v>#N/A</c:v>
                </c:pt>
                <c:pt idx="514">
                  <c:v>#N/A</c:v>
                </c:pt>
                <c:pt idx="515">
                  <c:v>#N/A</c:v>
                </c:pt>
                <c:pt idx="516">
                  <c:v>#N/A</c:v>
                </c:pt>
                <c:pt idx="517">
                  <c:v>#N/A</c:v>
                </c:pt>
                <c:pt idx="518">
                  <c:v>#N/A</c:v>
                </c:pt>
                <c:pt idx="519">
                  <c:v>#N/A</c:v>
                </c:pt>
                <c:pt idx="520">
                  <c:v>764.97093016256099</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0</c:v>
                </c:pt>
                <c:pt idx="1">
                  <c:v>9.6179596057260972E-4</c:v>
                </c:pt>
                <c:pt idx="2">
                  <c:v>7.849334862307036E-3</c:v>
                </c:pt>
                <c:pt idx="3">
                  <c:v>2.7104036649354804E-2</c:v>
                </c:pt>
                <c:pt idx="4">
                  <c:v>6.0910676809744435E-2</c:v>
                </c:pt>
                <c:pt idx="5">
                  <c:v>0.10875959295515798</c:v>
                </c:pt>
                <c:pt idx="6">
                  <c:v>0.17029575024130772</c:v>
                </c:pt>
                <c:pt idx="7">
                  <c:v>0.24547517535961894</c:v>
                </c:pt>
                <c:pt idx="8">
                  <c:v>0.33440967855691439</c:v>
                </c:pt>
                <c:pt idx="9">
                  <c:v>0.43721111891433345</c:v>
                </c:pt>
                <c:pt idx="10">
                  <c:v>0.55399140167489291</c:v>
                </c:pt>
                <c:pt idx="11">
                  <c:v>0.68484628480212495</c:v>
                </c:pt>
                <c:pt idx="12">
                  <c:v>0.82983913846125701</c:v>
                </c:pt>
                <c:pt idx="13">
                  <c:v>0.989017063757757</c:v>
                </c:pt>
                <c:pt idx="14">
                  <c:v>1.1624270589549011</c:v>
                </c:pt>
                <c:pt idx="15">
                  <c:v>1.350116017579907</c:v>
                </c:pt>
                <c:pt idx="16">
                  <c:v>1.5521307265246203</c:v>
                </c:pt>
                <c:pt idx="17">
                  <c:v>1.7685178641409143</c:v>
                </c:pt>
                <c:pt idx="18">
                  <c:v>1.9993239983309685</c:v>
                </c:pt>
                <c:pt idx="19">
                  <c:v>2.244595584632592</c:v>
                </c:pt>
                <c:pt idx="20">
                  <c:v>2.5043789642997596</c:v>
                </c:pt>
                <c:pt idx="21">
                  <c:v>2.7787138599228545</c:v>
                </c:pt>
                <c:pt idx="22">
                  <c:v>3.0676268525810602</c:v>
                </c:pt>
                <c:pt idx="23">
                  <c:v>3.3711378558289589</c:v>
                </c:pt>
                <c:pt idx="24">
                  <c:v>3.6892666085400023</c:v>
                </c:pt>
                <c:pt idx="25">
                  <c:v>4.0220326737662697</c:v>
                </c:pt>
                <c:pt idx="26">
                  <c:v>4.3694406356516708</c:v>
                </c:pt>
                <c:pt idx="27">
                  <c:v>4.7314942593150162</c:v>
                </c:pt>
                <c:pt idx="28">
                  <c:v>5.1082113009258308</c:v>
                </c:pt>
                <c:pt idx="29">
                  <c:v>5.4996093651401523</c:v>
                </c:pt>
                <c:pt idx="30">
                  <c:v>5.9057059129793767</c:v>
                </c:pt>
                <c:pt idx="31">
                  <c:v>6.3265182582043593</c:v>
                </c:pt>
                <c:pt idx="32">
                  <c:v>6.7620635639505586</c:v>
                </c:pt>
                <c:pt idx="33">
                  <c:v>7.2123588395916514</c:v>
                </c:pt>
                <c:pt idx="34">
                  <c:v>7.6774209378041887</c:v>
                </c:pt>
                <c:pt idx="35">
                  <c:v>8.1572665518100607</c:v>
                </c:pt>
                <c:pt idx="36">
                  <c:v>8.6519122127770007</c:v>
                </c:pt>
                <c:pt idx="37">
                  <c:v>9.1613742873602018</c:v>
                </c:pt>
                <c:pt idx="38">
                  <c:v>9.6856689753705076</c:v>
                </c:pt>
                <c:pt idx="39">
                  <c:v>10.224812307556627</c:v>
                </c:pt>
                <c:pt idx="40">
                  <c:v>10.778820143490485</c:v>
                </c:pt>
                <c:pt idx="41">
                  <c:v>11.347703103481436</c:v>
                </c:pt>
                <c:pt idx="42">
                  <c:v>11.931461488123665</c:v>
                </c:pt>
                <c:pt idx="43">
                  <c:v>12.530090325394321</c:v>
                </c:pt>
                <c:pt idx="44">
                  <c:v>13.143584430641267</c:v>
                </c:pt>
                <c:pt idx="45">
                  <c:v>13.771938405601263</c:v>
                </c:pt>
                <c:pt idx="46">
                  <c:v>14.415146637491738</c:v>
                </c:pt>
                <c:pt idx="47">
                  <c:v>15.073203298170998</c:v>
                </c:pt>
                <c:pt idx="48">
                  <c:v>15.746102343362272</c:v>
                </c:pt>
                <c:pt idx="49">
                  <c:v>16.433837511937465</c:v>
                </c:pt>
                <c:pt idx="50">
                  <c:v>17.136402325256991</c:v>
                </c:pt>
                <c:pt idx="51">
                  <c:v>17.853790086562395</c:v>
                </c:pt>
                <c:pt idx="52">
                  <c:v>18.585993880418791</c:v>
                </c:pt>
                <c:pt idx="53">
                  <c:v>19.3330065722045</c:v>
                </c:pt>
                <c:pt idx="54">
                  <c:v>20.094820807645462</c:v>
                </c:pt>
                <c:pt idx="55">
                  <c:v>20.871429012392273</c:v>
                </c:pt>
                <c:pt idx="56">
                  <c:v>21.662823391637879</c:v>
                </c:pt>
                <c:pt idx="57">
                  <c:v>22.468995929774135</c:v>
                </c:pt>
                <c:pt idx="58">
                  <c:v>23.289938390085631</c:v>
                </c:pt>
                <c:pt idx="59">
                  <c:v>24.125642314479276</c:v>
                </c:pt>
                <c:pt idx="60">
                  <c:v>24.976099023248302</c:v>
                </c:pt>
                <c:pt idx="61">
                  <c:v>25.841299614869456</c:v>
                </c:pt>
                <c:pt idx="62">
                  <c:v>26.721234965832227</c:v>
                </c:pt>
                <c:pt idx="63">
                  <c:v>27.61589573049908</c:v>
                </c:pt>
                <c:pt idx="64">
                  <c:v>28.525272340995734</c:v>
                </c:pt>
                <c:pt idx="65">
                  <c:v>29.449355007130588</c:v>
                </c:pt>
                <c:pt idx="66">
                  <c:v>30.38813371634248</c:v>
                </c:pt>
                <c:pt idx="67">
                  <c:v>31.341598233676027</c:v>
                </c:pt>
                <c:pt idx="68">
                  <c:v>32.309738101783843</c:v>
                </c:pt>
                <c:pt idx="69">
                  <c:v>33.292542640954963</c:v>
                </c:pt>
                <c:pt idx="70">
                  <c:v>34.290000949168885</c:v>
                </c:pt>
                <c:pt idx="71">
                  <c:v>35.302101902174655</c:v>
                </c:pt>
                <c:pt idx="72">
                  <c:v>36.328834153594464</c:v>
                </c:pt>
                <c:pt idx="73">
                  <c:v>37.37018613505127</c:v>
                </c:pt>
                <c:pt idx="74">
                  <c:v>38.426146056319936</c:v>
                </c:pt>
                <c:pt idx="75">
                  <c:v>39.496701905501517</c:v>
                </c:pt>
                <c:pt idx="76">
                  <c:v>40.581841449220242</c:v>
                </c:pt>
                <c:pt idx="77">
                  <c:v>41.681552232842776</c:v>
                </c:pt>
                <c:pt idx="78">
                  <c:v>42.795821580719455</c:v>
                </c:pt>
                <c:pt idx="79">
                  <c:v>43.924636596447108</c:v>
                </c:pt>
                <c:pt idx="80">
                  <c:v>45.067984163153127</c:v>
                </c:pt>
                <c:pt idx="81">
                  <c:v>46.225845781003116</c:v>
                </c:pt>
                <c:pt idx="82">
                  <c:v>47.398192394880965</c:v>
                </c:pt>
                <c:pt idx="83">
                  <c:v>48.584989546199502</c:v>
                </c:pt>
                <c:pt idx="84">
                  <c:v>49.786202535078019</c:v>
                </c:pt>
                <c:pt idx="85">
                  <c:v>51.001796421726347</c:v>
                </c:pt>
                <c:pt idx="86">
                  <c:v>52.231736027850438</c:v>
                </c:pt>
                <c:pt idx="87">
                  <c:v>53.475985938079134</c:v>
                </c:pt>
                <c:pt idx="88">
                  <c:v>54.734510501411499</c:v>
                </c:pt>
                <c:pt idx="89">
                  <c:v>56.007273832684433</c:v>
                </c:pt>
                <c:pt idx="90">
                  <c:v>57.294239814060028</c:v>
                </c:pt>
                <c:pt idx="91">
                  <c:v>58.595369812979577</c:v>
                </c:pt>
                <c:pt idx="92">
                  <c:v>59.91062039623214</c:v>
                </c:pt>
                <c:pt idx="93">
                  <c:v>61.239945610924721</c:v>
                </c:pt>
                <c:pt idx="94">
                  <c:v>62.583299269615928</c:v>
                </c:pt>
                <c:pt idx="95">
                  <c:v>63.940634952377707</c:v>
                </c:pt>
                <c:pt idx="96">
                  <c:v>65.311906008874132</c:v>
                </c:pt>
                <c:pt idx="97">
                  <c:v>66.697065560456693</c:v>
                </c:pt>
                <c:pt idx="98">
                  <c:v>68.09606650227559</c:v>
                </c:pt>
                <c:pt idx="99">
                  <c:v>69.508861505406713</c:v>
                </c:pt>
                <c:pt idx="100">
                  <c:v>70.935403018993668</c:v>
                </c:pt>
                <c:pt idx="101">
                  <c:v>72.375642906752802</c:v>
                </c:pt>
                <c:pt idx="102">
                  <c:v>73.829532082945136</c:v>
                </c:pt>
                <c:pt idx="103">
                  <c:v>75.297020879700085</c:v>
                </c:pt>
                <c:pt idx="104">
                  <c:v>76.778059414939221</c:v>
                </c:pt>
                <c:pt idx="105">
                  <c:v>78.272597594666067</c:v>
                </c:pt>
                <c:pt idx="106">
                  <c:v>79.78058511526811</c:v>
                </c:pt>
                <c:pt idx="107">
                  <c:v>81.301971465830761</c:v>
                </c:pt>
                <c:pt idx="108">
                  <c:v>82.836705930462742</c:v>
                </c:pt>
                <c:pt idx="109">
                  <c:v>84.38473759063244</c:v>
                </c:pt>
                <c:pt idx="110">
                  <c:v>85.946015327514885</c:v>
                </c:pt>
                <c:pt idx="111">
                  <c:v>87.520492038896634</c:v>
                </c:pt>
                <c:pt idx="112">
                  <c:v>89.108128861514231</c:v>
                </c:pt>
                <c:pt idx="113">
                  <c:v>90.70889096313816</c:v>
                </c:pt>
                <c:pt idx="114">
                  <c:v>92.322743328813104</c:v>
                </c:pt>
                <c:pt idx="115">
                  <c:v>93.949650762395379</c:v>
                </c:pt>
                <c:pt idx="116">
                  <c:v>95.589577888100933</c:v>
                </c:pt>
                <c:pt idx="117">
                  <c:v>97.242489152063683</c:v>
                </c:pt>
                <c:pt idx="118">
                  <c:v>98.90834882390395</c:v>
                </c:pt>
                <c:pt idx="119">
                  <c:v>100.58712099830679</c:v>
                </c:pt>
                <c:pt idx="120">
                  <c:v>102.27876959660983</c:v>
                </c:pt>
                <c:pt idx="121">
                  <c:v>103.98325137047534</c:v>
                </c:pt>
                <c:pt idx="122">
                  <c:v>105.70050889783788</c:v>
                </c:pt>
                <c:pt idx="123">
                  <c:v>107.43047757786435</c:v>
                </c:pt>
                <c:pt idx="124">
                  <c:v>109.17309263438378</c:v>
                </c:pt>
                <c:pt idx="125">
                  <c:v>110.92828911897151</c:v>
                </c:pt>
                <c:pt idx="126">
                  <c:v>112.69600191403535</c:v>
                </c:pt>
                <c:pt idx="127">
                  <c:v>114.47616573590291</c:v>
                </c:pt>
                <c:pt idx="128">
                  <c:v>116.26871513790975</c:v>
                </c:pt>
                <c:pt idx="129">
                  <c:v>118.0735845134879</c:v>
                </c:pt>
                <c:pt idx="130">
                  <c:v>119.89070809925417</c:v>
                </c:pt>
                <c:pt idx="131">
                  <c:v>121.72001814405567</c:v>
                </c:pt>
                <c:pt idx="132">
                  <c:v>123.56144307643059</c:v>
                </c:pt>
                <c:pt idx="133">
                  <c:v>125.4149093413541</c:v>
                </c:pt>
                <c:pt idx="134">
                  <c:v>127.2803432387699</c:v>
                </c:pt>
                <c:pt idx="135">
                  <c:v>129.15767092707736</c:v>
                </c:pt>
                <c:pt idx="136">
                  <c:v>131.04681842661299</c:v>
                </c:pt>
                <c:pt idx="137">
                  <c:v>132.9477116231256</c:v>
                </c:pt>
                <c:pt idx="138">
                  <c:v>134.86027627124477</c:v>
                </c:pt>
                <c:pt idx="139">
                  <c:v>136.78443799794198</c:v>
                </c:pt>
                <c:pt idx="140">
                  <c:v>138.72012230598406</c:v>
                </c:pt>
                <c:pt idx="141">
                  <c:v>140.66723262541166</c:v>
                </c:pt>
                <c:pt idx="142">
                  <c:v>142.62562835189746</c:v>
                </c:pt>
                <c:pt idx="143">
                  <c:v>144.5951468083743</c:v>
                </c:pt>
                <c:pt idx="144">
                  <c:v>146.57562522272684</c:v>
                </c:pt>
                <c:pt idx="145">
                  <c:v>148.56690073709092</c:v>
                </c:pt>
                <c:pt idx="146">
                  <c:v>150.56881041707678</c:v>
                </c:pt>
                <c:pt idx="147">
                  <c:v>152.58119126091498</c:v>
                </c:pt>
                <c:pt idx="148">
                  <c:v>154.60388020852344</c:v>
                </c:pt>
                <c:pt idx="149">
                  <c:v>156.63671415049427</c:v>
                </c:pt>
                <c:pt idx="150">
                  <c:v>158.67952993699893</c:v>
                </c:pt>
                <c:pt idx="151">
                  <c:v>160.73216438661049</c:v>
                </c:pt>
                <c:pt idx="152">
                  <c:v>162.7944542950417</c:v>
                </c:pt>
                <c:pt idx="153">
                  <c:v>164.86623644379753</c:v>
                </c:pt>
                <c:pt idx="154">
                  <c:v>166.94734760874121</c:v>
                </c:pt>
                <c:pt idx="155">
                  <c:v>169.03762456857237</c:v>
                </c:pt>
                <c:pt idx="156">
                  <c:v>171.1368000095683</c:v>
                </c:pt>
                <c:pt idx="157">
                  <c:v>173.24439844360776</c:v>
                </c:pt>
                <c:pt idx="158">
                  <c:v>175.35984048309888</c:v>
                </c:pt>
                <c:pt idx="159">
                  <c:v>177.48254713009186</c:v>
                </c:pt>
                <c:pt idx="160">
                  <c:v>179.61193983905341</c:v>
                </c:pt>
                <c:pt idx="161">
                  <c:v>181.74730818534178</c:v>
                </c:pt>
                <c:pt idx="162">
                  <c:v>183.88767765804249</c:v>
                </c:pt>
                <c:pt idx="163">
                  <c:v>186.03195513165974</c:v>
                </c:pt>
                <c:pt idx="164">
                  <c:v>188.17907426060148</c:v>
                </c:pt>
                <c:pt idx="165">
                  <c:v>190.32810948210573</c:v>
                </c:pt>
                <c:pt idx="166">
                  <c:v>192.47838979734101</c:v>
                </c:pt>
                <c:pt idx="167">
                  <c:v>194.62927575410876</c:v>
                </c:pt>
                <c:pt idx="168">
                  <c:v>196.78000636097377</c:v>
                </c:pt>
                <c:pt idx="169">
                  <c:v>198.92959697059555</c:v>
                </c:pt>
                <c:pt idx="170">
                  <c:v>201.07680706074902</c:v>
                </c:pt>
                <c:pt idx="171">
                  <c:v>203.22076967694338</c:v>
                </c:pt>
                <c:pt idx="172">
                  <c:v>205.36127142489883</c:v>
                </c:pt>
                <c:pt idx="173">
                  <c:v>207.49832078974819</c:v>
                </c:pt>
                <c:pt idx="174">
                  <c:v>209.6319262199504</c:v>
                </c:pt>
                <c:pt idx="175">
                  <c:v>211.76209612750134</c:v>
                </c:pt>
                <c:pt idx="176">
                  <c:v>213.88883888814323</c:v>
                </c:pt>
                <c:pt idx="177">
                  <c:v>216.01216284157246</c:v>
                </c:pt>
                <c:pt idx="178">
                  <c:v>218.13207629164594</c:v>
                </c:pt>
                <c:pt idx="179">
                  <c:v>220.24858750658589</c:v>
                </c:pt>
                <c:pt idx="180">
                  <c:v>222.36170471918322</c:v>
                </c:pt>
                <c:pt idx="181">
                  <c:v>224.47143612699946</c:v>
                </c:pt>
                <c:pt idx="182">
                  <c:v>226.57778989256724</c:v>
                </c:pt>
                <c:pt idx="183">
                  <c:v>228.68077414358925</c:v>
                </c:pt>
                <c:pt idx="184">
                  <c:v>230.78039697313588</c:v>
                </c:pt>
                <c:pt idx="185">
                  <c:v>232.87666643984139</c:v>
                </c:pt>
                <c:pt idx="186">
                  <c:v>234.96959056809865</c:v>
                </c:pt>
                <c:pt idx="187">
                  <c:v>237.05917734825263</c:v>
                </c:pt>
                <c:pt idx="188">
                  <c:v>239.14543473679231</c:v>
                </c:pt>
                <c:pt idx="189">
                  <c:v>241.22837065654144</c:v>
                </c:pt>
                <c:pt idx="190">
                  <c:v>243.30799299684773</c:v>
                </c:pt>
                <c:pt idx="191">
                  <c:v>245.38430961377091</c:v>
                </c:pt>
                <c:pt idx="192">
                  <c:v>247.45732833026929</c:v>
                </c:pt>
                <c:pt idx="193">
                  <c:v>249.52705693638507</c:v>
                </c:pt>
                <c:pt idx="194">
                  <c:v>251.59350318942842</c:v>
                </c:pt>
                <c:pt idx="195">
                  <c:v>253.65667481416008</c:v>
                </c:pt>
                <c:pt idx="196">
                  <c:v>255.71657950297288</c:v>
                </c:pt>
                <c:pt idx="197">
                  <c:v>257.7732249160718</c:v>
                </c:pt>
                <c:pt idx="198">
                  <c:v>259.82661868165286</c:v>
                </c:pt>
                <c:pt idx="199">
                  <c:v>261.87676839608088</c:v>
                </c:pt>
                <c:pt idx="200">
                  <c:v>263.92368162406575</c:v>
                </c:pt>
                <c:pt idx="201">
                  <c:v>284.21539062170683</c:v>
                </c:pt>
                <c:pt idx="202">
                  <c:v>304.1882902910985</c:v>
                </c:pt>
                <c:pt idx="203">
                  <c:v>323.84964960680509</c:v>
                </c:pt>
                <c:pt idx="204">
                  <c:v>343.20644312949509</c:v>
                </c:pt>
                <c:pt idx="205">
                  <c:v>362.26536666916672</c:v>
                </c:pt>
                <c:pt idx="206">
                  <c:v>381.03285190816945</c:v>
                </c:pt>
                <c:pt idx="207">
                  <c:v>399.51508006624192</c:v>
                </c:pt>
                <c:pt idx="208">
                  <c:v>417.71799468226942</c:v>
                </c:pt>
                <c:pt idx="209">
                  <c:v>435.64731358072743</c:v>
                </c:pt>
                <c:pt idx="210">
                  <c:v>453.30854008472568</c:v>
                </c:pt>
                <c:pt idx="211">
                  <c:v>470.70697353212807</c:v>
                </c:pt>
                <c:pt idx="212">
                  <c:v>487.84771914632313</c:v>
                </c:pt>
                <c:pt idx="213">
                  <c:v>504.73569730880297</c:v>
                </c:pt>
                <c:pt idx="214">
                  <c:v>521.3756522767186</c:v>
                </c:pt>
                <c:pt idx="215">
                  <c:v>537.77216038497249</c:v>
                </c:pt>
                <c:pt idx="216">
                  <c:v>553.92963776914371</c:v>
                </c:pt>
                <c:pt idx="217">
                  <c:v>569.85234764258144</c:v>
                </c:pt>
                <c:pt idx="218">
                  <c:v>585.54440715831447</c:v>
                </c:pt>
                <c:pt idx="219">
                  <c:v>601.00979388398491</c:v>
                </c:pt>
                <c:pt idx="220">
                  <c:v>616.25235191579281</c:v>
                </c:pt>
                <c:pt idx="221">
                  <c:v>631.27579765541441</c:v>
                </c:pt>
                <c:pt idx="222">
                  <c:v>646.08372527201539</c:v>
                </c:pt>
                <c:pt idx="223">
                  <c:v>660.67961186979494</c:v>
                </c:pt>
                <c:pt idx="224">
                  <c:v>675.06682237995892</c:v>
                </c:pt>
                <c:pt idx="225">
                  <c:v>689.24861419461467</c:v>
                </c:pt>
                <c:pt idx="226">
                  <c:v>703.22814155879087</c:v>
                </c:pt>
                <c:pt idx="227">
                  <c:v>717.00845973560627</c:v>
                </c:pt>
                <c:pt idx="228">
                  <c:v>730.59252895852705</c:v>
                </c:pt>
                <c:pt idx="229">
                  <c:v>743.98321818366026</c:v>
                </c:pt>
                <c:pt idx="230">
                  <c:v>757.18330865411463</c:v>
                </c:pt>
                <c:pt idx="231">
                  <c:v>770.19549728762115</c:v>
                </c:pt>
                <c:pt idx="232">
                  <c:v>783.02239989783095</c:v>
                </c:pt>
                <c:pt idx="233">
                  <c:v>795.66655425899444</c:v>
                </c:pt>
                <c:pt idx="234">
                  <c:v>808.13042302306917</c:v>
                </c:pt>
                <c:pt idx="235">
                  <c:v>820.41639649769468</c:v>
                </c:pt>
                <c:pt idx="236">
                  <c:v>832.52679529291322</c:v>
                </c:pt>
                <c:pt idx="237">
                  <c:v>844.46387284399623</c:v>
                </c:pt>
                <c:pt idx="238">
                  <c:v>856.22981781725593</c:v>
                </c:pt>
                <c:pt idx="239">
                  <c:v>867.82675640527748</c:v>
                </c:pt>
                <c:pt idx="240">
                  <c:v>879.25675451759514</c:v>
                </c:pt>
                <c:pt idx="241">
                  <c:v>890.52181987245524</c:v>
                </c:pt>
                <c:pt idx="242">
                  <c:v>901.62390399495143</c:v>
                </c:pt>
                <c:pt idx="243">
                  <c:v>912.56490412649282</c:v>
                </c:pt>
                <c:pt idx="244">
                  <c:v>923.34666505025473</c:v>
                </c:pt>
                <c:pt idx="245">
                  <c:v>933.9709808369829</c:v>
                </c:pt>
                <c:pt idx="246">
                  <c:v>944.43959651525188</c:v>
                </c:pt>
                <c:pt idx="247">
                  <c:v>954.75420967003652</c:v>
                </c:pt>
                <c:pt idx="248">
                  <c:v>964.91647197322243</c:v>
                </c:pt>
                <c:pt idx="249">
                  <c:v>974.92799064946917</c:v>
                </c:pt>
                <c:pt idx="250">
                  <c:v>984.79032988063966</c:v>
                </c:pt>
                <c:pt idx="251">
                  <c:v>994.50501215182237</c:v>
                </c:pt>
                <c:pt idx="252">
                  <c:v>1004.0735195417992</c:v>
                </c:pt>
                <c:pt idx="253">
                  <c:v>1013.4972949606496</c:v>
                </c:pt>
                <c:pt idx="254">
                  <c:v>1022.7777433370275</c:v>
                </c:pt>
                <c:pt idx="255">
                  <c:v>1031.9162327575082</c:v>
                </c:pt>
                <c:pt idx="256">
                  <c:v>1040.9140955602661</c:v>
                </c:pt>
                <c:pt idx="257">
                  <c:v>1049.7726293852209</c:v>
                </c:pt>
                <c:pt idx="258">
                  <c:v>1058.4930981826724</c:v>
                </c:pt>
                <c:pt idx="259">
                  <c:v>1067.0767331823354</c:v>
                </c:pt>
                <c:pt idx="260">
                  <c:v>1075.5247338245815</c:v>
                </c:pt>
                <c:pt idx="261">
                  <c:v>1083.8382686555988</c:v>
                </c:pt>
                <c:pt idx="262">
                  <c:v>1092.0184761880914</c:v>
                </c:pt>
                <c:pt idx="263">
                  <c:v>1100.0664657290524</c:v>
                </c:pt>
                <c:pt idx="264">
                  <c:v>1107.9833181760675</c:v>
                </c:pt>
                <c:pt idx="265">
                  <c:v>1115.7700867835276</c:v>
                </c:pt>
                <c:pt idx="266">
                  <c:v>1123.4277979000617</c:v>
                </c:pt>
                <c:pt idx="267">
                  <c:v>1130.9574516784323</c:v>
                </c:pt>
                <c:pt idx="268">
                  <c:v>1138.3600227590732</c:v>
                </c:pt>
                <c:pt idx="269">
                  <c:v>1145.6364609283928</c:v>
                </c:pt>
                <c:pt idx="270">
                  <c:v>1152.7876917529068</c:v>
                </c:pt>
                <c:pt idx="271">
                  <c:v>1159.8146171902167</c:v>
                </c:pt>
                <c:pt idx="272">
                  <c:v>1166.718116177798</c:v>
                </c:pt>
                <c:pt idx="273">
                  <c:v>1173.4990452005156</c:v>
                </c:pt>
                <c:pt idx="274">
                  <c:v>1180.1582388377426</c:v>
                </c:pt>
                <c:pt idx="275">
                  <c:v>1186.6965102909173</c:v>
                </c:pt>
                <c:pt idx="276">
                  <c:v>1193.1146518923319</c:v>
                </c:pt>
                <c:pt idx="277">
                  <c:v>1199.4134355959143</c:v>
                </c:pt>
                <c:pt idx="278">
                  <c:v>1205.5936134507258</c:v>
                </c:pt>
                <c:pt idx="279">
                  <c:v>1211.6559180578704</c:v>
                </c:pt>
                <c:pt idx="280">
                  <c:v>1217.601063011477</c:v>
                </c:pt>
                <c:pt idx="281">
                  <c:v>1223.4297433243896</c:v>
                </c:pt>
                <c:pt idx="282">
                  <c:v>1229.1426358391752</c:v>
                </c:pt>
                <c:pt idx="283">
                  <c:v>1234.7403996250321</c:v>
                </c:pt>
                <c:pt idx="284">
                  <c:v>1240.2236763611609</c:v>
                </c:pt>
                <c:pt idx="285">
                  <c:v>1245.5930907071372</c:v>
                </c:pt>
                <c:pt idx="286">
                  <c:v>1250.8492506608072</c:v>
                </c:pt>
                <c:pt idx="287">
                  <c:v>1255.992747904208</c:v>
                </c:pt>
                <c:pt idx="288">
                  <c:v>1261.0241581379994</c:v>
                </c:pt>
                <c:pt idx="289">
                  <c:v>1265.9440414048775</c:v>
                </c:pt>
                <c:pt idx="290">
                  <c:v>1270.7529424024294</c:v>
                </c:pt>
                <c:pt idx="291">
                  <c:v>1275.451390785875</c:v>
                </c:pt>
                <c:pt idx="292">
                  <c:v>1280.0399014611323</c:v>
                </c:pt>
                <c:pt idx="293">
                  <c:v>1284.5189748686355</c:v>
                </c:pt>
                <c:pt idx="294">
                  <c:v>1288.8890972583281</c:v>
                </c:pt>
                <c:pt idx="295">
                  <c:v>1293.1507409562491</c:v>
                </c:pt>
                <c:pt idx="296">
                  <c:v>1297.3043646231281</c:v>
                </c:pt>
                <c:pt idx="297">
                  <c:v>1301.3504135054029</c:v>
                </c:pt>
                <c:pt idx="298">
                  <c:v>1305.2893196790806</c:v>
                </c:pt>
                <c:pt idx="299">
                  <c:v>1309.1215022868603</c:v>
                </c:pt>
                <c:pt idx="300">
                  <c:v>1312.8473677689501</c:v>
                </c:pt>
                <c:pt idx="301">
                  <c:v>1316.4673100880159</c:v>
                </c:pt>
                <c:pt idx="302">
                  <c:v>1319.9817109487149</c:v>
                </c:pt>
                <c:pt idx="303">
                  <c:v>1323.3909400122852</c:v>
                </c:pt>
                <c:pt idx="304">
                  <c:v>1326.6953551066824</c:v>
                </c:pt>
                <c:pt idx="305">
                  <c:v>1329.8953024327764</c:v>
                </c:pt>
                <c:pt idx="306">
                  <c:v>1332.9911167671578</c:v>
                </c:pt>
                <c:pt idx="307">
                  <c:v>1335.9831216621326</c:v>
                </c:pt>
                <c:pt idx="308">
                  <c:v>1338.871629643525</c:v>
                </c:pt>
                <c:pt idx="309">
                  <c:v>1341.6569424069583</c:v>
                </c:pt>
                <c:pt idx="310">
                  <c:v>1344.3393510133296</c:v>
                </c:pt>
                <c:pt idx="311">
                  <c:v>1346.9191360842628</c:v>
                </c:pt>
                <c:pt idx="312">
                  <c:v>1349.3965679983787</c:v>
                </c:pt>
                <c:pt idx="313">
                  <c:v>1351.7719070893074</c:v>
                </c:pt>
                <c:pt idx="314">
                  <c:v>1354.0454038464384</c:v>
                </c:pt>
                <c:pt idx="315">
                  <c:v>1356.2172991194973</c:v>
                </c:pt>
                <c:pt idx="316">
                  <c:v>1358.287824328128</c:v>
                </c:pt>
                <c:pt idx="317">
                  <c:v>1360.2572016777599</c:v>
                </c:pt>
                <c:pt idx="318">
                  <c:v>1362.1256443831371</c:v>
                </c:pt>
                <c:pt idx="319">
                  <c:v>1363.8933569009889</c:v>
                </c:pt>
                <c:pt idx="320">
                  <c:v>1365.5605351734173</c:v>
                </c:pt>
                <c:pt idx="321">
                  <c:v>1367.127366883662</c:v>
                </c:pt>
                <c:pt idx="322">
                  <c:v>1368.594031725976</c:v>
                </c:pt>
                <c:pt idx="323">
                  <c:v>1369.9607016913917</c:v>
                </c:pt>
                <c:pt idx="324">
                  <c:v>1371.2275413711684</c:v>
                </c:pt>
                <c:pt idx="325">
                  <c:v>1372.3947082796856</c:v>
                </c:pt>
                <c:pt idx="326">
                  <c:v>1373.462353198453</c:v>
                </c:pt>
                <c:pt idx="327">
                  <c:v>1374.4306205427579</c:v>
                </c:pt>
                <c:pt idx="328">
                  <c:v>1375.2996487522273</c:v>
                </c:pt>
                <c:pt idx="329">
                  <c:v>1376.0695707062632</c:v>
                </c:pt>
                <c:pt idx="330">
                  <c:v>1376.740514164881</c:v>
                </c:pt>
                <c:pt idx="331">
                  <c:v>1377.3126022349647</c:v>
                </c:pt>
                <c:pt idx="332">
                  <c:v>1377.7859538613468</c:v>
                </c:pt>
                <c:pt idx="333">
                  <c:v>1378.160684341434</c:v>
                </c:pt>
                <c:pt idx="334">
                  <c:v>1378.4369058613709</c:v>
                </c:pt>
                <c:pt idx="335">
                  <c:v>1378.6147280509867</c:v>
                </c:pt>
                <c:pt idx="336">
                  <c:v>1378.6942585540462</c:v>
                </c:pt>
                <c:pt idx="337">
                  <c:v>1378.6756036096754</c:v>
                </c:pt>
                <c:pt idx="338">
                  <c:v>1378.5588686402957</c:v>
                </c:pt>
                <c:pt idx="339">
                  <c:v>1378.3441588410212</c:v>
                </c:pt>
                <c:pt idx="340">
                  <c:v>1378.031579765274</c:v>
                </c:pt>
                <c:pt idx="341">
                  <c:v>1377.6212379013812</c:v>
                </c:pt>
                <c:pt idx="342">
                  <c:v>1377.1132412351203</c:v>
                </c:pt>
                <c:pt idx="343">
                  <c:v>1376.5076997935741</c:v>
                </c:pt>
                <c:pt idx="344">
                  <c:v>1375.8047261661948</c:v>
                </c:pt>
                <c:pt idx="345">
                  <c:v>1375.0044359996434</c:v>
                </c:pt>
                <c:pt idx="346">
                  <c:v>1374.1069484636939</c:v>
                </c:pt>
                <c:pt idx="347">
                  <c:v>1373.112386686247</c:v>
                </c:pt>
                <c:pt idx="348">
                  <c:v>1372.0208781562283</c:v>
                </c:pt>
                <c:pt idx="349">
                  <c:v>1370.8325550938339</c:v>
                </c:pt>
                <c:pt idx="350">
                  <c:v>1369.547554788187</c:v>
                </c:pt>
                <c:pt idx="351">
                  <c:v>1368.1660199029864</c:v>
                </c:pt>
                <c:pt idx="352">
                  <c:v>1366.6880987511424</c:v>
                </c:pt>
                <c:pt idx="353">
                  <c:v>1365.1139455397163</c:v>
                </c:pt>
                <c:pt idx="354">
                  <c:v>1363.4437205867027</c:v>
                </c:pt>
                <c:pt idx="355">
                  <c:v>1361.6775905113459</c:v>
                </c:pt>
                <c:pt idx="356">
                  <c:v>1359.8157283997532</c:v>
                </c:pt>
                <c:pt idx="357">
                  <c:v>1357.8583139475918</c:v>
                </c:pt>
                <c:pt idx="358">
                  <c:v>1355.8055335816312</c:v>
                </c:pt>
                <c:pt idx="359">
                  <c:v>1353.6575805618347</c:v>
                </c:pt>
                <c:pt idx="360">
                  <c:v>1351.4146550656244</c:v>
                </c:pt>
                <c:pt idx="361">
                  <c:v>1349.0769642558444</c:v>
                </c:pt>
                <c:pt idx="362">
                  <c:v>1346.6447223338478</c:v>
                </c:pt>
                <c:pt idx="363">
                  <c:v>1344.1181505790164</c:v>
                </c:pt>
                <c:pt idx="364">
                  <c:v>1341.4974773759209</c:v>
                </c:pt>
                <c:pt idx="365">
                  <c:v>1338.7829382302175</c:v>
                </c:pt>
                <c:pt idx="366">
                  <c:v>1335.9747757742812</c:v>
                </c:pt>
                <c:pt idx="367">
                  <c:v>1333.0732397634774</c:v>
                </c:pt>
                <c:pt idx="368">
                  <c:v>1330.0785870638895</c:v>
                </c:pt>
                <c:pt idx="369">
                  <c:v>1326.9910816322358</c:v>
                </c:pt>
                <c:pt idx="370">
                  <c:v>1323.8109944886403</c:v>
                </c:pt>
                <c:pt idx="371">
                  <c:v>1320.5386036828513</c:v>
                </c:pt>
                <c:pt idx="372">
                  <c:v>1317.174194254445</c:v>
                </c:pt>
                <c:pt idx="373">
                  <c:v>1313.7180581874952</c:v>
                </c:pt>
                <c:pt idx="374">
                  <c:v>1310.1704943601476</c:v>
                </c:pt>
                <c:pt idx="375">
                  <c:v>1306.5318084894848</c:v>
                </c:pt>
                <c:pt idx="376">
                  <c:v>1302.8023130720426</c:v>
                </c:pt>
                <c:pt idx="377">
                  <c:v>1298.9823273202937</c:v>
                </c:pt>
                <c:pt idx="378">
                  <c:v>1295.0721770953919</c:v>
                </c:pt>
                <c:pt idx="379">
                  <c:v>1291.072194836441</c:v>
                </c:pt>
                <c:pt idx="380">
                  <c:v>1286.9827194865288</c:v>
                </c:pt>
                <c:pt idx="381">
                  <c:v>1282.8040964157485</c:v>
                </c:pt>
                <c:pt idx="382">
                  <c:v>1278.5366773414075</c:v>
                </c:pt>
                <c:pt idx="383">
                  <c:v>1274.1808202456125</c:v>
                </c:pt>
                <c:pt idx="384">
                  <c:v>1269.7368892903996</c:v>
                </c:pt>
                <c:pt idx="385">
                  <c:v>1265.2052547305734</c:v>
                </c:pt>
                <c:pt idx="386">
                  <c:v>1260.586292824398</c:v>
                </c:pt>
                <c:pt idx="387">
                  <c:v>1255.8803857422815</c:v>
                </c:pt>
                <c:pt idx="388">
                  <c:v>1251.0879214735833</c:v>
                </c:pt>
                <c:pt idx="389">
                  <c:v>1246.2092937316645</c:v>
                </c:pt>
                <c:pt idx="390">
                  <c:v>1241.2449018572963</c:v>
                </c:pt>
                <c:pt idx="391">
                  <c:v>1236.1951507205365</c:v>
                </c:pt>
                <c:pt idx="392">
                  <c:v>1231.0604506211741</c:v>
                </c:pt>
                <c:pt idx="393">
                  <c:v>1225.8412171878426</c:v>
                </c:pt>
                <c:pt idx="394">
                  <c:v>1220.5378712758943</c:v>
                </c:pt>
                <c:pt idx="395">
                  <c:v>1215.1508388641246</c:v>
                </c:pt>
                <c:pt idx="396">
                  <c:v>1209.6805509504329</c:v>
                </c:pt>
                <c:pt idx="397">
                  <c:v>1204.1274434465022</c:v>
                </c:pt>
                <c:pt idx="398">
                  <c:v>1198.4919570715767</c:v>
                </c:pt>
                <c:pt idx="399">
                  <c:v>1192.7745372454156</c:v>
                </c:pt>
                <c:pt idx="400">
                  <c:v>1186.9756339804937</c:v>
                </c:pt>
                <c:pt idx="401">
                  <c:v>1181.0957017735263</c:v>
                </c:pt>
                <c:pt idx="402">
                  <c:v>1175.1351994963829</c:v>
                </c:pt>
                <c:pt idx="403">
                  <c:v>1169.0945902864605</c:v>
                </c:pt>
                <c:pt idx="404">
                  <c:v>1162.9743414365821</c:v>
                </c:pt>
                <c:pt idx="405">
                  <c:v>1156.7749242844839</c:v>
                </c:pt>
                <c:pt idx="406">
                  <c:v>1150.496814101954</c:v>
                </c:pt>
                <c:pt idx="407">
                  <c:v>1144.1404899836848</c:v>
                </c:pt>
                <c:pt idx="408">
                  <c:v>1137.7064347358967</c:v>
                </c:pt>
                <c:pt idx="409">
                  <c:v>1131.195134764793</c:v>
                </c:pt>
                <c:pt idx="410">
                  <c:v>1124.6070799649017</c:v>
                </c:pt>
                <c:pt idx="411">
                  <c:v>1117.9427636073603</c:v>
                </c:pt>
                <c:pt idx="412">
                  <c:v>1111.2026822281978</c:v>
                </c:pt>
                <c:pt idx="413">
                  <c:v>1104.3873355166666</c:v>
                </c:pt>
                <c:pt idx="414">
                  <c:v>1097.4972262036761</c:v>
                </c:pt>
                <c:pt idx="415">
                  <c:v>1090.5328599503787</c:v>
                </c:pt>
                <c:pt idx="416">
                  <c:v>1083.4947452369581</c:v>
                </c:pt>
                <c:pt idx="417">
                  <c:v>1076.3833932516677</c:v>
                </c:pt>
                <c:pt idx="418">
                  <c:v>1069.1993177801653</c:v>
                </c:pt>
                <c:pt idx="419">
                  <c:v>1061.9430350951932</c:v>
                </c:pt>
                <c:pt idx="420">
                  <c:v>1054.6150638466449</c:v>
                </c:pt>
                <c:pt idx="421">
                  <c:v>1047.2159249520651</c:v>
                </c:pt>
                <c:pt idx="422">
                  <c:v>1039.7461414876241</c:v>
                </c:pt>
                <c:pt idx="423">
                  <c:v>1032.2062385796098</c:v>
                </c:pt>
                <c:pt idx="424">
                  <c:v>1024.596743296476</c:v>
                </c:pt>
                <c:pt idx="425">
                  <c:v>1016.9181845414884</c:v>
                </c:pt>
                <c:pt idx="426">
                  <c:v>1009.1710929460057</c:v>
                </c:pt>
                <c:pt idx="427">
                  <c:v>1001.3560007634338</c:v>
                </c:pt>
                <c:pt idx="428">
                  <c:v>993.47344176388856</c:v>
                </c:pt>
                <c:pt idx="429">
                  <c:v>985.52395112960335</c:v>
                </c:pt>
                <c:pt idx="430">
                  <c:v>977.50806535111542</c:v>
                </c:pt>
                <c:pt idx="431">
                  <c:v>969.42632212426395</c:v>
                </c:pt>
                <c:pt idx="432">
                  <c:v>961.27926024803173</c:v>
                </c:pt>
                <c:pt idx="433">
                  <c:v>953.06741952326252</c:v>
                </c:pt>
                <c:pt idx="434">
                  <c:v>944.79134065228288</c:v>
                </c:pt>
                <c:pt idx="435">
                  <c:v>936.45156513945813</c:v>
                </c:pt>
                <c:pt idx="436">
                  <c:v>928.04863519271055</c:v>
                </c:pt>
                <c:pt idx="437">
                  <c:v>919.58309362602586</c:v>
                </c:pt>
                <c:pt idx="438">
                  <c:v>911.05548376297486</c:v>
                </c:pt>
                <c:pt idx="439">
                  <c:v>902.46634934127428</c:v>
                </c:pt>
                <c:pt idx="440">
                  <c:v>893.81623441841111</c:v>
                </c:pt>
                <c:pt idx="441">
                  <c:v>885.10568327835301</c:v>
                </c:pt>
                <c:pt idx="442">
                  <c:v>876.33524033936635</c:v>
                </c:pt>
                <c:pt idx="443">
                  <c:v>867.50545006296329</c:v>
                </c:pt>
                <c:pt idx="444">
                  <c:v>858.61685686399699</c:v>
                </c:pt>
                <c:pt idx="445">
                  <c:v>849.67000502192411</c:v>
                </c:pt>
                <c:pt idx="446">
                  <c:v>840.66543859325247</c:v>
                </c:pt>
                <c:pt idx="447">
                  <c:v>831.60370132519017</c:v>
                </c:pt>
                <c:pt idx="448">
                  <c:v>822.4853365705128</c:v>
                </c:pt>
                <c:pt idx="449">
                  <c:v>813.31088720366313</c:v>
                </c:pt>
                <c:pt idx="450">
                  <c:v>804.08089553809702</c:v>
                </c:pt>
                <c:pt idx="451">
                  <c:v>794.7959032448897</c:v>
                </c:pt>
                <c:pt idx="452">
                  <c:v>785.45645127261309</c:v>
                </c:pt>
                <c:pt idx="453">
                  <c:v>776.06307976849632</c:v>
                </c:pt>
                <c:pt idx="454">
                  <c:v>766.61632800087943</c:v>
                </c:pt>
                <c:pt idx="455">
                  <c:v>757.11673428296956</c:v>
                </c:pt>
                <c:pt idx="456">
                  <c:v>747.56483589790867</c:v>
                </c:pt>
                <c:pt idx="457">
                  <c:v>737.96116902515973</c:v>
                </c:pt>
                <c:pt idx="458">
                  <c:v>728.3062686682191</c:v>
                </c:pt>
                <c:pt idx="459">
                  <c:v>718.60066858365985</c:v>
                </c:pt>
                <c:pt idx="460">
                  <c:v>708.84490121151271</c:v>
                </c:pt>
                <c:pt idx="461">
                  <c:v>699.03949760698754</c:v>
                </c:pt>
                <c:pt idx="462">
                  <c:v>689.18498737354071</c:v>
                </c:pt>
                <c:pt idx="463">
                  <c:v>679.28189859728877</c:v>
                </c:pt>
                <c:pt idx="464">
                  <c:v>669.33075778277293</c:v>
                </c:pt>
                <c:pt idx="465">
                  <c:v>659.33208979007418</c:v>
                </c:pt>
                <c:pt idx="466">
                  <c:v>649.28641777327982</c:v>
                </c:pt>
                <c:pt idx="467">
                  <c:v>639.1942631203018</c:v>
                </c:pt>
                <c:pt idx="468">
                  <c:v>629.05614539404553</c:v>
                </c:pt>
                <c:pt idx="469">
                  <c:v>618.87258227492794</c:v>
                </c:pt>
                <c:pt idx="470">
                  <c:v>608.64408950474251</c:v>
                </c:pt>
                <c:pt idx="471">
                  <c:v>598.37118083186863</c:v>
                </c:pt>
                <c:pt idx="472">
                  <c:v>588.05436795782134</c:v>
                </c:pt>
                <c:pt idx="473">
                  <c:v>577.69416048513824</c:v>
                </c:pt>
                <c:pt idx="474">
                  <c:v>567.29106586659827</c:v>
                </c:pt>
                <c:pt idx="475">
                  <c:v>556.84558935576729</c:v>
                </c:pt>
                <c:pt idx="476">
                  <c:v>546.35823395886462</c:v>
                </c:pt>
                <c:pt idx="477">
                  <c:v>535.82950038794479</c:v>
                </c:pt>
                <c:pt idx="478">
                  <c:v>525.25988701538665</c:v>
                </c:pt>
                <c:pt idx="479">
                  <c:v>514.64988982968316</c:v>
                </c:pt>
                <c:pt idx="480">
                  <c:v>504.00000239252415</c:v>
                </c:pt>
                <c:pt idx="481">
                  <c:v>493.3107157971628</c:v>
                </c:pt>
                <c:pt idx="482">
                  <c:v>482.58251862805832</c:v>
                </c:pt>
                <c:pt idx="483">
                  <c:v>471.81589692178449</c:v>
                </c:pt>
                <c:pt idx="484">
                  <c:v>461.01133412919495</c:v>
                </c:pt>
                <c:pt idx="485">
                  <c:v>450.16931107883505</c:v>
                </c:pt>
                <c:pt idx="486">
                  <c:v>439.29030594158996</c:v>
                </c:pt>
                <c:pt idx="487">
                  <c:v>428.37479419655767</c:v>
                </c:pt>
                <c:pt idx="488">
                  <c:v>417.42324859813641</c:v>
                </c:pt>
                <c:pt idx="489">
                  <c:v>406.43613914431438</c:v>
                </c:pt>
                <c:pt idx="490">
                  <c:v>395.41393304615013</c:v>
                </c:pt>
                <c:pt idx="491">
                  <c:v>384.35709469843147</c:v>
                </c:pt>
                <c:pt idx="492">
                  <c:v>373.26608565150013</c:v>
                </c:pt>
                <c:pt idx="493">
                  <c:v>362.14136458422973</c:v>
                </c:pt>
                <c:pt idx="494">
                  <c:v>350.98338727814388</c:v>
                </c:pt>
                <c:pt idx="495">
                  <c:v>339.792606592661</c:v>
                </c:pt>
                <c:pt idx="496">
                  <c:v>328.56947244145266</c:v>
                </c:pt>
                <c:pt idx="497">
                  <c:v>317.31443176990132</c:v>
                </c:pt>
                <c:pt idx="498">
                  <c:v>306.02792853364349</c:v>
                </c:pt>
                <c:pt idx="499">
                  <c:v>294.71040367818483</c:v>
                </c:pt>
                <c:pt idx="500">
                  <c:v>283.36229511957185</c:v>
                </c:pt>
                <c:pt idx="501">
                  <c:v>271.98403772610629</c:v>
                </c:pt>
                <c:pt idx="502">
                  <c:v>260.57606330108763</c:v>
                </c:pt>
                <c:pt idx="503">
                  <c:v>249.13880056656848</c:v>
                </c:pt>
                <c:pt idx="504">
                  <c:v>237.67267514810825</c:v>
                </c:pt>
                <c:pt idx="505">
                  <c:v>226.17810956050997</c:v>
                </c:pt>
                <c:pt idx="506">
                  <c:v>214.65552319452487</c:v>
                </c:pt>
                <c:pt idx="507">
                  <c:v>203.10533230450991</c:v>
                </c:pt>
                <c:pt idx="508">
                  <c:v>191.52794999702257</c:v>
                </c:pt>
                <c:pt idx="509">
                  <c:v>179.92378622033755</c:v>
                </c:pt>
                <c:pt idx="510">
                  <c:v>168.29324775487009</c:v>
                </c:pt>
                <c:pt idx="511">
                  <c:v>156.63673820449023</c:v>
                </c:pt>
                <c:pt idx="512">
                  <c:v>144.95465798871246</c:v>
                </c:pt>
                <c:pt idx="513">
                  <c:v>133.24740433574539</c:v>
                </c:pt>
                <c:pt idx="514">
                  <c:v>121.51537127638554</c:v>
                </c:pt>
                <c:pt idx="515">
                  <c:v>109.75894963873985</c:v>
                </c:pt>
                <c:pt idx="516">
                  <c:v>97.978527043761261</c:v>
                </c:pt>
                <c:pt idx="517">
                  <c:v>86.174487901581813</c:v>
                </c:pt>
                <c:pt idx="518">
                  <c:v>74.347213408627553</c:v>
                </c:pt>
                <c:pt idx="519">
                  <c:v>62.497081545499888</c:v>
                </c:pt>
                <c:pt idx="520">
                  <c:v>50.62446707560774</c:v>
                </c:pt>
                <c:pt idx="521">
                  <c:v>38.729741544535074</c:v>
                </c:pt>
                <c:pt idx="522">
                  <c:v>26.813273280128442</c:v>
                </c:pt>
                <c:pt idx="523">
                  <c:v>14.875427393289083</c:v>
                </c:pt>
                <c:pt idx="524">
                  <c:v>2.9165657794543893</c:v>
                </c:pt>
                <c:pt idx="525">
                  <c:v>-9.0629528792465539</c:v>
                </c:pt>
                <c:pt idx="526">
                  <c:v>-9.0749426472209826</c:v>
                </c:pt>
                <c:pt idx="527">
                  <c:v>-9.086932435319877</c:v>
                </c:pt>
                <c:pt idx="528">
                  <c:v>-9.0989222435428854</c:v>
                </c:pt>
                <c:pt idx="529">
                  <c:v>-9.1109120718896595</c:v>
                </c:pt>
                <c:pt idx="530">
                  <c:v>-9.1229019203598476</c:v>
                </c:pt>
                <c:pt idx="531">
                  <c:v>-9.1348917889530998</c:v>
                </c:pt>
                <c:pt idx="532">
                  <c:v>-9.146881677669068</c:v>
                </c:pt>
                <c:pt idx="533">
                  <c:v>-9.1588715865074004</c:v>
                </c:pt>
                <c:pt idx="534">
                  <c:v>-9.1708615154677471</c:v>
                </c:pt>
                <c:pt idx="535">
                  <c:v>-9.1828514645497599</c:v>
                </c:pt>
                <c:pt idx="536">
                  <c:v>-9.194841433753087</c:v>
                </c:pt>
                <c:pt idx="537">
                  <c:v>-9.2068314230773787</c:v>
                </c:pt>
                <c:pt idx="538">
                  <c:v>-9.2188214325222866</c:v>
                </c:pt>
                <c:pt idx="539">
                  <c:v>-9.2308114620874591</c:v>
                </c:pt>
                <c:pt idx="540">
                  <c:v>-9.2428015117725462</c:v>
                </c:pt>
                <c:pt idx="541">
                  <c:v>-9.2547915815771979</c:v>
                </c:pt>
                <c:pt idx="542">
                  <c:v>-9.2667816715010662</c:v>
                </c:pt>
                <c:pt idx="543">
                  <c:v>-9.2787717815437993</c:v>
                </c:pt>
                <c:pt idx="544">
                  <c:v>-9.2907619117050473</c:v>
                </c:pt>
                <c:pt idx="545">
                  <c:v>-9.3027520619844601</c:v>
                </c:pt>
                <c:pt idx="546">
                  <c:v>-9.3147422323816897</c:v>
                </c:pt>
                <c:pt idx="547">
                  <c:v>-9.3267324228963844</c:v>
                </c:pt>
                <c:pt idx="548">
                  <c:v>-9.3387226335281941</c:v>
                </c:pt>
                <c:pt idx="549">
                  <c:v>-9.350712864276769</c:v>
                </c:pt>
                <c:pt idx="550">
                  <c:v>-9.3627031151417608</c:v>
                </c:pt>
                <c:pt idx="551">
                  <c:v>-9.3746933861228179</c:v>
                </c:pt>
                <c:pt idx="552">
                  <c:v>-9.3866836772195921</c:v>
                </c:pt>
                <c:pt idx="553">
                  <c:v>-9.3986739884317316</c:v>
                </c:pt>
                <c:pt idx="554">
                  <c:v>-9.4106643197588866</c:v>
                </c:pt>
                <c:pt idx="555">
                  <c:v>-9.4226546712007089</c:v>
                </c:pt>
                <c:pt idx="556">
                  <c:v>-9.4346450427568467</c:v>
                </c:pt>
                <c:pt idx="557">
                  <c:v>-9.4466354344269519</c:v>
                </c:pt>
                <c:pt idx="558">
                  <c:v>-9.4586258462106727</c:v>
                </c:pt>
                <c:pt idx="559">
                  <c:v>-9.470616278107661</c:v>
                </c:pt>
                <c:pt idx="560">
                  <c:v>-9.4826067301175652</c:v>
                </c:pt>
                <c:pt idx="561">
                  <c:v>-9.4945972022400369</c:v>
                </c:pt>
                <c:pt idx="562">
                  <c:v>-9.5065876944747245</c:v>
                </c:pt>
                <c:pt idx="563">
                  <c:v>-9.5185782068212799</c:v>
                </c:pt>
                <c:pt idx="564">
                  <c:v>-9.530568739279353</c:v>
                </c:pt>
                <c:pt idx="565">
                  <c:v>-9.542559291848594</c:v>
                </c:pt>
                <c:pt idx="566">
                  <c:v>-9.5545498645286511</c:v>
                </c:pt>
                <c:pt idx="567">
                  <c:v>-9.5665404573191761</c:v>
                </c:pt>
                <c:pt idx="568">
                  <c:v>-9.5785310702198192</c:v>
                </c:pt>
                <c:pt idx="569">
                  <c:v>-9.5905217032302303</c:v>
                </c:pt>
                <c:pt idx="570">
                  <c:v>-9.6025123563500596</c:v>
                </c:pt>
                <c:pt idx="571">
                  <c:v>-9.6145030295789571</c:v>
                </c:pt>
                <c:pt idx="572">
                  <c:v>-9.6264937229165728</c:v>
                </c:pt>
                <c:pt idx="573">
                  <c:v>-9.6384844363625568</c:v>
                </c:pt>
                <c:pt idx="574">
                  <c:v>-9.650475169916561</c:v>
                </c:pt>
                <c:pt idx="575">
                  <c:v>-9.6624659235782335</c:v>
                </c:pt>
                <c:pt idx="576">
                  <c:v>-9.6744566973472246</c:v>
                </c:pt>
                <c:pt idx="577">
                  <c:v>-9.6864474912231859</c:v>
                </c:pt>
                <c:pt idx="578">
                  <c:v>-9.6984383052057659</c:v>
                </c:pt>
                <c:pt idx="579">
                  <c:v>-9.7104291392946163</c:v>
                </c:pt>
                <c:pt idx="580">
                  <c:v>-9.7224199934893853</c:v>
                </c:pt>
                <c:pt idx="581">
                  <c:v>-9.734410867789725</c:v>
                </c:pt>
                <c:pt idx="582">
                  <c:v>-9.7464017621952852</c:v>
                </c:pt>
                <c:pt idx="583">
                  <c:v>-9.7583926767057143</c:v>
                </c:pt>
                <c:pt idx="584">
                  <c:v>-9.7703836113206641</c:v>
                </c:pt>
                <c:pt idx="585">
                  <c:v>-9.7823745660397847</c:v>
                </c:pt>
                <c:pt idx="586">
                  <c:v>-9.7943655408627261</c:v>
                </c:pt>
                <c:pt idx="587">
                  <c:v>-9.8063565357891385</c:v>
                </c:pt>
                <c:pt idx="588">
                  <c:v>-9.8183475508186735</c:v>
                </c:pt>
                <c:pt idx="589">
                  <c:v>-9.8303385859509795</c:v>
                </c:pt>
                <c:pt idx="590">
                  <c:v>-9.8423296411857066</c:v>
                </c:pt>
                <c:pt idx="591">
                  <c:v>-9.8543207165225066</c:v>
                </c:pt>
                <c:pt idx="592">
                  <c:v>-9.8663118119610278</c:v>
                </c:pt>
                <c:pt idx="593">
                  <c:v>-9.878302927500922</c:v>
                </c:pt>
                <c:pt idx="594">
                  <c:v>-9.8902940631418392</c:v>
                </c:pt>
                <c:pt idx="595">
                  <c:v>-9.9022852188834278</c:v>
                </c:pt>
                <c:pt idx="596">
                  <c:v>-9.9142763947253396</c:v>
                </c:pt>
                <c:pt idx="597">
                  <c:v>-9.9262675906672246</c:v>
                </c:pt>
                <c:pt idx="598">
                  <c:v>-9.9382588067087347</c:v>
                </c:pt>
                <c:pt idx="599">
                  <c:v>-9.9502500428495182</c:v>
                </c:pt>
                <c:pt idx="600">
                  <c:v>-9.9622412990892251</c:v>
                </c:pt>
                <c:pt idx="601">
                  <c:v>-9.9742325754275072</c:v>
                </c:pt>
                <c:pt idx="602">
                  <c:v>-9.9862238718640128</c:v>
                </c:pt>
                <c:pt idx="603">
                  <c:v>-9.9982151883983938</c:v>
                </c:pt>
                <c:pt idx="604">
                  <c:v>-10.010206525030299</c:v>
                </c:pt>
                <c:pt idx="605">
                  <c:v>-10.022197881759379</c:v>
                </c:pt>
                <c:pt idx="606">
                  <c:v>-10.034189258585284</c:v>
                </c:pt>
                <c:pt idx="607">
                  <c:v>-10.046180655507666</c:v>
                </c:pt>
                <c:pt idx="608">
                  <c:v>-10.058172072526174</c:v>
                </c:pt>
                <c:pt idx="609">
                  <c:v>-10.070163509640459</c:v>
                </c:pt>
                <c:pt idx="610">
                  <c:v>-10.082154966850169</c:v>
                </c:pt>
                <c:pt idx="611">
                  <c:v>-10.094146444154957</c:v>
                </c:pt>
                <c:pt idx="612">
                  <c:v>-10.106137941554472</c:v>
                </c:pt>
                <c:pt idx="613">
                  <c:v>-10.118129459048365</c:v>
                </c:pt>
                <c:pt idx="614">
                  <c:v>-10.130120996636286</c:v>
                </c:pt>
                <c:pt idx="615">
                  <c:v>-10.142112554317885</c:v>
                </c:pt>
                <c:pt idx="616">
                  <c:v>-10.154104132092812</c:v>
                </c:pt>
                <c:pt idx="617">
                  <c:v>-10.166095729960716</c:v>
                </c:pt>
                <c:pt idx="618">
                  <c:v>-10.178087347921251</c:v>
                </c:pt>
                <c:pt idx="619">
                  <c:v>-10.190078985974063</c:v>
                </c:pt>
                <c:pt idx="620">
                  <c:v>-10.202070644118805</c:v>
                </c:pt>
                <c:pt idx="621">
                  <c:v>-10.214062322355128</c:v>
                </c:pt>
                <c:pt idx="622">
                  <c:v>-10.22605402068268</c:v>
                </c:pt>
                <c:pt idx="623">
                  <c:v>-10.238045739101112</c:v>
                </c:pt>
                <c:pt idx="624">
                  <c:v>-10.250037477610077</c:v>
                </c:pt>
                <c:pt idx="625">
                  <c:v>-10.262029236209221</c:v>
                </c:pt>
                <c:pt idx="626">
                  <c:v>-10.274021014898198</c:v>
                </c:pt>
                <c:pt idx="627">
                  <c:v>-10.286012813676656</c:v>
                </c:pt>
                <c:pt idx="628">
                  <c:v>-10.298004632544247</c:v>
                </c:pt>
                <c:pt idx="629">
                  <c:v>-10.30999647150062</c:v>
                </c:pt>
                <c:pt idx="630">
                  <c:v>-10.321988330545425</c:v>
                </c:pt>
                <c:pt idx="631">
                  <c:v>-10.333980209678314</c:v>
                </c:pt>
                <c:pt idx="632">
                  <c:v>-10.345972108898936</c:v>
                </c:pt>
                <c:pt idx="633">
                  <c:v>-10.357964028206942</c:v>
                </c:pt>
                <c:pt idx="634">
                  <c:v>-10.369955967601982</c:v>
                </c:pt>
                <c:pt idx="635">
                  <c:v>-10.381947927083706</c:v>
                </c:pt>
                <c:pt idx="636">
                  <c:v>-10.393939906651765</c:v>
                </c:pt>
                <c:pt idx="637">
                  <c:v>-10.40593190630581</c:v>
                </c:pt>
                <c:pt idx="638">
                  <c:v>-10.417923926045489</c:v>
                </c:pt>
                <c:pt idx="639">
                  <c:v>-10.429915965870455</c:v>
                </c:pt>
                <c:pt idx="640">
                  <c:v>-10.441908025780357</c:v>
                </c:pt>
                <c:pt idx="641">
                  <c:v>-10.453900105774846</c:v>
                </c:pt>
                <c:pt idx="642">
                  <c:v>-10.465892205853571</c:v>
                </c:pt>
                <c:pt idx="643">
                  <c:v>-10.477884326016184</c:v>
                </c:pt>
                <c:pt idx="644">
                  <c:v>-10.489876466262336</c:v>
                </c:pt>
                <c:pt idx="645">
                  <c:v>-10.501868626591675</c:v>
                </c:pt>
                <c:pt idx="646">
                  <c:v>-10.513860807003852</c:v>
                </c:pt>
                <c:pt idx="647">
                  <c:v>-10.525853007498519</c:v>
                </c:pt>
                <c:pt idx="648">
                  <c:v>-10.537845228075325</c:v>
                </c:pt>
                <c:pt idx="649">
                  <c:v>-10.549837468733921</c:v>
                </c:pt>
                <c:pt idx="650">
                  <c:v>-10.561829729473956</c:v>
                </c:pt>
                <c:pt idx="651">
                  <c:v>-10.573822010295082</c:v>
                </c:pt>
                <c:pt idx="652">
                  <c:v>-10.58581431119695</c:v>
                </c:pt>
                <c:pt idx="653">
                  <c:v>-10.597806632179209</c:v>
                </c:pt>
                <c:pt idx="654">
                  <c:v>-10.60979897324151</c:v>
                </c:pt>
                <c:pt idx="655">
                  <c:v>-10.621791334383502</c:v>
                </c:pt>
                <c:pt idx="656">
                  <c:v>-10.633783715604837</c:v>
                </c:pt>
                <c:pt idx="657">
                  <c:v>-10.645776116905166</c:v>
                </c:pt>
                <c:pt idx="658">
                  <c:v>-10.657768538284138</c:v>
                </c:pt>
                <c:pt idx="659">
                  <c:v>-10.669760979741405</c:v>
                </c:pt>
                <c:pt idx="660">
                  <c:v>-10.681753441276614</c:v>
                </c:pt>
                <c:pt idx="661">
                  <c:v>-10.69374592288942</c:v>
                </c:pt>
                <c:pt idx="662">
                  <c:v>-10.70573842457947</c:v>
                </c:pt>
                <c:pt idx="663">
                  <c:v>-10.717730946346416</c:v>
                </c:pt>
                <c:pt idx="664">
                  <c:v>-10.729723488189908</c:v>
                </c:pt>
                <c:pt idx="665">
                  <c:v>-10.741716050109597</c:v>
                </c:pt>
                <c:pt idx="666">
                  <c:v>-10.753708632105132</c:v>
                </c:pt>
                <c:pt idx="667">
                  <c:v>-10.765701234176165</c:v>
                </c:pt>
                <c:pt idx="668">
                  <c:v>-10.777693856322346</c:v>
                </c:pt>
                <c:pt idx="669">
                  <c:v>-10.789686498543325</c:v>
                </c:pt>
                <c:pt idx="670">
                  <c:v>-10.801679160838754</c:v>
                </c:pt>
                <c:pt idx="671">
                  <c:v>-10.813671843208281</c:v>
                </c:pt>
                <c:pt idx="672">
                  <c:v>-10.825664545651559</c:v>
                </c:pt>
                <c:pt idx="673">
                  <c:v>-10.837657268168236</c:v>
                </c:pt>
                <c:pt idx="674">
                  <c:v>-10.849650010757964</c:v>
                </c:pt>
                <c:pt idx="675">
                  <c:v>-10.861642773420392</c:v>
                </c:pt>
                <c:pt idx="676">
                  <c:v>-10.873635556155174</c:v>
                </c:pt>
                <c:pt idx="677">
                  <c:v>-10.885628358961958</c:v>
                </c:pt>
                <c:pt idx="678">
                  <c:v>-10.897621181840393</c:v>
                </c:pt>
                <c:pt idx="679">
                  <c:v>-10.909614024790132</c:v>
                </c:pt>
                <c:pt idx="680">
                  <c:v>-10.921606887810825</c:v>
                </c:pt>
                <c:pt idx="681">
                  <c:v>-10.933599770902122</c:v>
                </c:pt>
                <c:pt idx="682">
                  <c:v>-10.945592674063674</c:v>
                </c:pt>
                <c:pt idx="683">
                  <c:v>-10.957585597295131</c:v>
                </c:pt>
                <c:pt idx="684">
                  <c:v>-10.969578540596142</c:v>
                </c:pt>
                <c:pt idx="685">
                  <c:v>-10.981571503966361</c:v>
                </c:pt>
                <c:pt idx="686">
                  <c:v>-10.993564487405436</c:v>
                </c:pt>
                <c:pt idx="687">
                  <c:v>-11.005557490913018</c:v>
                </c:pt>
                <c:pt idx="688">
                  <c:v>-11.017550514488759</c:v>
                </c:pt>
                <c:pt idx="689">
                  <c:v>-11.029543558132307</c:v>
                </c:pt>
                <c:pt idx="690">
                  <c:v>-11.041536621843314</c:v>
                </c:pt>
                <c:pt idx="691">
                  <c:v>-11.053529705621429</c:v>
                </c:pt>
                <c:pt idx="692">
                  <c:v>-11.065522809466305</c:v>
                </c:pt>
                <c:pt idx="693">
                  <c:v>-11.077515933377592</c:v>
                </c:pt>
                <c:pt idx="694">
                  <c:v>-11.08950907735494</c:v>
                </c:pt>
                <c:pt idx="695">
                  <c:v>-11.101502241397998</c:v>
                </c:pt>
                <c:pt idx="696">
                  <c:v>-11.11349542550642</c:v>
                </c:pt>
                <c:pt idx="697">
                  <c:v>-11.125488629679854</c:v>
                </c:pt>
                <c:pt idx="698">
                  <c:v>-11.137481853917951</c:v>
                </c:pt>
                <c:pt idx="699">
                  <c:v>-11.149475098220361</c:v>
                </c:pt>
                <c:pt idx="700">
                  <c:v>-11.161468362586735</c:v>
                </c:pt>
                <c:pt idx="701">
                  <c:v>-11.173461647016724</c:v>
                </c:pt>
                <c:pt idx="702">
                  <c:v>-11.185454951509978</c:v>
                </c:pt>
                <c:pt idx="703">
                  <c:v>-11.197448276066149</c:v>
                </c:pt>
                <c:pt idx="704">
                  <c:v>-11.209441620684887</c:v>
                </c:pt>
                <c:pt idx="705">
                  <c:v>-11.221434985365841</c:v>
                </c:pt>
                <c:pt idx="706">
                  <c:v>-11.233428370108662</c:v>
                </c:pt>
                <c:pt idx="707">
                  <c:v>-11.245421774913002</c:v>
                </c:pt>
                <c:pt idx="708">
                  <c:v>-11.25741519977851</c:v>
                </c:pt>
                <c:pt idx="709">
                  <c:v>-11.269408644704839</c:v>
                </c:pt>
                <c:pt idx="710">
                  <c:v>-11.281402109691637</c:v>
                </c:pt>
                <c:pt idx="711">
                  <c:v>-11.293395594738556</c:v>
                </c:pt>
                <c:pt idx="712">
                  <c:v>-11.305389099845245</c:v>
                </c:pt>
                <c:pt idx="713">
                  <c:v>-11.317382625011357</c:v>
                </c:pt>
                <c:pt idx="714">
                  <c:v>-11.329376170236541</c:v>
                </c:pt>
                <c:pt idx="715">
                  <c:v>-11.341369735520448</c:v>
                </c:pt>
                <c:pt idx="716">
                  <c:v>-11.353363320862728</c:v>
                </c:pt>
                <c:pt idx="717">
                  <c:v>-11.365356926263033</c:v>
                </c:pt>
                <c:pt idx="718">
                  <c:v>-11.377350551721012</c:v>
                </c:pt>
                <c:pt idx="719">
                  <c:v>-11.389344197236317</c:v>
                </c:pt>
                <c:pt idx="720">
                  <c:v>-11.4013378628086</c:v>
                </c:pt>
                <c:pt idx="721">
                  <c:v>-11.413331548437508</c:v>
                </c:pt>
                <c:pt idx="722">
                  <c:v>-11.425325254122694</c:v>
                </c:pt>
                <c:pt idx="723">
                  <c:v>-11.437318979863807</c:v>
                </c:pt>
                <c:pt idx="724">
                  <c:v>-11.4493127256605</c:v>
                </c:pt>
                <c:pt idx="725">
                  <c:v>-11.461306491512421</c:v>
                </c:pt>
                <c:pt idx="726">
                  <c:v>-11.473300277419222</c:v>
                </c:pt>
                <c:pt idx="727">
                  <c:v>-11.485294083380554</c:v>
                </c:pt>
                <c:pt idx="728">
                  <c:v>-11.497287909396066</c:v>
                </c:pt>
                <c:pt idx="729">
                  <c:v>-11.509281755465411</c:v>
                </c:pt>
                <c:pt idx="730">
                  <c:v>-11.521275621588238</c:v>
                </c:pt>
                <c:pt idx="731">
                  <c:v>-11.533269507764198</c:v>
                </c:pt>
                <c:pt idx="732">
                  <c:v>-11.545263413992942</c:v>
                </c:pt>
                <c:pt idx="733">
                  <c:v>-11.55725734027412</c:v>
                </c:pt>
                <c:pt idx="734">
                  <c:v>-11.569251286607383</c:v>
                </c:pt>
                <c:pt idx="735">
                  <c:v>-11.581245252992382</c:v>
                </c:pt>
                <c:pt idx="736">
                  <c:v>-11.593239239428767</c:v>
                </c:pt>
                <c:pt idx="737">
                  <c:v>-11.605233245916191</c:v>
                </c:pt>
                <c:pt idx="738">
                  <c:v>-11.617227272454301</c:v>
                </c:pt>
                <c:pt idx="739">
                  <c:v>-11.629221319042751</c:v>
                </c:pt>
                <c:pt idx="740">
                  <c:v>-11.641215385681189</c:v>
                </c:pt>
                <c:pt idx="741">
                  <c:v>-11.653209472369268</c:v>
                </c:pt>
                <c:pt idx="742">
                  <c:v>-11.665203579106636</c:v>
                </c:pt>
                <c:pt idx="743">
                  <c:v>-11.677197705892947</c:v>
                </c:pt>
                <c:pt idx="744">
                  <c:v>-11.689191852727848</c:v>
                </c:pt>
                <c:pt idx="745">
                  <c:v>-11.701186019610994</c:v>
                </c:pt>
                <c:pt idx="746">
                  <c:v>-11.713180206542031</c:v>
                </c:pt>
                <c:pt idx="747">
                  <c:v>-11.725174413520612</c:v>
                </c:pt>
                <c:pt idx="748">
                  <c:v>-11.73716864054639</c:v>
                </c:pt>
                <c:pt idx="749">
                  <c:v>-11.749162887619013</c:v>
                </c:pt>
                <c:pt idx="750">
                  <c:v>-11.761157154738132</c:v>
                </c:pt>
                <c:pt idx="751">
                  <c:v>-11.773151441903398</c:v>
                </c:pt>
                <c:pt idx="752">
                  <c:v>-11.785145749114461</c:v>
                </c:pt>
                <c:pt idx="753">
                  <c:v>-11.797140076370972</c:v>
                </c:pt>
                <c:pt idx="754">
                  <c:v>-11.809134423672583</c:v>
                </c:pt>
                <c:pt idx="755">
                  <c:v>-11.821128791018944</c:v>
                </c:pt>
                <c:pt idx="756">
                  <c:v>-11.833123178409705</c:v>
                </c:pt>
                <c:pt idx="757">
                  <c:v>-11.845117585844518</c:v>
                </c:pt>
                <c:pt idx="758">
                  <c:v>-11.857112013323032</c:v>
                </c:pt>
                <c:pt idx="759">
                  <c:v>-11.8691064608449</c:v>
                </c:pt>
                <c:pt idx="760">
                  <c:v>-11.881100928409772</c:v>
                </c:pt>
                <c:pt idx="761">
                  <c:v>-11.893095416017298</c:v>
                </c:pt>
                <c:pt idx="762">
                  <c:v>-11.905089923667129</c:v>
                </c:pt>
                <c:pt idx="763">
                  <c:v>-11.917084451358916</c:v>
                </c:pt>
                <c:pt idx="764">
                  <c:v>-11.929078999092308</c:v>
                </c:pt>
                <c:pt idx="765">
                  <c:v>-11.941073566866958</c:v>
                </c:pt>
                <c:pt idx="766">
                  <c:v>-11.953068154682516</c:v>
                </c:pt>
                <c:pt idx="767">
                  <c:v>-11.965062762538633</c:v>
                </c:pt>
                <c:pt idx="768">
                  <c:v>-11.977057390434959</c:v>
                </c:pt>
                <c:pt idx="769">
                  <c:v>-11.989052038371147</c:v>
                </c:pt>
                <c:pt idx="770">
                  <c:v>-12.001046706346846</c:v>
                </c:pt>
                <c:pt idx="771">
                  <c:v>-12.013041394361707</c:v>
                </c:pt>
                <c:pt idx="772">
                  <c:v>-12.025036102415381</c:v>
                </c:pt>
                <c:pt idx="773">
                  <c:v>-12.037030830507518</c:v>
                </c:pt>
                <c:pt idx="774">
                  <c:v>-12.049025578637769</c:v>
                </c:pt>
                <c:pt idx="775">
                  <c:v>-12.061020346805785</c:v>
                </c:pt>
                <c:pt idx="776">
                  <c:v>-12.073015135011218</c:v>
                </c:pt>
                <c:pt idx="777">
                  <c:v>-12.085009943253718</c:v>
                </c:pt>
                <c:pt idx="778">
                  <c:v>-12.097004771532935</c:v>
                </c:pt>
                <c:pt idx="779">
                  <c:v>-12.108999619848522</c:v>
                </c:pt>
                <c:pt idx="780">
                  <c:v>-12.120994488200127</c:v>
                </c:pt>
                <c:pt idx="781">
                  <c:v>-12.132989376587402</c:v>
                </c:pt>
                <c:pt idx="782">
                  <c:v>-12.144984285009997</c:v>
                </c:pt>
                <c:pt idx="783">
                  <c:v>-12.156979213467563</c:v>
                </c:pt>
                <c:pt idx="784">
                  <c:v>-12.168974161959753</c:v>
                </c:pt>
                <c:pt idx="785">
                  <c:v>-12.180969130486215</c:v>
                </c:pt>
                <c:pt idx="786">
                  <c:v>-12.192964119046602</c:v>
                </c:pt>
                <c:pt idx="787">
                  <c:v>-12.204959127640564</c:v>
                </c:pt>
                <c:pt idx="788">
                  <c:v>-12.216954156267752</c:v>
                </c:pt>
                <c:pt idx="789">
                  <c:v>-12.228949204927817</c:v>
                </c:pt>
                <c:pt idx="790">
                  <c:v>-12.240944273620409</c:v>
                </c:pt>
                <c:pt idx="791">
                  <c:v>-12.252939362345179</c:v>
                </c:pt>
                <c:pt idx="792">
                  <c:v>-12.264934471101778</c:v>
                </c:pt>
                <c:pt idx="793">
                  <c:v>-12.276929599889858</c:v>
                </c:pt>
                <c:pt idx="794">
                  <c:v>-12.288924748709068</c:v>
                </c:pt>
                <c:pt idx="795">
                  <c:v>-12.30091991755906</c:v>
                </c:pt>
                <c:pt idx="796">
                  <c:v>-12.312915106439485</c:v>
                </c:pt>
                <c:pt idx="797">
                  <c:v>-12.324910315349994</c:v>
                </c:pt>
                <c:pt idx="798">
                  <c:v>-12.336905544290238</c:v>
                </c:pt>
                <c:pt idx="799">
                  <c:v>-12.348900793259865</c:v>
                </c:pt>
                <c:pt idx="800">
                  <c:v>-12.360896062258529</c:v>
                </c:pt>
                <c:pt idx="801">
                  <c:v>-12.372891351285881</c:v>
                </c:pt>
                <c:pt idx="802">
                  <c:v>-12.384886660341571</c:v>
                </c:pt>
                <c:pt idx="803">
                  <c:v>-12.39688198942525</c:v>
                </c:pt>
                <c:pt idx="804">
                  <c:v>-12.408877338536568</c:v>
                </c:pt>
                <c:pt idx="805">
                  <c:v>-12.420872707675176</c:v>
                </c:pt>
                <c:pt idx="806">
                  <c:v>-12.432868096840727</c:v>
                </c:pt>
                <c:pt idx="807">
                  <c:v>-12.444863506032869</c:v>
                </c:pt>
                <c:pt idx="808">
                  <c:v>-12.456858935251255</c:v>
                </c:pt>
                <c:pt idx="809">
                  <c:v>-12.468854384495534</c:v>
                </c:pt>
                <c:pt idx="810">
                  <c:v>-12.48084985376536</c:v>
                </c:pt>
                <c:pt idx="811">
                  <c:v>-12.492845343060381</c:v>
                </c:pt>
                <c:pt idx="812">
                  <c:v>-12.504840852380248</c:v>
                </c:pt>
                <c:pt idx="813">
                  <c:v>-12.516836381724614</c:v>
                </c:pt>
                <c:pt idx="814">
                  <c:v>-12.528831931093128</c:v>
                </c:pt>
                <c:pt idx="815">
                  <c:v>-12.540827500485442</c:v>
                </c:pt>
                <c:pt idx="816">
                  <c:v>-12.552823089901207</c:v>
                </c:pt>
                <c:pt idx="817">
                  <c:v>-12.564818699340073</c:v>
                </c:pt>
                <c:pt idx="818">
                  <c:v>-12.57681432880169</c:v>
                </c:pt>
                <c:pt idx="819">
                  <c:v>-12.588809978285713</c:v>
                </c:pt>
                <c:pt idx="820">
                  <c:v>-12.600805647791789</c:v>
                </c:pt>
                <c:pt idx="821">
                  <c:v>-12.612801337319571</c:v>
                </c:pt>
                <c:pt idx="822">
                  <c:v>-12.624797046868709</c:v>
                </c:pt>
                <c:pt idx="823">
                  <c:v>-12.636792776438854</c:v>
                </c:pt>
                <c:pt idx="824">
                  <c:v>-12.648788526029657</c:v>
                </c:pt>
                <c:pt idx="825">
                  <c:v>-12.660784295640768</c:v>
                </c:pt>
                <c:pt idx="826">
                  <c:v>-12.672780085271841</c:v>
                </c:pt>
                <c:pt idx="827">
                  <c:v>-12.684775894922524</c:v>
                </c:pt>
                <c:pt idx="828">
                  <c:v>-12.69677172459247</c:v>
                </c:pt>
                <c:pt idx="829">
                  <c:v>-12.708767574281328</c:v>
                </c:pt>
                <c:pt idx="830">
                  <c:v>-12.72076344398875</c:v>
                </c:pt>
                <c:pt idx="831">
                  <c:v>-12.732759333714386</c:v>
                </c:pt>
                <c:pt idx="832">
                  <c:v>-12.744755243457888</c:v>
                </c:pt>
                <c:pt idx="833">
                  <c:v>-12.756751173218907</c:v>
                </c:pt>
                <c:pt idx="834">
                  <c:v>-12.768747122997095</c:v>
                </c:pt>
                <c:pt idx="835">
                  <c:v>-12.7807430927921</c:v>
                </c:pt>
                <c:pt idx="836">
                  <c:v>-12.792739082603577</c:v>
                </c:pt>
                <c:pt idx="837">
                  <c:v>-12.804735092431173</c:v>
                </c:pt>
                <c:pt idx="838">
                  <c:v>-12.816731122274541</c:v>
                </c:pt>
                <c:pt idx="839">
                  <c:v>-12.828727172133332</c:v>
                </c:pt>
                <c:pt idx="840">
                  <c:v>-12.840723242007197</c:v>
                </c:pt>
                <c:pt idx="841">
                  <c:v>-12.852719331895786</c:v>
                </c:pt>
                <c:pt idx="842">
                  <c:v>-12.864715441798751</c:v>
                </c:pt>
                <c:pt idx="843">
                  <c:v>-12.876711571715743</c:v>
                </c:pt>
                <c:pt idx="844">
                  <c:v>-12.888707721646414</c:v>
                </c:pt>
                <c:pt idx="845">
                  <c:v>-12.900703891590412</c:v>
                </c:pt>
                <c:pt idx="846">
                  <c:v>-12.91270008154739</c:v>
                </c:pt>
                <c:pt idx="847">
                  <c:v>-12.924696291517</c:v>
                </c:pt>
                <c:pt idx="848">
                  <c:v>-12.936692521498891</c:v>
                </c:pt>
                <c:pt idx="849">
                  <c:v>-12.948688771492716</c:v>
                </c:pt>
                <c:pt idx="850">
                  <c:v>-12.960685041498124</c:v>
                </c:pt>
                <c:pt idx="851">
                  <c:v>-12.972681331514767</c:v>
                </c:pt>
                <c:pt idx="852">
                  <c:v>-12.984677641542296</c:v>
                </c:pt>
                <c:pt idx="853">
                  <c:v>-12.996673971580362</c:v>
                </c:pt>
                <c:pt idx="854">
                  <c:v>-13.008670321628617</c:v>
                </c:pt>
                <c:pt idx="855">
                  <c:v>-13.020666691686712</c:v>
                </c:pt>
                <c:pt idx="856">
                  <c:v>-13.032663081754295</c:v>
                </c:pt>
                <c:pt idx="857">
                  <c:v>-13.044659491831021</c:v>
                </c:pt>
                <c:pt idx="858">
                  <c:v>-13.056655921916539</c:v>
                </c:pt>
                <c:pt idx="859">
                  <c:v>-13.068652372010501</c:v>
                </c:pt>
                <c:pt idx="860">
                  <c:v>-13.080648842112556</c:v>
                </c:pt>
                <c:pt idx="861">
                  <c:v>-13.092645332222357</c:v>
                </c:pt>
                <c:pt idx="862">
                  <c:v>-13.104641842339555</c:v>
                </c:pt>
                <c:pt idx="863">
                  <c:v>-13.1166383724638</c:v>
                </c:pt>
                <c:pt idx="864">
                  <c:v>-13.128634922594745</c:v>
                </c:pt>
                <c:pt idx="865">
                  <c:v>-13.140631492732039</c:v>
                </c:pt>
                <c:pt idx="866">
                  <c:v>-13.152628082875335</c:v>
                </c:pt>
                <c:pt idx="867">
                  <c:v>-13.164624693024283</c:v>
                </c:pt>
                <c:pt idx="868">
                  <c:v>-13.176621323178534</c:v>
                </c:pt>
                <c:pt idx="869">
                  <c:v>-13.188617973337738</c:v>
                </c:pt>
                <c:pt idx="870">
                  <c:v>-13.200614643501549</c:v>
                </c:pt>
                <c:pt idx="871">
                  <c:v>-13.212611333669615</c:v>
                </c:pt>
                <c:pt idx="872">
                  <c:v>-13.22460804384159</c:v>
                </c:pt>
                <c:pt idx="873">
                  <c:v>-13.236604774017122</c:v>
                </c:pt>
                <c:pt idx="874">
                  <c:v>-13.248601524195864</c:v>
                </c:pt>
                <c:pt idx="875">
                  <c:v>-13.260598294377468</c:v>
                </c:pt>
                <c:pt idx="876">
                  <c:v>-13.272595084561583</c:v>
                </c:pt>
                <c:pt idx="877">
                  <c:v>-13.284591894747862</c:v>
                </c:pt>
                <c:pt idx="878">
                  <c:v>-13.296588724935955</c:v>
                </c:pt>
                <c:pt idx="879">
                  <c:v>-13.308585575125512</c:v>
                </c:pt>
                <c:pt idx="880">
                  <c:v>-13.320582445316187</c:v>
                </c:pt>
                <c:pt idx="881">
                  <c:v>-13.33257933550763</c:v>
                </c:pt>
                <c:pt idx="882">
                  <c:v>-13.344576245699491</c:v>
                </c:pt>
                <c:pt idx="883">
                  <c:v>-13.356573175891421</c:v>
                </c:pt>
                <c:pt idx="884">
                  <c:v>-13.368570126083073</c:v>
                </c:pt>
                <c:pt idx="885">
                  <c:v>-13.380567096274097</c:v>
                </c:pt>
                <c:pt idx="886">
                  <c:v>-13.392564086464144</c:v>
                </c:pt>
                <c:pt idx="887">
                  <c:v>-13.404561096652866</c:v>
                </c:pt>
                <c:pt idx="888">
                  <c:v>-13.416558126839913</c:v>
                </c:pt>
                <c:pt idx="889">
                  <c:v>-13.428555177024936</c:v>
                </c:pt>
                <c:pt idx="890">
                  <c:v>-13.440552247207588</c:v>
                </c:pt>
                <c:pt idx="891">
                  <c:v>-13.452549337387518</c:v>
                </c:pt>
                <c:pt idx="892">
                  <c:v>-13.464546447564379</c:v>
                </c:pt>
                <c:pt idx="893">
                  <c:v>-13.476543577737822</c:v>
                </c:pt>
                <c:pt idx="894">
                  <c:v>-13.488540727907496</c:v>
                </c:pt>
                <c:pt idx="895">
                  <c:v>-13.500537898073055</c:v>
                </c:pt>
                <c:pt idx="896">
                  <c:v>-13.51253508823415</c:v>
                </c:pt>
                <c:pt idx="897">
                  <c:v>-13.524532298390431</c:v>
                </c:pt>
                <c:pt idx="898">
                  <c:v>-13.536529528541548</c:v>
                </c:pt>
                <c:pt idx="899">
                  <c:v>-13.548526778687155</c:v>
                </c:pt>
                <c:pt idx="900">
                  <c:v>-13.560524048826901</c:v>
                </c:pt>
                <c:pt idx="901">
                  <c:v>-13.572521338960438</c:v>
                </c:pt>
                <c:pt idx="902">
                  <c:v>-13.584518649087418</c:v>
                </c:pt>
                <c:pt idx="903">
                  <c:v>-13.59651597920749</c:v>
                </c:pt>
                <c:pt idx="904">
                  <c:v>-13.608513329320306</c:v>
                </c:pt>
                <c:pt idx="905">
                  <c:v>-13.62051069942552</c:v>
                </c:pt>
                <c:pt idx="906">
                  <c:v>-13.63250808952278</c:v>
                </c:pt>
                <c:pt idx="907">
                  <c:v>-13.644505499611737</c:v>
                </c:pt>
                <c:pt idx="908">
                  <c:v>-13.656502929692044</c:v>
                </c:pt>
                <c:pt idx="909">
                  <c:v>-13.668500379763351</c:v>
                </c:pt>
                <c:pt idx="910">
                  <c:v>-13.680497849825311</c:v>
                </c:pt>
                <c:pt idx="911">
                  <c:v>-13.692495339877574</c:v>
                </c:pt>
                <c:pt idx="912">
                  <c:v>-13.704492849919792</c:v>
                </c:pt>
                <c:pt idx="913">
                  <c:v>-13.716490379951614</c:v>
                </c:pt>
                <c:pt idx="914">
                  <c:v>-13.728487929972692</c:v>
                </c:pt>
                <c:pt idx="915">
                  <c:v>-13.740485499982679</c:v>
                </c:pt>
                <c:pt idx="916">
                  <c:v>-13.752483089981226</c:v>
                </c:pt>
                <c:pt idx="917">
                  <c:v>-13.764480699967983</c:v>
                </c:pt>
                <c:pt idx="918">
                  <c:v>-13.776478329942602</c:v>
                </c:pt>
                <c:pt idx="919">
                  <c:v>-13.788475979904733</c:v>
                </c:pt>
                <c:pt idx="920">
                  <c:v>-13.800473649854029</c:v>
                </c:pt>
                <c:pt idx="921">
                  <c:v>-13.81247133979014</c:v>
                </c:pt>
                <c:pt idx="922">
                  <c:v>-13.824469049712718</c:v>
                </c:pt>
                <c:pt idx="923">
                  <c:v>-13.836466779621414</c:v>
                </c:pt>
                <c:pt idx="924">
                  <c:v>-13.84846452951588</c:v>
                </c:pt>
                <c:pt idx="925">
                  <c:v>-13.860462299395767</c:v>
                </c:pt>
                <c:pt idx="926">
                  <c:v>-13.872460089260725</c:v>
                </c:pt>
                <c:pt idx="927">
                  <c:v>-13.884457899110407</c:v>
                </c:pt>
                <c:pt idx="928">
                  <c:v>-13.896455728944462</c:v>
                </c:pt>
                <c:pt idx="929">
                  <c:v>-13.908453578762543</c:v>
                </c:pt>
                <c:pt idx="930">
                  <c:v>-13.920451448564302</c:v>
                </c:pt>
                <c:pt idx="931">
                  <c:v>-13.932449338349389</c:v>
                </c:pt>
                <c:pt idx="932">
                  <c:v>-13.944447248117456</c:v>
                </c:pt>
                <c:pt idx="933">
                  <c:v>-13.956445177868153</c:v>
                </c:pt>
                <c:pt idx="934">
                  <c:v>-13.968443127601132</c:v>
                </c:pt>
                <c:pt idx="935">
                  <c:v>-13.980441097316044</c:v>
                </c:pt>
                <c:pt idx="936">
                  <c:v>-13.992439087012542</c:v>
                </c:pt>
                <c:pt idx="937">
                  <c:v>-14.004437096690276</c:v>
                </c:pt>
                <c:pt idx="938">
                  <c:v>-14.016435126348897</c:v>
                </c:pt>
                <c:pt idx="939">
                  <c:v>-14.028433175988058</c:v>
                </c:pt>
                <c:pt idx="940">
                  <c:v>-14.040431245607408</c:v>
                </c:pt>
                <c:pt idx="941">
                  <c:v>-14.052429335206599</c:v>
                </c:pt>
                <c:pt idx="942">
                  <c:v>-14.064427444785283</c:v>
                </c:pt>
                <c:pt idx="943">
                  <c:v>-14.07642557434311</c:v>
                </c:pt>
                <c:pt idx="944">
                  <c:v>-14.088423723879734</c:v>
                </c:pt>
                <c:pt idx="945">
                  <c:v>-14.100421893394804</c:v>
                </c:pt>
                <c:pt idx="946">
                  <c:v>-14.112420082887972</c:v>
                </c:pt>
                <c:pt idx="947">
                  <c:v>-14.124418292358889</c:v>
                </c:pt>
                <c:pt idx="948">
                  <c:v>-14.136416521807208</c:v>
                </c:pt>
                <c:pt idx="949">
                  <c:v>-14.148414771232577</c:v>
                </c:pt>
                <c:pt idx="950">
                  <c:v>-14.160413040634651</c:v>
                </c:pt>
                <c:pt idx="951">
                  <c:v>-14.17241133001308</c:v>
                </c:pt>
                <c:pt idx="952">
                  <c:v>-14.184409639367514</c:v>
                </c:pt>
                <c:pt idx="953">
                  <c:v>-14.196407968697606</c:v>
                </c:pt>
                <c:pt idx="954">
                  <c:v>-14.208406318003007</c:v>
                </c:pt>
                <c:pt idx="955">
                  <c:v>-14.220404687283368</c:v>
                </c:pt>
                <c:pt idx="956">
                  <c:v>-14.232403076538342</c:v>
                </c:pt>
                <c:pt idx="957">
                  <c:v>-14.244401485767577</c:v>
                </c:pt>
                <c:pt idx="958">
                  <c:v>-14.256399914970727</c:v>
                </c:pt>
                <c:pt idx="959">
                  <c:v>-14.268398364147442</c:v>
                </c:pt>
                <c:pt idx="960">
                  <c:v>-14.280396833297376</c:v>
                </c:pt>
                <c:pt idx="961">
                  <c:v>-14.292395322420177</c:v>
                </c:pt>
                <c:pt idx="962">
                  <c:v>-14.304393831515497</c:v>
                </c:pt>
                <c:pt idx="963">
                  <c:v>-14.31639236058299</c:v>
                </c:pt>
                <c:pt idx="964">
                  <c:v>-14.328390909622305</c:v>
                </c:pt>
                <c:pt idx="965">
                  <c:v>-14.340389478633094</c:v>
                </c:pt>
                <c:pt idx="966">
                  <c:v>-14.352388067615008</c:v>
                </c:pt>
                <c:pt idx="967">
                  <c:v>-14.364386676567699</c:v>
                </c:pt>
                <c:pt idx="968">
                  <c:v>-14.376385305490819</c:v>
                </c:pt>
                <c:pt idx="969">
                  <c:v>-14.388383954384018</c:v>
                </c:pt>
                <c:pt idx="970">
                  <c:v>-14.400382623246948</c:v>
                </c:pt>
                <c:pt idx="971">
                  <c:v>-14.41238131207926</c:v>
                </c:pt>
                <c:pt idx="972">
                  <c:v>-14.424380020880607</c:v>
                </c:pt>
                <c:pt idx="973">
                  <c:v>-14.43637874965064</c:v>
                </c:pt>
                <c:pt idx="974">
                  <c:v>-14.448377498389009</c:v>
                </c:pt>
                <c:pt idx="975">
                  <c:v>-14.460376267095366</c:v>
                </c:pt>
                <c:pt idx="976">
                  <c:v>-14.472375055769364</c:v>
                </c:pt>
                <c:pt idx="977">
                  <c:v>-14.484373864410651</c:v>
                </c:pt>
                <c:pt idx="978">
                  <c:v>-14.496372693018882</c:v>
                </c:pt>
                <c:pt idx="979">
                  <c:v>-14.508371541593707</c:v>
                </c:pt>
                <c:pt idx="980">
                  <c:v>-14.520370410134777</c:v>
                </c:pt>
                <c:pt idx="981">
                  <c:v>-14.532369298641743</c:v>
                </c:pt>
                <c:pt idx="982">
                  <c:v>-14.544368207114259</c:v>
                </c:pt>
                <c:pt idx="983">
                  <c:v>-14.556367135551973</c:v>
                </c:pt>
                <c:pt idx="984">
                  <c:v>-14.568366083954539</c:v>
                </c:pt>
                <c:pt idx="985">
                  <c:v>-14.580365052321607</c:v>
                </c:pt>
                <c:pt idx="986">
                  <c:v>-14.59236404065283</c:v>
                </c:pt>
                <c:pt idx="987">
                  <c:v>-14.604363048947858</c:v>
                </c:pt>
                <c:pt idx="988">
                  <c:v>-14.616362077206343</c:v>
                </c:pt>
                <c:pt idx="989">
                  <c:v>-14.628361125427938</c:v>
                </c:pt>
                <c:pt idx="990">
                  <c:v>-14.640360193612292</c:v>
                </c:pt>
                <c:pt idx="991">
                  <c:v>-14.652359281759058</c:v>
                </c:pt>
                <c:pt idx="992">
                  <c:v>-14.664358389867886</c:v>
                </c:pt>
                <c:pt idx="993">
                  <c:v>-14.676357517938429</c:v>
                </c:pt>
                <c:pt idx="994">
                  <c:v>-14.688356665970339</c:v>
                </c:pt>
                <c:pt idx="995">
                  <c:v>-14.700355833963267</c:v>
                </c:pt>
                <c:pt idx="996">
                  <c:v>-14.712355021916862</c:v>
                </c:pt>
                <c:pt idx="997">
                  <c:v>-14.724354229830778</c:v>
                </c:pt>
                <c:pt idx="998">
                  <c:v>-14.736353457704666</c:v>
                </c:pt>
                <c:pt idx="999">
                  <c:v>-14.748352705538178</c:v>
                </c:pt>
                <c:pt idx="1000">
                  <c:v>-14.760351973330964</c:v>
                </c:pt>
              </c:numCache>
            </c:numRef>
          </c:yVal>
          <c:smooth val="1"/>
          <c:extLst>
            <c:ext xmlns:c16="http://schemas.microsoft.com/office/drawing/2014/chart" uri="{C3380CC4-5D6E-409C-BE32-E72D297353CC}">
              <c16:uniqueId val="{00000001-432A-49A9-9499-7ED3E32DDB07}"/>
            </c:ext>
          </c:extLst>
        </c:ser>
        <c:ser>
          <c:idx val="2"/>
          <c:order val="2"/>
          <c:tx>
            <c:strRef>
              <c:f>Trajecto!$B$108</c:f>
              <c:strCache>
                <c:ptCount val="1"/>
                <c:pt idx="0">
                  <c:v>Descente balistique</c:v>
                </c:pt>
              </c:strCache>
            </c:strRef>
          </c:tx>
          <c:spPr>
            <a:ln w="12700">
              <a:solidFill>
                <a:srgbClr val="808080"/>
              </a:solidFill>
              <a:prstDash val="sysDash"/>
            </a:ln>
          </c:spPr>
          <c:marker>
            <c:symbol val="none"/>
          </c:marker>
          <c:xVal>
            <c:numRef>
              <c:f>Calculs!$J$4:$J$1004</c:f>
              <c:numCache>
                <c:formatCode>0.00</c:formatCode>
                <c:ptCount val="1001"/>
                <c:pt idx="0">
                  <c:v>0</c:v>
                </c:pt>
                <c:pt idx="1">
                  <c:v>1.6957816959563583E-4</c:v>
                </c:pt>
                <c:pt idx="2">
                  <c:v>1.3839653385038508E-3</c:v>
                </c:pt>
                <c:pt idx="3">
                  <c:v>4.778902035927248E-3</c:v>
                </c:pt>
                <c:pt idx="4">
                  <c:v>1.073960426727784E-2</c:v>
                </c:pt>
                <c:pt idx="5">
                  <c:v>1.9176209198499924E-2</c:v>
                </c:pt>
                <c:pt idx="6">
                  <c:v>3.0026117667229148E-2</c:v>
                </c:pt>
                <c:pt idx="7">
                  <c:v>4.3281576366015095E-2</c:v>
                </c:pt>
                <c:pt idx="8">
                  <c:v>5.896229948512597E-2</c:v>
                </c:pt>
                <c:pt idx="9">
                  <c:v>7.7088009823556486E-2</c:v>
                </c:pt>
                <c:pt idx="10">
                  <c:v>9.7678438317785166E-2</c:v>
                </c:pt>
                <c:pt idx="11">
                  <c:v>0.12075046884088642</c:v>
                </c:pt>
                <c:pt idx="12">
                  <c:v>0.1463152747010413</c:v>
                </c:pt>
                <c:pt idx="13">
                  <c:v>0.1743811606709067</c:v>
                </c:pt>
                <c:pt idx="14">
                  <c:v>0.20495641338840004</c:v>
                </c:pt>
                <c:pt idx="15">
                  <c:v>0.23804930102275509</c:v>
                </c:pt>
                <c:pt idx="16">
                  <c:v>0.27366807293961726</c:v>
                </c:pt>
                <c:pt idx="17">
                  <c:v>0.31182095936520671</c:v>
                </c:pt>
                <c:pt idx="18">
                  <c:v>0.35251617104957855</c:v>
                </c:pt>
                <c:pt idx="19">
                  <c:v>0.39576189892900909</c:v>
                </c:pt>
                <c:pt idx="20">
                  <c:v>0.44156631378753808</c:v>
                </c:pt>
                <c:pt idx="21">
                  <c:v>0.48993641941544785</c:v>
                </c:pt>
                <c:pt idx="22">
                  <c:v>0.54087690251153719</c:v>
                </c:pt>
                <c:pt idx="23">
                  <c:v>0.59439127416576265</c:v>
                </c:pt>
                <c:pt idx="24">
                  <c:v>0.65048301466668246</c:v>
                </c:pt>
                <c:pt idx="25">
                  <c:v>0.70915557330039924</c:v>
                </c:pt>
                <c:pt idx="26">
                  <c:v>0.77049631420155329</c:v>
                </c:pt>
                <c:pt idx="27">
                  <c:v>0.83459620011515789</c:v>
                </c:pt>
                <c:pt idx="28">
                  <c:v>0.90146578415691825</c:v>
                </c:pt>
                <c:pt idx="29">
                  <c:v>0.97111540614389869</c:v>
                </c:pt>
                <c:pt idx="30">
                  <c:v>1.0435551432932373</c:v>
                </c:pt>
                <c:pt idx="31">
                  <c:v>1.1187948259848213</c:v>
                </c:pt>
                <c:pt idx="32">
                  <c:v>1.1968440518949486</c:v>
                </c:pt>
                <c:pt idx="33">
                  <c:v>1.2777121987153222</c:v>
                </c:pt>
                <c:pt idx="34">
                  <c:v>1.3614084356375902</c:v>
                </c:pt>
                <c:pt idx="35">
                  <c:v>1.4479417337558287</c:v>
                </c:pt>
                <c:pt idx="36">
                  <c:v>1.5373208755165637</c:v>
                </c:pt>
                <c:pt idx="37">
                  <c:v>1.6295544633271009</c:v>
                </c:pt>
                <c:pt idx="38">
                  <c:v>1.7246509274173034</c:v>
                </c:pt>
                <c:pt idx="39">
                  <c:v>1.822618533036904</c:v>
                </c:pt>
                <c:pt idx="40">
                  <c:v>1.923465387059476</c:v>
                </c:pt>
                <c:pt idx="41">
                  <c:v>2.0271985210776444</c:v>
                </c:pt>
                <c:pt idx="42">
                  <c:v>2.1338229670784665</c:v>
                </c:pt>
                <c:pt idx="43">
                  <c:v>2.2433426764729023</c:v>
                </c:pt>
                <c:pt idx="44">
                  <c:v>2.3557614460084491</c:v>
                </c:pt>
                <c:pt idx="45">
                  <c:v>2.4710829228325073</c:v>
                </c:pt>
                <c:pt idx="46">
                  <c:v>2.5893106091989457</c:v>
                </c:pt>
                <c:pt idx="47">
                  <c:v>2.7104478668508762</c:v>
                </c:pt>
                <c:pt idx="48">
                  <c:v>2.8344979211089392</c:v>
                </c:pt>
                <c:pt idx="49">
                  <c:v>2.9614638646911926</c:v>
                </c:pt>
                <c:pt idx="50">
                  <c:v>3.0913486612878969</c:v>
                </c:pt>
                <c:pt idx="51">
                  <c:v>3.2241551489120384</c:v>
                </c:pt>
                <c:pt idx="52">
                  <c:v>3.3598860430443009</c:v>
                </c:pt>
                <c:pt idx="53">
                  <c:v>3.4985439395892959</c:v>
                </c:pt>
                <c:pt idx="54">
                  <c:v>3.6401313176582173</c:v>
                </c:pt>
                <c:pt idx="55">
                  <c:v>3.7846505421916072</c:v>
                </c:pt>
                <c:pt idx="56">
                  <c:v>3.9321038664346264</c:v>
                </c:pt>
                <c:pt idx="57">
                  <c:v>4.0824934342760635</c:v>
                </c:pt>
                <c:pt idx="58">
                  <c:v>4.2358212824612975</c:v>
                </c:pt>
                <c:pt idx="59">
                  <c:v>4.3920893426884984</c:v>
                </c:pt>
                <c:pt idx="60">
                  <c:v>4.5512994435965455</c:v>
                </c:pt>
                <c:pt idx="61">
                  <c:v>4.7134533126524012</c:v>
                </c:pt>
                <c:pt idx="62">
                  <c:v>4.8785525779450136</c:v>
                </c:pt>
                <c:pt idx="63">
                  <c:v>5.0465987698922419</c:v>
                </c:pt>
                <c:pt idx="64">
                  <c:v>5.2175933228667546</c:v>
                </c:pt>
                <c:pt idx="65">
                  <c:v>5.3915375767463658</c:v>
                </c:pt>
                <c:pt idx="66">
                  <c:v>5.5684327783938485</c:v>
                </c:pt>
                <c:pt idx="67">
                  <c:v>5.7482800830708607</c:v>
                </c:pt>
                <c:pt idx="68">
                  <c:v>5.9310805557902642</c:v>
                </c:pt>
                <c:pt idx="69">
                  <c:v>6.1168351726107906</c:v>
                </c:pt>
                <c:pt idx="70">
                  <c:v>6.3055448218777119</c:v>
                </c:pt>
                <c:pt idx="71">
                  <c:v>6.4972103054129038</c:v>
                </c:pt>
                <c:pt idx="72">
                  <c:v>6.6918323396574353</c:v>
                </c:pt>
                <c:pt idx="73">
                  <c:v>6.8894115567696108</c:v>
                </c:pt>
                <c:pt idx="74">
                  <c:v>7.0899485056811633</c:v>
                </c:pt>
                <c:pt idx="75">
                  <c:v>7.2934436531141227</c:v>
                </c:pt>
                <c:pt idx="76">
                  <c:v>7.4998973845607013</c:v>
                </c:pt>
                <c:pt idx="77">
                  <c:v>7.7093100052283852</c:v>
                </c:pt>
                <c:pt idx="78">
                  <c:v>7.9216817409522688</c:v>
                </c:pt>
                <c:pt idx="79">
                  <c:v>8.1370127390765354</c:v>
                </c:pt>
                <c:pt idx="80">
                  <c:v>8.3553030693068671</c:v>
                </c:pt>
                <c:pt idx="81">
                  <c:v>8.5765517384259198</c:v>
                </c:pt>
                <c:pt idx="82">
                  <c:v>8.8007557006205115</c:v>
                </c:pt>
                <c:pt idx="83">
                  <c:v>9.0279108389529092</c:v>
                </c:pt>
                <c:pt idx="84">
                  <c:v>9.2580129513364415</c:v>
                </c:pt>
                <c:pt idx="85">
                  <c:v>9.4910577515926189</c:v>
                </c:pt>
                <c:pt idx="86">
                  <c:v>9.7270408704825488</c:v>
                </c:pt>
                <c:pt idx="87">
                  <c:v>9.9659578567140716</c:v>
                </c:pt>
                <c:pt idx="88">
                  <c:v>10.207804177925949</c:v>
                </c:pt>
                <c:pt idx="89">
                  <c:v>10.452575221650353</c:v>
                </c:pt>
                <c:pt idx="90">
                  <c:v>10.700266296254828</c:v>
                </c:pt>
                <c:pt idx="91">
                  <c:v>10.950872192203818</c:v>
                </c:pt>
                <c:pt idx="92">
                  <c:v>11.204386741564212</c:v>
                </c:pt>
                <c:pt idx="93">
                  <c:v>11.460803256464846</c:v>
                </c:pt>
                <c:pt idx="94">
                  <c:v>11.720114969347629</c:v>
                </c:pt>
                <c:pt idx="95">
                  <c:v>11.982315033962282</c:v>
                </c:pt>
                <c:pt idx="96">
                  <c:v>12.247396526344394</c:v>
                </c:pt>
                <c:pt idx="97">
                  <c:v>12.515352445777618</c:v>
                </c:pt>
                <c:pt idx="98">
                  <c:v>12.786175715740807</c:v>
                </c:pt>
                <c:pt idx="99">
                  <c:v>13.059859184840819</c:v>
                </c:pt>
                <c:pt idx="100">
                  <c:v>13.33639562773168</c:v>
                </c:pt>
                <c:pt idx="101">
                  <c:v>13.615777675114689</c:v>
                </c:pt>
                <c:pt idx="102">
                  <c:v>13.897997743476244</c:v>
                </c:pt>
                <c:pt idx="103">
                  <c:v>14.183048106587419</c:v>
                </c:pt>
                <c:pt idx="104">
                  <c:v>14.47092096725299</c:v>
                </c:pt>
                <c:pt idx="105">
                  <c:v>14.761608458192855</c:v>
                </c:pt>
                <c:pt idx="106">
                  <c:v>15.055102642912953</c:v>
                </c:pt>
                <c:pt idx="107">
                  <c:v>15.351395516566152</c:v>
                </c:pt>
                <c:pt idx="108">
                  <c:v>15.65047900680354</c:v>
                </c:pt>
                <c:pt idx="109">
                  <c:v>15.952344974616516</c:v>
                </c:pt>
                <c:pt idx="110">
                  <c:v>16.256985215170079</c:v>
                </c:pt>
                <c:pt idx="111">
                  <c:v>16.564392281236398</c:v>
                </c:pt>
                <c:pt idx="112">
                  <c:v>16.874560309206224</c:v>
                </c:pt>
                <c:pt idx="113">
                  <c:v>17.187484200130918</c:v>
                </c:pt>
                <c:pt idx="114">
                  <c:v>17.503158798057655</c:v>
                </c:pt>
                <c:pt idx="115">
                  <c:v>17.821578890598019</c:v>
                </c:pt>
                <c:pt idx="116">
                  <c:v>18.142739209491818</c:v>
                </c:pt>
                <c:pt idx="117">
                  <c:v>18.466634431166291</c:v>
                </c:pt>
                <c:pt idx="118">
                  <c:v>18.793259177290949</c:v>
                </c:pt>
                <c:pt idx="119">
                  <c:v>19.122608015328215</c:v>
                </c:pt>
                <c:pt idx="120">
                  <c:v>19.454675459080029</c:v>
                </c:pt>
                <c:pt idx="121">
                  <c:v>19.789454595155842</c:v>
                </c:pt>
                <c:pt idx="122">
                  <c:v>20.12693570556025</c:v>
                </c:pt>
                <c:pt idx="123">
                  <c:v>20.467107638295079</c:v>
                </c:pt>
                <c:pt idx="124">
                  <c:v>20.809959182019455</c:v>
                </c:pt>
                <c:pt idx="125">
                  <c:v>21.155479066946388</c:v>
                </c:pt>
                <c:pt idx="126">
                  <c:v>21.503655965732861</c:v>
                </c:pt>
                <c:pt idx="127">
                  <c:v>21.854478494363537</c:v>
                </c:pt>
                <c:pt idx="128">
                  <c:v>22.207935213028289</c:v>
                </c:pt>
                <c:pt idx="129">
                  <c:v>22.564014626993647</c:v>
                </c:pt>
                <c:pt idx="130">
                  <c:v>22.922705187468331</c:v>
                </c:pt>
                <c:pt idx="131">
                  <c:v>23.283994930335712</c:v>
                </c:pt>
                <c:pt idx="132">
                  <c:v>23.647871113988451</c:v>
                </c:pt>
                <c:pt idx="133">
                  <c:v>24.014320581464098</c:v>
                </c:pt>
                <c:pt idx="134">
                  <c:v>24.383330123516895</c:v>
                </c:pt>
                <c:pt idx="135">
                  <c:v>24.754886479553907</c:v>
                </c:pt>
                <c:pt idx="136">
                  <c:v>25.128976338564851</c:v>
                </c:pt>
                <c:pt idx="137">
                  <c:v>25.505586340045664</c:v>
                </c:pt>
                <c:pt idx="138">
                  <c:v>25.884703074915919</c:v>
                </c:pt>
                <c:pt idx="139">
                  <c:v>26.266313086430145</c:v>
                </c:pt>
                <c:pt idx="140">
                  <c:v>26.65040287108312</c:v>
                </c:pt>
                <c:pt idx="141">
                  <c:v>27.036954522574796</c:v>
                </c:pt>
                <c:pt idx="142">
                  <c:v>27.425941366613301</c:v>
                </c:pt>
                <c:pt idx="143">
                  <c:v>27.81733231131523</c:v>
                </c:pt>
                <c:pt idx="144">
                  <c:v>28.211096207438104</c:v>
                </c:pt>
                <c:pt idx="145">
                  <c:v>28.607201850611194</c:v>
                </c:pt>
                <c:pt idx="146">
                  <c:v>29.005617983542404</c:v>
                </c:pt>
                <c:pt idx="147">
                  <c:v>29.406313298201276</c:v>
                </c:pt>
                <c:pt idx="148">
                  <c:v>29.809256437978117</c:v>
                </c:pt>
                <c:pt idx="149">
                  <c:v>30.214415999819291</c:v>
                </c:pt>
                <c:pt idx="150">
                  <c:v>30.62176053633867</c:v>
                </c:pt>
                <c:pt idx="151">
                  <c:v>31.03125855790525</c:v>
                </c:pt>
                <c:pt idx="152">
                  <c:v>31.442878534706939</c:v>
                </c:pt>
                <c:pt idx="153">
                  <c:v>31.856588898790498</c:v>
                </c:pt>
                <c:pt idx="154">
                  <c:v>32.272358046077642</c:v>
                </c:pt>
                <c:pt idx="155">
                  <c:v>32.690154338357289</c:v>
                </c:pt>
                <c:pt idx="156">
                  <c:v>33.109925292568043</c:v>
                </c:pt>
                <c:pt idx="157">
                  <c:v>33.531576743657929</c:v>
                </c:pt>
                <c:pt idx="158">
                  <c:v>33.9549936532948</c:v>
                </c:pt>
                <c:pt idx="159">
                  <c:v>34.380060950786572</c:v>
                </c:pt>
                <c:pt idx="160">
                  <c:v>34.806663546494192</c:v>
                </c:pt>
                <c:pt idx="161">
                  <c:v>35.234659815232618</c:v>
                </c:pt>
                <c:pt idx="162">
                  <c:v>35.663855068079599</c:v>
                </c:pt>
                <c:pt idx="163">
                  <c:v>36.094030657488965</c:v>
                </c:pt>
                <c:pt idx="164">
                  <c:v>36.524973107055374</c:v>
                </c:pt>
                <c:pt idx="165">
                  <c:v>36.956497005845797</c:v>
                </c:pt>
                <c:pt idx="166">
                  <c:v>37.388467889308743</c:v>
                </c:pt>
                <c:pt idx="167">
                  <c:v>37.820757497127204</c:v>
                </c:pt>
                <c:pt idx="168">
                  <c:v>38.253213027818859</c:v>
                </c:pt>
                <c:pt idx="169">
                  <c:v>38.6856365612243</c:v>
                </c:pt>
                <c:pt idx="170">
                  <c:v>39.11777852971872</c:v>
                </c:pt>
                <c:pt idx="171">
                  <c:v>39.549464343421292</c:v>
                </c:pt>
                <c:pt idx="172">
                  <c:v>39.980650836982562</c:v>
                </c:pt>
                <c:pt idx="173">
                  <c:v>40.411339490822122</c:v>
                </c:pt>
                <c:pt idx="174">
                  <c:v>40.841531779063047</c:v>
                </c:pt>
                <c:pt idx="175">
                  <c:v>41.27122916956823</c:v>
                </c:pt>
                <c:pt idx="176">
                  <c:v>41.700433123976502</c:v>
                </c:pt>
                <c:pt idx="177">
                  <c:v>42.129145097738451</c:v>
                </c:pt>
                <c:pt idx="178">
                  <c:v>42.557366540152003</c:v>
                </c:pt>
                <c:pt idx="179">
                  <c:v>42.985098894397758</c:v>
                </c:pt>
                <c:pt idx="180">
                  <c:v>43.412343597574029</c:v>
                </c:pt>
                <c:pt idx="181">
                  <c:v>43.839102080731685</c:v>
                </c:pt>
                <c:pt idx="182">
                  <c:v>44.265375768908697</c:v>
                </c:pt>
                <c:pt idx="183">
                  <c:v>44.691166081164468</c:v>
                </c:pt>
                <c:pt idx="184">
                  <c:v>45.116474430613884</c:v>
                </c:pt>
                <c:pt idx="185">
                  <c:v>45.54130222446117</c:v>
                </c:pt>
                <c:pt idx="186">
                  <c:v>45.965650864033449</c:v>
                </c:pt>
                <c:pt idx="187">
                  <c:v>46.389521744814118</c:v>
                </c:pt>
                <c:pt idx="188">
                  <c:v>46.812916256475937</c:v>
                </c:pt>
                <c:pt idx="189">
                  <c:v>47.235835782913902</c:v>
                </c:pt>
                <c:pt idx="190">
                  <c:v>47.658281702277911</c:v>
                </c:pt>
                <c:pt idx="191">
                  <c:v>48.080255387005145</c:v>
                </c:pt>
                <c:pt idx="192">
                  <c:v>48.501758203852276</c:v>
                </c:pt>
                <c:pt idx="193">
                  <c:v>48.922791513927407</c:v>
                </c:pt>
                <c:pt idx="194">
                  <c:v>49.343356672721804</c:v>
                </c:pt>
                <c:pt idx="195">
                  <c:v>49.763455030141401</c:v>
                </c:pt>
                <c:pt idx="196">
                  <c:v>50.183087930538079</c:v>
                </c:pt>
                <c:pt idx="197">
                  <c:v>50.602256712740747</c:v>
                </c:pt>
                <c:pt idx="198">
                  <c:v>51.020962710086167</c:v>
                </c:pt>
                <c:pt idx="199">
                  <c:v>51.439207250449613</c:v>
                </c:pt>
                <c:pt idx="200">
                  <c:v>51.856991656275248</c:v>
                </c:pt>
                <c:pt idx="201">
                  <c:v>56.009630325216804</c:v>
                </c:pt>
                <c:pt idx="202">
                  <c:v>60.117102451203102</c:v>
                </c:pt>
                <c:pt idx="203">
                  <c:v>64.180681036516816</c:v>
                </c:pt>
                <c:pt idx="204">
                  <c:v>68.2015885313089</c:v>
                </c:pt>
                <c:pt idx="205">
                  <c:v>72.180999538542025</c:v>
                </c:pt>
                <c:pt idx="206">
                  <c:v>76.120043339410273</c:v>
                </c:pt>
                <c:pt idx="207">
                  <c:v>80.019806253428101</c:v>
                </c:pt>
                <c:pt idx="208">
                  <c:v>83.881333846084317</c:v>
                </c:pt>
                <c:pt idx="209">
                  <c:v>87.705632995793437</c:v>
                </c:pt>
                <c:pt idx="210">
                  <c:v>91.493673830832222</c:v>
                </c:pt>
                <c:pt idx="211">
                  <c:v>95.246391546010102</c:v>
                </c:pt>
                <c:pt idx="212">
                  <c:v>98.964688107976272</c:v>
                </c:pt>
                <c:pt idx="213">
                  <c:v>102.64943385730378</c:v>
                </c:pt>
                <c:pt idx="214">
                  <c:v>106.30146901480181</c:v>
                </c:pt>
                <c:pt idx="215">
                  <c:v>109.92160509888529</c:v>
                </c:pt>
                <c:pt idx="216">
                  <c:v>113.51062626026651</c:v>
                </c:pt>
                <c:pt idx="217">
                  <c:v>117.06929053972293</c:v>
                </c:pt>
                <c:pt idx="218">
                  <c:v>120.59833105423142</c:v>
                </c:pt>
                <c:pt idx="219">
                  <c:v>124.09845711633756</c:v>
                </c:pt>
                <c:pt idx="220">
                  <c:v>127.57035529124532</c:v>
                </c:pt>
                <c:pt idx="221">
                  <c:v>131.01469039576361</c:v>
                </c:pt>
                <c:pt idx="222">
                  <c:v>134.43210644292708</c:v>
                </c:pt>
                <c:pt idx="223">
                  <c:v>137.82322753581877</c:v>
                </c:pt>
                <c:pt idx="224">
                  <c:v>141.18865871385603</c:v>
                </c:pt>
                <c:pt idx="225">
                  <c:v>144.52898675455856</c:v>
                </c:pt>
                <c:pt idx="226">
                  <c:v>147.84478093359527</c:v>
                </c:pt>
                <c:pt idx="227">
                  <c:v>151.13659374570221</c:v>
                </c:pt>
                <c:pt idx="228">
                  <c:v>154.40496158887737</c:v>
                </c:pt>
                <c:pt idx="229">
                  <c:v>157.65040541408652</c:v>
                </c:pt>
                <c:pt idx="230">
                  <c:v>160.87343134255599</c:v>
                </c:pt>
                <c:pt idx="231">
                  <c:v>164.07453125258348</c:v>
                </c:pt>
                <c:pt idx="232">
                  <c:v>167.25418333766416</c:v>
                </c:pt>
                <c:pt idx="233">
                  <c:v>170.41285263760633</c:v>
                </c:pt>
                <c:pt idx="234">
                  <c:v>173.55099154419696</c:v>
                </c:pt>
                <c:pt idx="235">
                  <c:v>176.66904028287269</c:v>
                </c:pt>
                <c:pt idx="236">
                  <c:v>179.76742737175522</c:v>
                </c:pt>
                <c:pt idx="237">
                  <c:v>182.84657005931982</c:v>
                </c:pt>
                <c:pt idx="238">
                  <c:v>185.90687474188312</c:v>
                </c:pt>
                <c:pt idx="239">
                  <c:v>188.94873736201978</c:v>
                </c:pt>
                <c:pt idx="240">
                  <c:v>191.97254378894581</c:v>
                </c:pt>
                <c:pt idx="241">
                  <c:v>194.97867018184064</c:v>
                </c:pt>
                <c:pt idx="242">
                  <c:v>197.96748333701902</c:v>
                </c:pt>
                <c:pt idx="243">
                  <c:v>200.93934101980605</c:v>
                </c:pt>
                <c:pt idx="244">
                  <c:v>203.89459228191669</c:v>
                </c:pt>
                <c:pt idx="245">
                  <c:v>206.83357776509104</c:v>
                </c:pt>
                <c:pt idx="246">
                  <c:v>209.75662999169126</c:v>
                </c:pt>
                <c:pt idx="247">
                  <c:v>212.66407364292306</c:v>
                </c:pt>
                <c:pt idx="248">
                  <c:v>215.55622582530498</c:v>
                </c:pt>
                <c:pt idx="249">
                  <c:v>218.43339632597153</c:v>
                </c:pt>
                <c:pt idx="250">
                  <c:v>221.29588785736109</c:v>
                </c:pt>
                <c:pt idx="251">
                  <c:v>224.14399629180792</c:v>
                </c:pt>
                <c:pt idx="252">
                  <c:v>226.97801088652622</c:v>
                </c:pt>
                <c:pt idx="253">
                  <c:v>229.79821449944677</c:v>
                </c:pt>
                <c:pt idx="254">
                  <c:v>232.60488379633932</c:v>
                </c:pt>
                <c:pt idx="255">
                  <c:v>235.3982894496294</c:v>
                </c:pt>
                <c:pt idx="256">
                  <c:v>238.17869632929475</c:v>
                </c:pt>
                <c:pt idx="257">
                  <c:v>240.94636368620453</c:v>
                </c:pt>
                <c:pt idx="258">
                  <c:v>243.70154532824381</c:v>
                </c:pt>
                <c:pt idx="259">
                  <c:v>246.44448978954659</c:v>
                </c:pt>
                <c:pt idx="260">
                  <c:v>249.1754404931423</c:v>
                </c:pt>
                <c:pt idx="261">
                  <c:v>251.89463590730318</c:v>
                </c:pt>
                <c:pt idx="262">
                  <c:v>254.60230969586414</c:v>
                </c:pt>
                <c:pt idx="263">
                  <c:v>257.2986908627712</c:v>
                </c:pt>
                <c:pt idx="264">
                  <c:v>259.98400389109992</c:v>
                </c:pt>
                <c:pt idx="265">
                  <c:v>262.65846887677139</c:v>
                </c:pt>
                <c:pt idx="266">
                  <c:v>265.32230165718136</c:v>
                </c:pt>
                <c:pt idx="267">
                  <c:v>267.97571393494349</c:v>
                </c:pt>
                <c:pt idx="268">
                  <c:v>270.61891339693904</c:v>
                </c:pt>
                <c:pt idx="269">
                  <c:v>273.25210382885064</c:v>
                </c:pt>
                <c:pt idx="270">
                  <c:v>275.87548522535013</c:v>
                </c:pt>
                <c:pt idx="271">
                  <c:v>278.48925389609803</c:v>
                </c:pt>
                <c:pt idx="272">
                  <c:v>281.09360256770367</c:v>
                </c:pt>
                <c:pt idx="273">
                  <c:v>283.68872048178457</c:v>
                </c:pt>
                <c:pt idx="274">
                  <c:v>286.27479348925584</c:v>
                </c:pt>
                <c:pt idx="275">
                  <c:v>288.85200414096948</c:v>
                </c:pt>
                <c:pt idx="276">
                  <c:v>291.42053177481762</c:v>
                </c:pt>
                <c:pt idx="277">
                  <c:v>293.98055259940253</c:v>
                </c:pt>
                <c:pt idx="278">
                  <c:v>296.53223977437062</c:v>
                </c:pt>
                <c:pt idx="279">
                  <c:v>299.07576348749768</c:v>
                </c:pt>
                <c:pt idx="280">
                  <c:v>301.6112910286061</c:v>
                </c:pt>
                <c:pt idx="281">
                  <c:v>304.13898686038601</c:v>
                </c:pt>
                <c:pt idx="282">
                  <c:v>306.65901268618563</c:v>
                </c:pt>
                <c:pt idx="283">
                  <c:v>309.17152751482701</c:v>
                </c:pt>
                <c:pt idx="284">
                  <c:v>311.67668772249681</c:v>
                </c:pt>
                <c:pt idx="285">
                  <c:v>314.17464711175353</c:v>
                </c:pt>
                <c:pt idx="286">
                  <c:v>316.66555696768387</c:v>
                </c:pt>
                <c:pt idx="287">
                  <c:v>319.14956611123449</c:v>
                </c:pt>
                <c:pt idx="288">
                  <c:v>321.62682094973547</c:v>
                </c:pt>
                <c:pt idx="289">
                  <c:v>324.09746552462417</c:v>
                </c:pt>
                <c:pt idx="290">
                  <c:v>326.56164155636969</c:v>
                </c:pt>
                <c:pt idx="291">
                  <c:v>329.01948848658816</c:v>
                </c:pt>
                <c:pt idx="292">
                  <c:v>331.47114351733018</c:v>
                </c:pt>
                <c:pt idx="293">
                  <c:v>333.91674164751225</c:v>
                </c:pt>
                <c:pt idx="294">
                  <c:v>336.35641570645294</c:v>
                </c:pt>
                <c:pt idx="295">
                  <c:v>338.79029638446406</c:v>
                </c:pt>
                <c:pt idx="296">
                  <c:v>341.21851226043663</c:v>
                </c:pt>
                <c:pt idx="297">
                  <c:v>343.64118982634773</c:v>
                </c:pt>
                <c:pt idx="298">
                  <c:v>346.05845350860398</c:v>
                </c:pt>
                <c:pt idx="299">
                  <c:v>348.47042568612255</c:v>
                </c:pt>
                <c:pt idx="300">
                  <c:v>350.87722670503769</c:v>
                </c:pt>
                <c:pt idx="301">
                  <c:v>353.27897488990641</c:v>
                </c:pt>
                <c:pt idx="302">
                  <c:v>355.67578655127193</c:v>
                </c:pt>
                <c:pt idx="303">
                  <c:v>358.06777598942739</c:v>
                </c:pt>
                <c:pt idx="304">
                  <c:v>360.45505549420744</c:v>
                </c:pt>
                <c:pt idx="305">
                  <c:v>362.83773534061845</c:v>
                </c:pt>
                <c:pt idx="306">
                  <c:v>365.21592378010178</c:v>
                </c:pt>
                <c:pt idx="307">
                  <c:v>367.58972702720831</c:v>
                </c:pt>
                <c:pt idx="308">
                  <c:v>369.95924924144765</c:v>
                </c:pt>
                <c:pt idx="309">
                  <c:v>372.32459250405992</c:v>
                </c:pt>
                <c:pt idx="310">
                  <c:v>374.68585678944595</c:v>
                </c:pt>
                <c:pt idx="311">
                  <c:v>377.04313993098157</c:v>
                </c:pt>
                <c:pt idx="312">
                  <c:v>379.39653758093448</c:v>
                </c:pt>
                <c:pt idx="313">
                  <c:v>381.74614316420104</c:v>
                </c:pt>
                <c:pt idx="314">
                  <c:v>384.09204782558447</c:v>
                </c:pt>
                <c:pt idx="315">
                  <c:v>386.43434037034859</c:v>
                </c:pt>
                <c:pt idx="316">
                  <c:v>388.77310719780473</c:v>
                </c:pt>
                <c:pt idx="317">
                  <c:v>391.10843222772428</c:v>
                </c:pt>
                <c:pt idx="318">
                  <c:v>393.44039681942178</c:v>
                </c:pt>
                <c:pt idx="319">
                  <c:v>395.76907968342186</c:v>
                </c:pt>
                <c:pt idx="320">
                  <c:v>398.09455678571589</c:v>
                </c:pt>
                <c:pt idx="321">
                  <c:v>400.41690124472996</c:v>
                </c:pt>
                <c:pt idx="322">
                  <c:v>402.73618322126896</c:v>
                </c:pt>
                <c:pt idx="323">
                  <c:v>405.05246980187627</c:v>
                </c:pt>
                <c:pt idx="324">
                  <c:v>407.36582487625202</c:v>
                </c:pt>
                <c:pt idx="325">
                  <c:v>409.6763090096083</c:v>
                </c:pt>
                <c:pt idx="326">
                  <c:v>411.98397931110253</c:v>
                </c:pt>
                <c:pt idx="327">
                  <c:v>414.2888892997745</c:v>
                </c:pt>
                <c:pt idx="328">
                  <c:v>416.59108876971067</c:v>
                </c:pt>
                <c:pt idx="329">
                  <c:v>418.89062365645776</c:v>
                </c:pt>
                <c:pt idx="330">
                  <c:v>421.1875359069881</c:v>
                </c:pt>
                <c:pt idx="331">
                  <c:v>423.48186335576395</c:v>
                </c:pt>
                <c:pt idx="332">
                  <c:v>425.7736396096326</c:v>
                </c:pt>
                <c:pt idx="333">
                  <c:v>428.062893944385</c:v>
                </c:pt>
                <c:pt idx="334">
                  <c:v>430.34965121580746</c:v>
                </c:pt>
                <c:pt idx="335">
                  <c:v>432.63393178793035</c:v>
                </c:pt>
                <c:pt idx="336">
                  <c:v>434.91575148092232</c:v>
                </c:pt>
                <c:pt idx="337">
                  <c:v>437.19512154068991</c:v>
                </c:pt>
                <c:pt idx="338">
                  <c:v>439.47204863173897</c:v>
                </c:pt>
                <c:pt idx="339">
                  <c:v>441.74653485425313</c:v>
                </c:pt>
                <c:pt idx="340">
                  <c:v>444.01857778568552</c:v>
                </c:pt>
                <c:pt idx="341">
                  <c:v>446.28817054647783</c:v>
                </c:pt>
                <c:pt idx="342">
                  <c:v>448.55530188886519</c:v>
                </c:pt>
                <c:pt idx="343">
                  <c:v>450.81995630712885</c:v>
                </c:pt>
                <c:pt idx="344">
                  <c:v>453.08211416716307</c:v>
                </c:pt>
                <c:pt idx="345">
                  <c:v>455.34175185284442</c:v>
                </c:pt>
                <c:pt idx="346">
                  <c:v>457.59884192644779</c:v>
                </c:pt>
                <c:pt idx="347">
                  <c:v>459.85335330024071</c:v>
                </c:pt>
                <c:pt idx="348">
                  <c:v>462.10525141639926</c:v>
                </c:pt>
                <c:pt idx="349">
                  <c:v>464.35449843250223</c:v>
                </c:pt>
                <c:pt idx="350">
                  <c:v>466.6010534100609</c:v>
                </c:pt>
                <c:pt idx="351">
                  <c:v>468.84487250379647</c:v>
                </c:pt>
                <c:pt idx="352">
                  <c:v>471.08590914967152</c:v>
                </c:pt>
                <c:pt idx="353">
                  <c:v>473.3241142499889</c:v>
                </c:pt>
                <c:pt idx="354">
                  <c:v>475.55943635417748</c:v>
                </c:pt>
                <c:pt idx="355">
                  <c:v>477.79182183417583</c:v>
                </c:pt>
                <c:pt idx="356">
                  <c:v>480.02121505359054</c:v>
                </c:pt>
                <c:pt idx="357">
                  <c:v>482.24755853004575</c:v>
                </c:pt>
                <c:pt idx="358">
                  <c:v>484.47079309034501</c:v>
                </c:pt>
                <c:pt idx="359">
                  <c:v>486.69085801824139</c:v>
                </c:pt>
                <c:pt idx="360">
                  <c:v>488.90769119475414</c:v>
                </c:pt>
                <c:pt idx="361">
                  <c:v>491.12122923108666</c:v>
                </c:pt>
                <c:pt idx="362">
                  <c:v>493.33140759428863</c:v>
                </c:pt>
                <c:pt idx="363">
                  <c:v>495.53816072587426</c:v>
                </c:pt>
                <c:pt idx="364">
                  <c:v>497.74142215365697</c:v>
                </c:pt>
                <c:pt idx="365">
                  <c:v>499.94112459709532</c:v>
                </c:pt>
                <c:pt idx="366">
                  <c:v>502.13720006646497</c:v>
                </c:pt>
                <c:pt idx="367">
                  <c:v>504.32957995618324</c:v>
                </c:pt>
                <c:pt idx="368">
                  <c:v>506.5181951326154</c:v>
                </c:pt>
                <c:pt idx="369">
                  <c:v>508.70297601668847</c:v>
                </c:pt>
                <c:pt idx="370">
                  <c:v>510.88385266163039</c:v>
                </c:pt>
                <c:pt idx="371">
                  <c:v>513.06075482614222</c:v>
                </c:pt>
                <c:pt idx="372">
                  <c:v>515.23361204329649</c:v>
                </c:pt>
                <c:pt idx="373">
                  <c:v>517.40235368544074</c:v>
                </c:pt>
                <c:pt idx="374">
                  <c:v>519.5669090253698</c:v>
                </c:pt>
                <c:pt idx="375">
                  <c:v>521.72720729401362</c:v>
                </c:pt>
                <c:pt idx="376">
                  <c:v>523.88317773487233</c:v>
                </c:pt>
                <c:pt idx="377">
                  <c:v>526.03474965541352</c:v>
                </c:pt>
                <c:pt idx="378">
                  <c:v>528.18185247563372</c:v>
                </c:pt>
                <c:pt idx="379">
                  <c:v>530.32441577396844</c:v>
                </c:pt>
                <c:pt idx="380">
                  <c:v>532.46236933072453</c:v>
                </c:pt>
                <c:pt idx="381">
                  <c:v>534.59564316919341</c:v>
                </c:pt>
                <c:pt idx="382">
                  <c:v>536.72416759459259</c:v>
                </c:pt>
                <c:pt idx="383">
                  <c:v>538.8478732309718</c:v>
                </c:pt>
                <c:pt idx="384">
                  <c:v>540.96669105620822</c:v>
                </c:pt>
                <c:pt idx="385">
                  <c:v>543.0805524352071</c:v>
                </c:pt>
                <c:pt idx="386">
                  <c:v>545.18938915141382</c:v>
                </c:pt>
                <c:pt idx="387">
                  <c:v>547.29313343673607</c:v>
                </c:pt>
                <c:pt idx="388">
                  <c:v>549.39171799996541</c:v>
                </c:pt>
                <c:pt idx="389">
                  <c:v>551.48507605378325</c:v>
                </c:pt>
                <c:pt idx="390">
                  <c:v>553.57314134042656</c:v>
                </c:pt>
                <c:pt idx="391">
                  <c:v>555.65584815608531</c:v>
                </c:pt>
                <c:pt idx="392">
                  <c:v>557.7331313740965</c:v>
                </c:pt>
                <c:pt idx="393">
                  <c:v>559.80492646699554</c:v>
                </c:pt>
                <c:pt idx="394">
                  <c:v>561.87116952748045</c:v>
                </c:pt>
                <c:pt idx="395">
                  <c:v>563.93179728834116</c:v>
                </c:pt>
                <c:pt idx="396">
                  <c:v>565.986747141401</c:v>
                </c:pt>
                <c:pt idx="397">
                  <c:v>568.03595715551501</c:v>
                </c:pt>
                <c:pt idx="398">
                  <c:v>570.07936609366686</c:v>
                </c:pt>
                <c:pt idx="399">
                  <c:v>572.11691342920096</c:v>
                </c:pt>
                <c:pt idx="400">
                  <c:v>574.14853936122688</c:v>
                </c:pt>
                <c:pt idx="401">
                  <c:v>576.17418482922812</c:v>
                </c:pt>
                <c:pt idx="402">
                  <c:v>578.19379152690624</c:v>
                </c:pt>
                <c:pt idx="403">
                  <c:v>580.20730191528924</c:v>
                </c:pt>
                <c:pt idx="404">
                  <c:v>582.21465923513131</c:v>
                </c:pt>
                <c:pt idx="405">
                  <c:v>584.21580751862814</c:v>
                </c:pt>
                <c:pt idx="406">
                  <c:v>586.2106916004725</c:v>
                </c:pt>
                <c:pt idx="407">
                  <c:v>588.1992571282716</c:v>
                </c:pt>
                <c:pt idx="408">
                  <c:v>590.1814505723471</c:v>
                </c:pt>
                <c:pt idx="409">
                  <c:v>592.15721923493777</c:v>
                </c:pt>
                <c:pt idx="410">
                  <c:v>594.12651125882326</c:v>
                </c:pt>
                <c:pt idx="411">
                  <c:v>596.089275635386</c:v>
                </c:pt>
                <c:pt idx="412">
                  <c:v>598.04546221212865</c:v>
                </c:pt>
                <c:pt idx="413">
                  <c:v>599.99502169966263</c:v>
                </c:pt>
                <c:pt idx="414">
                  <c:v>601.93790567818212</c:v>
                </c:pt>
                <c:pt idx="415">
                  <c:v>603.87406660343913</c:v>
                </c:pt>
                <c:pt idx="416">
                  <c:v>605.8034578122323</c:v>
                </c:pt>
                <c:pt idx="417">
                  <c:v>607.72603352742249</c:v>
                </c:pt>
                <c:pt idx="418">
                  <c:v>609.64174886248884</c:v>
                </c:pt>
                <c:pt idx="419">
                  <c:v>611.55055982563579</c:v>
                </c:pt>
                <c:pt idx="420">
                  <c:v>613.45242332346413</c:v>
                </c:pt>
                <c:pt idx="421">
                  <c:v>615.347297164216</c:v>
                </c:pt>
                <c:pt idx="422">
                  <c:v>617.23514006060577</c:v>
                </c:pt>
                <c:pt idx="423">
                  <c:v>619.11591163224625</c:v>
                </c:pt>
                <c:pt idx="424">
                  <c:v>620.98957240768107</c:v>
                </c:pt>
                <c:pt idx="425">
                  <c:v>622.85608382603277</c:v>
                </c:pt>
                <c:pt idx="426">
                  <c:v>624.71540823827627</c:v>
                </c:pt>
                <c:pt idx="427">
                  <c:v>626.56750890814669</c:v>
                </c:pt>
                <c:pt idx="428">
                  <c:v>628.41235001269092</c:v>
                </c:pt>
                <c:pt idx="429">
                  <c:v>630.24989664247198</c:v>
                </c:pt>
                <c:pt idx="430">
                  <c:v>632.08011480143409</c:v>
                </c:pt>
                <c:pt idx="431">
                  <c:v>633.90297140643747</c:v>
                </c:pt>
                <c:pt idx="432">
                  <c:v>635.71843428647139</c:v>
                </c:pt>
                <c:pt idx="433">
                  <c:v>637.52647218155255</c:v>
                </c:pt>
                <c:pt idx="434">
                  <c:v>639.32705474131808</c:v>
                </c:pt>
                <c:pt idx="435">
                  <c:v>641.12015252332014</c:v>
                </c:pt>
                <c:pt idx="436">
                  <c:v>642.90573699102993</c:v>
                </c:pt>
                <c:pt idx="437">
                  <c:v>644.68378051155867</c:v>
                </c:pt>
                <c:pt idx="438">
                  <c:v>646.4542563531038</c:v>
                </c:pt>
                <c:pt idx="439">
                  <c:v>648.21713868212612</c:v>
                </c:pt>
                <c:pt idx="440">
                  <c:v>649.97240256026691</c:v>
                </c:pt>
                <c:pt idx="441">
                  <c:v>651.7200239410106</c:v>
                </c:pt>
                <c:pt idx="442">
                  <c:v>653.45997966610162</c:v>
                </c:pt>
                <c:pt idx="443">
                  <c:v>655.1922474617204</c:v>
                </c:pt>
                <c:pt idx="444">
                  <c:v>656.91680593442754</c:v>
                </c:pt>
                <c:pt idx="445">
                  <c:v>658.63363456688126</c:v>
                </c:pt>
                <c:pt idx="446">
                  <c:v>660.34271371333557</c:v>
                </c:pt>
                <c:pt idx="447">
                  <c:v>662.04402459492565</c:v>
                </c:pt>
                <c:pt idx="448">
                  <c:v>663.73754929474705</c:v>
                </c:pt>
                <c:pt idx="449">
                  <c:v>665.42327075273488</c:v>
                </c:pt>
                <c:pt idx="450">
                  <c:v>667.10117276034964</c:v>
                </c:pt>
                <c:pt idx="451">
                  <c:v>668.77123995507566</c:v>
                </c:pt>
                <c:pt idx="452">
                  <c:v>670.43345781473909</c:v>
                </c:pt>
                <c:pt idx="453">
                  <c:v>672.08781265165067</c:v>
                </c:pt>
                <c:pt idx="454">
                  <c:v>673.73429160657986</c:v>
                </c:pt>
                <c:pt idx="455">
                  <c:v>675.37288264256608</c:v>
                </c:pt>
                <c:pt idx="456">
                  <c:v>677.00357453857384</c:v>
                </c:pt>
                <c:pt idx="457">
                  <c:v>678.62635688299588</c:v>
                </c:pt>
                <c:pt idx="458">
                  <c:v>680.24122006701214</c:v>
                </c:pt>
                <c:pt idx="459">
                  <c:v>681.84815527780847</c:v>
                </c:pt>
                <c:pt idx="460">
                  <c:v>683.4471544916621</c:v>
                </c:pt>
                <c:pt idx="461">
                  <c:v>685.0382104668987</c:v>
                </c:pt>
                <c:pt idx="462">
                  <c:v>686.62131673672627</c:v>
                </c:pt>
                <c:pt idx="463">
                  <c:v>688.19646760195224</c:v>
                </c:pt>
                <c:pt idx="464">
                  <c:v>689.76365812358847</c:v>
                </c:pt>
                <c:pt idx="465">
                  <c:v>691.32288411534898</c:v>
                </c:pt>
                <c:pt idx="466">
                  <c:v>692.87414213604666</c:v>
                </c:pt>
                <c:pt idx="467">
                  <c:v>694.41742948189335</c:v>
                </c:pt>
                <c:pt idx="468">
                  <c:v>695.95274417870849</c:v>
                </c:pt>
                <c:pt idx="469">
                  <c:v>697.48008497404135</c:v>
                </c:pt>
                <c:pt idx="470">
                  <c:v>698.99945132921175</c:v>
                </c:pt>
                <c:pt idx="471">
                  <c:v>700.51084341127398</c:v>
                </c:pt>
                <c:pt idx="472">
                  <c:v>702.01426208490841</c:v>
                </c:pt>
                <c:pt idx="473">
                  <c:v>703.50970890424639</c:v>
                </c:pt>
                <c:pt idx="474">
                  <c:v>704.99718610463185</c:v>
                </c:pt>
                <c:pt idx="475">
                  <c:v>706.47669659432461</c:v>
                </c:pt>
                <c:pt idx="476">
                  <c:v>707.94824394615</c:v>
                </c:pt>
                <c:pt idx="477">
                  <c:v>709.41183238909878</c:v>
                </c:pt>
                <c:pt idx="478">
                  <c:v>710.86746679988221</c:v>
                </c:pt>
                <c:pt idx="479">
                  <c:v>712.31515269444515</c:v>
                </c:pt>
                <c:pt idx="480">
                  <c:v>713.75489621944303</c:v>
                </c:pt>
                <c:pt idx="481">
                  <c:v>715.18670414368523</c:v>
                </c:pt>
                <c:pt idx="482">
                  <c:v>716.61058384955004</c:v>
                </c:pt>
                <c:pt idx="483">
                  <c:v>718.02654332437351</c:v>
                </c:pt>
                <c:pt idx="484">
                  <c:v>719.43459115181781</c:v>
                </c:pt>
                <c:pt idx="485">
                  <c:v>720.83473650322139</c:v>
                </c:pt>
                <c:pt idx="486">
                  <c:v>722.22698912893509</c:v>
                </c:pt>
                <c:pt idx="487">
                  <c:v>723.61135934964773</c:v>
                </c:pt>
                <c:pt idx="488">
                  <c:v>724.98785804770478</c:v>
                </c:pt>
                <c:pt idx="489">
                  <c:v>726.35649665842288</c:v>
                </c:pt>
                <c:pt idx="490">
                  <c:v>727.71728716140456</c:v>
                </c:pt>
                <c:pt idx="491">
                  <c:v>729.07024207185509</c:v>
                </c:pt>
                <c:pt idx="492">
                  <c:v>730.41537443190578</c:v>
                </c:pt>
                <c:pt idx="493">
                  <c:v>731.75269780194583</c:v>
                </c:pt>
                <c:pt idx="494">
                  <c:v>733.08222625196697</c:v>
                </c:pt>
                <c:pt idx="495">
                  <c:v>734.40397435292186</c:v>
                </c:pt>
                <c:pt idx="496">
                  <c:v>735.71795716810095</c:v>
                </c:pt>
                <c:pt idx="497">
                  <c:v>737.0241902445299</c:v>
                </c:pt>
                <c:pt idx="498">
                  <c:v>738.32268960438967</c:v>
                </c:pt>
                <c:pt idx="499">
                  <c:v>739.61347173646243</c:v>
                </c:pt>
                <c:pt idx="500">
                  <c:v>740.89655358760626</c:v>
                </c:pt>
                <c:pt idx="501">
                  <c:v>742.17195255425986</c:v>
                </c:pt>
                <c:pt idx="502">
                  <c:v>743.43968647398083</c:v>
                </c:pt>
                <c:pt idx="503">
                  <c:v>744.69977361701888</c:v>
                </c:pt>
                <c:pt idx="504">
                  <c:v>745.95223267792733</c:v>
                </c:pt>
                <c:pt idx="505">
                  <c:v>747.19708276721371</c:v>
                </c:pt>
                <c:pt idx="506">
                  <c:v>748.43434340303247</c:v>
                </c:pt>
                <c:pt idx="507">
                  <c:v>749.66403450292171</c:v>
                </c:pt>
                <c:pt idx="508">
                  <c:v>750.88617637558536</c:v>
                </c:pt>
                <c:pt idx="509">
                  <c:v>752.10078971272333</c:v>
                </c:pt>
                <c:pt idx="510">
                  <c:v>753.30789558091089</c:v>
                </c:pt>
                <c:pt idx="511">
                  <c:v>754.50751541352975</c:v>
                </c:pt>
                <c:pt idx="512">
                  <c:v>755.6996710027513</c:v>
                </c:pt>
                <c:pt idx="513">
                  <c:v>756.88438449157502</c:v>
                </c:pt>
                <c:pt idx="514">
                  <c:v>758.06167836592249</c:v>
                </c:pt>
                <c:pt idx="515">
                  <c:v>759.23157544678907</c:v>
                </c:pt>
                <c:pt idx="516">
                  <c:v>760.39409888245461</c:v>
                </c:pt>
                <c:pt idx="517">
                  <c:v>761.54927214075428</c:v>
                </c:pt>
                <c:pt idx="518">
                  <c:v>762.6971190014109</c:v>
                </c:pt>
                <c:pt idx="519">
                  <c:v>763.83766354843044</c:v>
                </c:pt>
                <c:pt idx="520">
                  <c:v>764.97093016256099</c:v>
                </c:pt>
                <c:pt idx="521">
                  <c:v>766.09694351381722</c:v>
                </c:pt>
                <c:pt idx="522">
                  <c:v>767.21572855407101</c:v>
                </c:pt>
                <c:pt idx="523">
                  <c:v>768.3273105097087</c:v>
                </c:pt>
                <c:pt idx="524">
                  <c:v>769.431714874357</c:v>
                </c:pt>
                <c:pt idx="525">
                  <c:v>770.52896740167785</c:v>
                </c:pt>
                <c:pt idx="526">
                  <c:v>770.52896740167785</c:v>
                </c:pt>
                <c:pt idx="527">
                  <c:v>770.52896740167785</c:v>
                </c:pt>
                <c:pt idx="528">
                  <c:v>770.52896740167785</c:v>
                </c:pt>
                <c:pt idx="529">
                  <c:v>770.52896740167785</c:v>
                </c:pt>
                <c:pt idx="530">
                  <c:v>770.52896740167785</c:v>
                </c:pt>
                <c:pt idx="531">
                  <c:v>770.52896740167785</c:v>
                </c:pt>
                <c:pt idx="532">
                  <c:v>770.52896740167785</c:v>
                </c:pt>
                <c:pt idx="533">
                  <c:v>770.52896740167785</c:v>
                </c:pt>
                <c:pt idx="534">
                  <c:v>770.52896740167785</c:v>
                </c:pt>
                <c:pt idx="535">
                  <c:v>770.52896740167785</c:v>
                </c:pt>
                <c:pt idx="536">
                  <c:v>770.52896740167785</c:v>
                </c:pt>
                <c:pt idx="537">
                  <c:v>770.52896740167785</c:v>
                </c:pt>
                <c:pt idx="538">
                  <c:v>770.52896740167785</c:v>
                </c:pt>
                <c:pt idx="539">
                  <c:v>770.52896740167785</c:v>
                </c:pt>
                <c:pt idx="540">
                  <c:v>770.52896740167785</c:v>
                </c:pt>
                <c:pt idx="541">
                  <c:v>770.52896740167785</c:v>
                </c:pt>
                <c:pt idx="542">
                  <c:v>770.52896740167785</c:v>
                </c:pt>
                <c:pt idx="543">
                  <c:v>770.52896740167785</c:v>
                </c:pt>
                <c:pt idx="544">
                  <c:v>770.52896740167785</c:v>
                </c:pt>
                <c:pt idx="545">
                  <c:v>770.52896740167785</c:v>
                </c:pt>
                <c:pt idx="546">
                  <c:v>770.52896740167785</c:v>
                </c:pt>
                <c:pt idx="547">
                  <c:v>770.52896740167785</c:v>
                </c:pt>
                <c:pt idx="548">
                  <c:v>770.52896740167785</c:v>
                </c:pt>
                <c:pt idx="549">
                  <c:v>770.52896740167785</c:v>
                </c:pt>
                <c:pt idx="550">
                  <c:v>770.52896740167785</c:v>
                </c:pt>
                <c:pt idx="551">
                  <c:v>770.52896740167785</c:v>
                </c:pt>
                <c:pt idx="552">
                  <c:v>770.52896740167785</c:v>
                </c:pt>
                <c:pt idx="553">
                  <c:v>770.52896740167785</c:v>
                </c:pt>
                <c:pt idx="554">
                  <c:v>770.52896740167785</c:v>
                </c:pt>
                <c:pt idx="555">
                  <c:v>770.52896740167785</c:v>
                </c:pt>
                <c:pt idx="556">
                  <c:v>770.52896740167785</c:v>
                </c:pt>
                <c:pt idx="557">
                  <c:v>770.52896740167785</c:v>
                </c:pt>
                <c:pt idx="558">
                  <c:v>770.52896740167785</c:v>
                </c:pt>
                <c:pt idx="559">
                  <c:v>770.52896740167785</c:v>
                </c:pt>
                <c:pt idx="560">
                  <c:v>770.52896740167785</c:v>
                </c:pt>
                <c:pt idx="561">
                  <c:v>770.52896740167785</c:v>
                </c:pt>
                <c:pt idx="562">
                  <c:v>770.52896740167785</c:v>
                </c:pt>
                <c:pt idx="563">
                  <c:v>770.52896740167785</c:v>
                </c:pt>
                <c:pt idx="564">
                  <c:v>770.52896740167785</c:v>
                </c:pt>
                <c:pt idx="565">
                  <c:v>770.52896740167785</c:v>
                </c:pt>
                <c:pt idx="566">
                  <c:v>770.52896740167785</c:v>
                </c:pt>
                <c:pt idx="567">
                  <c:v>770.52896740167785</c:v>
                </c:pt>
                <c:pt idx="568">
                  <c:v>770.52896740167785</c:v>
                </c:pt>
                <c:pt idx="569">
                  <c:v>770.52896740167785</c:v>
                </c:pt>
                <c:pt idx="570">
                  <c:v>770.52896740167785</c:v>
                </c:pt>
                <c:pt idx="571">
                  <c:v>770.52896740167785</c:v>
                </c:pt>
                <c:pt idx="572">
                  <c:v>770.52896740167785</c:v>
                </c:pt>
                <c:pt idx="573">
                  <c:v>770.52896740167785</c:v>
                </c:pt>
                <c:pt idx="574">
                  <c:v>770.52896740167785</c:v>
                </c:pt>
                <c:pt idx="575">
                  <c:v>770.52896740167785</c:v>
                </c:pt>
                <c:pt idx="576">
                  <c:v>770.52896740167785</c:v>
                </c:pt>
                <c:pt idx="577">
                  <c:v>770.52896740167785</c:v>
                </c:pt>
                <c:pt idx="578">
                  <c:v>770.52896740167785</c:v>
                </c:pt>
                <c:pt idx="579">
                  <c:v>770.52896740167785</c:v>
                </c:pt>
                <c:pt idx="580">
                  <c:v>770.52896740167785</c:v>
                </c:pt>
                <c:pt idx="581">
                  <c:v>770.52896740167785</c:v>
                </c:pt>
                <c:pt idx="582">
                  <c:v>770.52896740167785</c:v>
                </c:pt>
                <c:pt idx="583">
                  <c:v>770.52896740167785</c:v>
                </c:pt>
                <c:pt idx="584">
                  <c:v>770.52896740167785</c:v>
                </c:pt>
                <c:pt idx="585">
                  <c:v>770.52896740167785</c:v>
                </c:pt>
                <c:pt idx="586">
                  <c:v>770.52896740167785</c:v>
                </c:pt>
                <c:pt idx="587">
                  <c:v>770.52896740167785</c:v>
                </c:pt>
                <c:pt idx="588">
                  <c:v>770.52896740167785</c:v>
                </c:pt>
                <c:pt idx="589">
                  <c:v>770.52896740167785</c:v>
                </c:pt>
                <c:pt idx="590">
                  <c:v>770.52896740167785</c:v>
                </c:pt>
                <c:pt idx="591">
                  <c:v>770.52896740167785</c:v>
                </c:pt>
                <c:pt idx="592">
                  <c:v>770.52896740167785</c:v>
                </c:pt>
                <c:pt idx="593">
                  <c:v>770.52896740167785</c:v>
                </c:pt>
                <c:pt idx="594">
                  <c:v>770.52896740167785</c:v>
                </c:pt>
                <c:pt idx="595">
                  <c:v>770.52896740167785</c:v>
                </c:pt>
                <c:pt idx="596">
                  <c:v>770.52896740167785</c:v>
                </c:pt>
                <c:pt idx="597">
                  <c:v>770.52896740167785</c:v>
                </c:pt>
                <c:pt idx="598">
                  <c:v>770.52896740167785</c:v>
                </c:pt>
                <c:pt idx="599">
                  <c:v>770.52896740167785</c:v>
                </c:pt>
                <c:pt idx="600">
                  <c:v>770.52896740167785</c:v>
                </c:pt>
                <c:pt idx="601">
                  <c:v>770.52896740167785</c:v>
                </c:pt>
                <c:pt idx="602">
                  <c:v>770.52896740167785</c:v>
                </c:pt>
                <c:pt idx="603">
                  <c:v>770.52896740167785</c:v>
                </c:pt>
                <c:pt idx="604">
                  <c:v>770.52896740167785</c:v>
                </c:pt>
                <c:pt idx="605">
                  <c:v>770.52896740167785</c:v>
                </c:pt>
                <c:pt idx="606">
                  <c:v>770.52896740167785</c:v>
                </c:pt>
                <c:pt idx="607">
                  <c:v>770.52896740167785</c:v>
                </c:pt>
                <c:pt idx="608">
                  <c:v>770.52896740167785</c:v>
                </c:pt>
                <c:pt idx="609">
                  <c:v>770.52896740167785</c:v>
                </c:pt>
                <c:pt idx="610">
                  <c:v>770.52896740167785</c:v>
                </c:pt>
                <c:pt idx="611">
                  <c:v>770.52896740167785</c:v>
                </c:pt>
                <c:pt idx="612">
                  <c:v>770.52896740167785</c:v>
                </c:pt>
                <c:pt idx="613">
                  <c:v>770.52896740167785</c:v>
                </c:pt>
                <c:pt idx="614">
                  <c:v>770.52896740167785</c:v>
                </c:pt>
                <c:pt idx="615">
                  <c:v>770.52896740167785</c:v>
                </c:pt>
                <c:pt idx="616">
                  <c:v>770.52896740167785</c:v>
                </c:pt>
                <c:pt idx="617">
                  <c:v>770.52896740167785</c:v>
                </c:pt>
                <c:pt idx="618">
                  <c:v>770.52896740167785</c:v>
                </c:pt>
                <c:pt idx="619">
                  <c:v>770.52896740167785</c:v>
                </c:pt>
                <c:pt idx="620">
                  <c:v>770.52896740167785</c:v>
                </c:pt>
                <c:pt idx="621">
                  <c:v>770.52896740167785</c:v>
                </c:pt>
                <c:pt idx="622">
                  <c:v>770.52896740167785</c:v>
                </c:pt>
                <c:pt idx="623">
                  <c:v>770.52896740167785</c:v>
                </c:pt>
                <c:pt idx="624">
                  <c:v>770.52896740167785</c:v>
                </c:pt>
                <c:pt idx="625">
                  <c:v>770.52896740167785</c:v>
                </c:pt>
                <c:pt idx="626">
                  <c:v>770.52896740167785</c:v>
                </c:pt>
                <c:pt idx="627">
                  <c:v>770.52896740167785</c:v>
                </c:pt>
                <c:pt idx="628">
                  <c:v>770.52896740167785</c:v>
                </c:pt>
                <c:pt idx="629">
                  <c:v>770.52896740167785</c:v>
                </c:pt>
                <c:pt idx="630">
                  <c:v>770.52896740167785</c:v>
                </c:pt>
                <c:pt idx="631">
                  <c:v>770.52896740167785</c:v>
                </c:pt>
                <c:pt idx="632">
                  <c:v>770.52896740167785</c:v>
                </c:pt>
                <c:pt idx="633">
                  <c:v>770.52896740167785</c:v>
                </c:pt>
                <c:pt idx="634">
                  <c:v>770.52896740167785</c:v>
                </c:pt>
                <c:pt idx="635">
                  <c:v>770.52896740167785</c:v>
                </c:pt>
                <c:pt idx="636">
                  <c:v>770.52896740167785</c:v>
                </c:pt>
                <c:pt idx="637">
                  <c:v>770.52896740167785</c:v>
                </c:pt>
                <c:pt idx="638">
                  <c:v>770.52896740167785</c:v>
                </c:pt>
                <c:pt idx="639">
                  <c:v>770.52896740167785</c:v>
                </c:pt>
                <c:pt idx="640">
                  <c:v>770.52896740167785</c:v>
                </c:pt>
                <c:pt idx="641">
                  <c:v>770.52896740167785</c:v>
                </c:pt>
                <c:pt idx="642">
                  <c:v>770.52896740167785</c:v>
                </c:pt>
                <c:pt idx="643">
                  <c:v>770.52896740167785</c:v>
                </c:pt>
                <c:pt idx="644">
                  <c:v>770.52896740167785</c:v>
                </c:pt>
                <c:pt idx="645">
                  <c:v>770.52896740167785</c:v>
                </c:pt>
                <c:pt idx="646">
                  <c:v>770.52896740167785</c:v>
                </c:pt>
                <c:pt idx="647">
                  <c:v>770.52896740167785</c:v>
                </c:pt>
                <c:pt idx="648">
                  <c:v>770.52896740167785</c:v>
                </c:pt>
                <c:pt idx="649">
                  <c:v>770.52896740167785</c:v>
                </c:pt>
                <c:pt idx="650">
                  <c:v>770.52896740167785</c:v>
                </c:pt>
                <c:pt idx="651">
                  <c:v>770.52896740167785</c:v>
                </c:pt>
                <c:pt idx="652">
                  <c:v>770.52896740167785</c:v>
                </c:pt>
                <c:pt idx="653">
                  <c:v>770.52896740167785</c:v>
                </c:pt>
                <c:pt idx="654">
                  <c:v>770.52896740167785</c:v>
                </c:pt>
                <c:pt idx="655">
                  <c:v>770.52896740167785</c:v>
                </c:pt>
                <c:pt idx="656">
                  <c:v>770.52896740167785</c:v>
                </c:pt>
                <c:pt idx="657">
                  <c:v>770.52896740167785</c:v>
                </c:pt>
                <c:pt idx="658">
                  <c:v>770.52896740167785</c:v>
                </c:pt>
                <c:pt idx="659">
                  <c:v>770.52896740167785</c:v>
                </c:pt>
                <c:pt idx="660">
                  <c:v>770.52896740167785</c:v>
                </c:pt>
                <c:pt idx="661">
                  <c:v>770.52896740167785</c:v>
                </c:pt>
                <c:pt idx="662">
                  <c:v>770.52896740167785</c:v>
                </c:pt>
                <c:pt idx="663">
                  <c:v>770.52896740167785</c:v>
                </c:pt>
                <c:pt idx="664">
                  <c:v>770.52896740167785</c:v>
                </c:pt>
                <c:pt idx="665">
                  <c:v>770.52896740167785</c:v>
                </c:pt>
                <c:pt idx="666">
                  <c:v>770.52896740167785</c:v>
                </c:pt>
                <c:pt idx="667">
                  <c:v>770.52896740167785</c:v>
                </c:pt>
                <c:pt idx="668">
                  <c:v>770.52896740167785</c:v>
                </c:pt>
                <c:pt idx="669">
                  <c:v>770.52896740167785</c:v>
                </c:pt>
                <c:pt idx="670">
                  <c:v>770.52896740167785</c:v>
                </c:pt>
                <c:pt idx="671">
                  <c:v>770.52896740167785</c:v>
                </c:pt>
                <c:pt idx="672">
                  <c:v>770.52896740167785</c:v>
                </c:pt>
                <c:pt idx="673">
                  <c:v>770.52896740167785</c:v>
                </c:pt>
                <c:pt idx="674">
                  <c:v>770.52896740167785</c:v>
                </c:pt>
                <c:pt idx="675">
                  <c:v>770.52896740167785</c:v>
                </c:pt>
                <c:pt idx="676">
                  <c:v>770.52896740167785</c:v>
                </c:pt>
                <c:pt idx="677">
                  <c:v>770.52896740167785</c:v>
                </c:pt>
                <c:pt idx="678">
                  <c:v>770.52896740167785</c:v>
                </c:pt>
                <c:pt idx="679">
                  <c:v>770.52896740167785</c:v>
                </c:pt>
                <c:pt idx="680">
                  <c:v>770.52896740167785</c:v>
                </c:pt>
                <c:pt idx="681">
                  <c:v>770.52896740167785</c:v>
                </c:pt>
                <c:pt idx="682">
                  <c:v>770.52896740167785</c:v>
                </c:pt>
                <c:pt idx="683">
                  <c:v>770.52896740167785</c:v>
                </c:pt>
                <c:pt idx="684">
                  <c:v>770.52896740167785</c:v>
                </c:pt>
                <c:pt idx="685">
                  <c:v>770.52896740167785</c:v>
                </c:pt>
                <c:pt idx="686">
                  <c:v>770.52896740167785</c:v>
                </c:pt>
                <c:pt idx="687">
                  <c:v>770.52896740167785</c:v>
                </c:pt>
                <c:pt idx="688">
                  <c:v>770.52896740167785</c:v>
                </c:pt>
                <c:pt idx="689">
                  <c:v>770.52896740167785</c:v>
                </c:pt>
                <c:pt idx="690">
                  <c:v>770.52896740167785</c:v>
                </c:pt>
                <c:pt idx="691">
                  <c:v>770.52896740167785</c:v>
                </c:pt>
                <c:pt idx="692">
                  <c:v>770.52896740167785</c:v>
                </c:pt>
                <c:pt idx="693">
                  <c:v>770.52896740167785</c:v>
                </c:pt>
                <c:pt idx="694">
                  <c:v>770.52896740167785</c:v>
                </c:pt>
                <c:pt idx="695">
                  <c:v>770.52896740167785</c:v>
                </c:pt>
                <c:pt idx="696">
                  <c:v>770.52896740167785</c:v>
                </c:pt>
                <c:pt idx="697">
                  <c:v>770.52896740167785</c:v>
                </c:pt>
                <c:pt idx="698">
                  <c:v>770.52896740167785</c:v>
                </c:pt>
                <c:pt idx="699">
                  <c:v>770.52896740167785</c:v>
                </c:pt>
                <c:pt idx="700">
                  <c:v>770.52896740167785</c:v>
                </c:pt>
                <c:pt idx="701">
                  <c:v>770.52896740167785</c:v>
                </c:pt>
                <c:pt idx="702">
                  <c:v>770.52896740167785</c:v>
                </c:pt>
                <c:pt idx="703">
                  <c:v>770.52896740167785</c:v>
                </c:pt>
                <c:pt idx="704">
                  <c:v>770.52896740167785</c:v>
                </c:pt>
                <c:pt idx="705">
                  <c:v>770.52896740167785</c:v>
                </c:pt>
                <c:pt idx="706">
                  <c:v>770.52896740167785</c:v>
                </c:pt>
                <c:pt idx="707">
                  <c:v>770.52896740167785</c:v>
                </c:pt>
                <c:pt idx="708">
                  <c:v>770.52896740167785</c:v>
                </c:pt>
                <c:pt idx="709">
                  <c:v>770.52896740167785</c:v>
                </c:pt>
                <c:pt idx="710">
                  <c:v>770.52896740167785</c:v>
                </c:pt>
                <c:pt idx="711">
                  <c:v>770.52896740167785</c:v>
                </c:pt>
                <c:pt idx="712">
                  <c:v>770.52896740167785</c:v>
                </c:pt>
                <c:pt idx="713">
                  <c:v>770.52896740167785</c:v>
                </c:pt>
                <c:pt idx="714">
                  <c:v>770.52896740167785</c:v>
                </c:pt>
                <c:pt idx="715">
                  <c:v>770.52896740167785</c:v>
                </c:pt>
                <c:pt idx="716">
                  <c:v>770.52896740167785</c:v>
                </c:pt>
                <c:pt idx="717">
                  <c:v>770.52896740167785</c:v>
                </c:pt>
                <c:pt idx="718">
                  <c:v>770.52896740167785</c:v>
                </c:pt>
                <c:pt idx="719">
                  <c:v>770.52896740167785</c:v>
                </c:pt>
                <c:pt idx="720">
                  <c:v>770.52896740167785</c:v>
                </c:pt>
                <c:pt idx="721">
                  <c:v>770.52896740167785</c:v>
                </c:pt>
                <c:pt idx="722">
                  <c:v>770.52896740167785</c:v>
                </c:pt>
                <c:pt idx="723">
                  <c:v>770.52896740167785</c:v>
                </c:pt>
                <c:pt idx="724">
                  <c:v>770.52896740167785</c:v>
                </c:pt>
                <c:pt idx="725">
                  <c:v>770.52896740167785</c:v>
                </c:pt>
                <c:pt idx="726">
                  <c:v>770.52896740167785</c:v>
                </c:pt>
                <c:pt idx="727">
                  <c:v>770.52896740167785</c:v>
                </c:pt>
                <c:pt idx="728">
                  <c:v>770.52896740167785</c:v>
                </c:pt>
                <c:pt idx="729">
                  <c:v>770.52896740167785</c:v>
                </c:pt>
                <c:pt idx="730">
                  <c:v>770.52896740167785</c:v>
                </c:pt>
                <c:pt idx="731">
                  <c:v>770.52896740167785</c:v>
                </c:pt>
                <c:pt idx="732">
                  <c:v>770.52896740167785</c:v>
                </c:pt>
                <c:pt idx="733">
                  <c:v>770.52896740167785</c:v>
                </c:pt>
                <c:pt idx="734">
                  <c:v>770.52896740167785</c:v>
                </c:pt>
                <c:pt idx="735">
                  <c:v>770.52896740167785</c:v>
                </c:pt>
                <c:pt idx="736">
                  <c:v>770.52896740167785</c:v>
                </c:pt>
                <c:pt idx="737">
                  <c:v>770.52896740167785</c:v>
                </c:pt>
                <c:pt idx="738">
                  <c:v>770.52896740167785</c:v>
                </c:pt>
                <c:pt idx="739">
                  <c:v>770.52896740167785</c:v>
                </c:pt>
                <c:pt idx="740">
                  <c:v>770.52896740167785</c:v>
                </c:pt>
                <c:pt idx="741">
                  <c:v>770.52896740167785</c:v>
                </c:pt>
                <c:pt idx="742">
                  <c:v>770.52896740167785</c:v>
                </c:pt>
                <c:pt idx="743">
                  <c:v>770.52896740167785</c:v>
                </c:pt>
                <c:pt idx="744">
                  <c:v>770.52896740167785</c:v>
                </c:pt>
                <c:pt idx="745">
                  <c:v>770.52896740167785</c:v>
                </c:pt>
                <c:pt idx="746">
                  <c:v>770.52896740167785</c:v>
                </c:pt>
                <c:pt idx="747">
                  <c:v>770.52896740167785</c:v>
                </c:pt>
                <c:pt idx="748">
                  <c:v>770.52896740167785</c:v>
                </c:pt>
                <c:pt idx="749">
                  <c:v>770.52896740167785</c:v>
                </c:pt>
                <c:pt idx="750">
                  <c:v>770.52896740167785</c:v>
                </c:pt>
                <c:pt idx="751">
                  <c:v>770.52896740167785</c:v>
                </c:pt>
                <c:pt idx="752">
                  <c:v>770.52896740167785</c:v>
                </c:pt>
                <c:pt idx="753">
                  <c:v>770.52896740167785</c:v>
                </c:pt>
                <c:pt idx="754">
                  <c:v>770.52896740167785</c:v>
                </c:pt>
                <c:pt idx="755">
                  <c:v>770.52896740167785</c:v>
                </c:pt>
                <c:pt idx="756">
                  <c:v>770.52896740167785</c:v>
                </c:pt>
                <c:pt idx="757">
                  <c:v>770.52896740167785</c:v>
                </c:pt>
                <c:pt idx="758">
                  <c:v>770.52896740167785</c:v>
                </c:pt>
                <c:pt idx="759">
                  <c:v>770.52896740167785</c:v>
                </c:pt>
                <c:pt idx="760">
                  <c:v>770.52896740167785</c:v>
                </c:pt>
                <c:pt idx="761">
                  <c:v>770.52896740167785</c:v>
                </c:pt>
                <c:pt idx="762">
                  <c:v>770.52896740167785</c:v>
                </c:pt>
                <c:pt idx="763">
                  <c:v>770.52896740167785</c:v>
                </c:pt>
                <c:pt idx="764">
                  <c:v>770.52896740167785</c:v>
                </c:pt>
                <c:pt idx="765">
                  <c:v>770.52896740167785</c:v>
                </c:pt>
                <c:pt idx="766">
                  <c:v>770.52896740167785</c:v>
                </c:pt>
                <c:pt idx="767">
                  <c:v>770.52896740167785</c:v>
                </c:pt>
                <c:pt idx="768">
                  <c:v>770.52896740167785</c:v>
                </c:pt>
                <c:pt idx="769">
                  <c:v>770.52896740167785</c:v>
                </c:pt>
                <c:pt idx="770">
                  <c:v>770.52896740167785</c:v>
                </c:pt>
                <c:pt idx="771">
                  <c:v>770.52896740167785</c:v>
                </c:pt>
                <c:pt idx="772">
                  <c:v>770.52896740167785</c:v>
                </c:pt>
                <c:pt idx="773">
                  <c:v>770.52896740167785</c:v>
                </c:pt>
                <c:pt idx="774">
                  <c:v>770.52896740167785</c:v>
                </c:pt>
                <c:pt idx="775">
                  <c:v>770.52896740167785</c:v>
                </c:pt>
                <c:pt idx="776">
                  <c:v>770.52896740167785</c:v>
                </c:pt>
                <c:pt idx="777">
                  <c:v>770.52896740167785</c:v>
                </c:pt>
                <c:pt idx="778">
                  <c:v>770.52896740167785</c:v>
                </c:pt>
                <c:pt idx="779">
                  <c:v>770.52896740167785</c:v>
                </c:pt>
                <c:pt idx="780">
                  <c:v>770.52896740167785</c:v>
                </c:pt>
                <c:pt idx="781">
                  <c:v>770.52896740167785</c:v>
                </c:pt>
                <c:pt idx="782">
                  <c:v>770.52896740167785</c:v>
                </c:pt>
                <c:pt idx="783">
                  <c:v>770.52896740167785</c:v>
                </c:pt>
                <c:pt idx="784">
                  <c:v>770.52896740167785</c:v>
                </c:pt>
                <c:pt idx="785">
                  <c:v>770.52896740167785</c:v>
                </c:pt>
                <c:pt idx="786">
                  <c:v>770.52896740167785</c:v>
                </c:pt>
                <c:pt idx="787">
                  <c:v>770.52896740167785</c:v>
                </c:pt>
                <c:pt idx="788">
                  <c:v>770.52896740167785</c:v>
                </c:pt>
                <c:pt idx="789">
                  <c:v>770.52896740167785</c:v>
                </c:pt>
                <c:pt idx="790">
                  <c:v>770.52896740167785</c:v>
                </c:pt>
                <c:pt idx="791">
                  <c:v>770.52896740167785</c:v>
                </c:pt>
                <c:pt idx="792">
                  <c:v>770.52896740167785</c:v>
                </c:pt>
                <c:pt idx="793">
                  <c:v>770.52896740167785</c:v>
                </c:pt>
                <c:pt idx="794">
                  <c:v>770.52896740167785</c:v>
                </c:pt>
                <c:pt idx="795">
                  <c:v>770.52896740167785</c:v>
                </c:pt>
                <c:pt idx="796">
                  <c:v>770.52896740167785</c:v>
                </c:pt>
                <c:pt idx="797">
                  <c:v>770.52896740167785</c:v>
                </c:pt>
                <c:pt idx="798">
                  <c:v>770.52896740167785</c:v>
                </c:pt>
                <c:pt idx="799">
                  <c:v>770.52896740167785</c:v>
                </c:pt>
                <c:pt idx="800">
                  <c:v>770.52896740167785</c:v>
                </c:pt>
                <c:pt idx="801">
                  <c:v>770.52896740167785</c:v>
                </c:pt>
                <c:pt idx="802">
                  <c:v>770.52896740167785</c:v>
                </c:pt>
                <c:pt idx="803">
                  <c:v>770.52896740167785</c:v>
                </c:pt>
                <c:pt idx="804">
                  <c:v>770.52896740167785</c:v>
                </c:pt>
                <c:pt idx="805">
                  <c:v>770.52896740167785</c:v>
                </c:pt>
                <c:pt idx="806">
                  <c:v>770.52896740167785</c:v>
                </c:pt>
                <c:pt idx="807">
                  <c:v>770.52896740167785</c:v>
                </c:pt>
                <c:pt idx="808">
                  <c:v>770.52896740167785</c:v>
                </c:pt>
                <c:pt idx="809">
                  <c:v>770.52896740167785</c:v>
                </c:pt>
                <c:pt idx="810">
                  <c:v>770.52896740167785</c:v>
                </c:pt>
                <c:pt idx="811">
                  <c:v>770.52896740167785</c:v>
                </c:pt>
                <c:pt idx="812">
                  <c:v>770.52896740167785</c:v>
                </c:pt>
                <c:pt idx="813">
                  <c:v>770.52896740167785</c:v>
                </c:pt>
                <c:pt idx="814">
                  <c:v>770.52896740167785</c:v>
                </c:pt>
                <c:pt idx="815">
                  <c:v>770.52896740167785</c:v>
                </c:pt>
                <c:pt idx="816">
                  <c:v>770.52896740167785</c:v>
                </c:pt>
                <c:pt idx="817">
                  <c:v>770.52896740167785</c:v>
                </c:pt>
                <c:pt idx="818">
                  <c:v>770.52896740167785</c:v>
                </c:pt>
                <c:pt idx="819">
                  <c:v>770.52896740167785</c:v>
                </c:pt>
                <c:pt idx="820">
                  <c:v>770.52896740167785</c:v>
                </c:pt>
                <c:pt idx="821">
                  <c:v>770.52896740167785</c:v>
                </c:pt>
                <c:pt idx="822">
                  <c:v>770.52896740167785</c:v>
                </c:pt>
                <c:pt idx="823">
                  <c:v>770.52896740167785</c:v>
                </c:pt>
                <c:pt idx="824">
                  <c:v>770.52896740167785</c:v>
                </c:pt>
                <c:pt idx="825">
                  <c:v>770.52896740167785</c:v>
                </c:pt>
                <c:pt idx="826">
                  <c:v>770.52896740167785</c:v>
                </c:pt>
                <c:pt idx="827">
                  <c:v>770.52896740167785</c:v>
                </c:pt>
                <c:pt idx="828">
                  <c:v>770.52896740167785</c:v>
                </c:pt>
                <c:pt idx="829">
                  <c:v>770.52896740167785</c:v>
                </c:pt>
                <c:pt idx="830">
                  <c:v>770.52896740167785</c:v>
                </c:pt>
                <c:pt idx="831">
                  <c:v>770.52896740167785</c:v>
                </c:pt>
                <c:pt idx="832">
                  <c:v>770.52896740167785</c:v>
                </c:pt>
                <c:pt idx="833">
                  <c:v>770.52896740167785</c:v>
                </c:pt>
                <c:pt idx="834">
                  <c:v>770.52896740167785</c:v>
                </c:pt>
                <c:pt idx="835">
                  <c:v>770.52896740167785</c:v>
                </c:pt>
                <c:pt idx="836">
                  <c:v>770.52896740167785</c:v>
                </c:pt>
                <c:pt idx="837">
                  <c:v>770.52896740167785</c:v>
                </c:pt>
                <c:pt idx="838">
                  <c:v>770.52896740167785</c:v>
                </c:pt>
                <c:pt idx="839">
                  <c:v>770.52896740167785</c:v>
                </c:pt>
                <c:pt idx="840">
                  <c:v>770.52896740167785</c:v>
                </c:pt>
                <c:pt idx="841">
                  <c:v>770.52896740167785</c:v>
                </c:pt>
                <c:pt idx="842">
                  <c:v>770.52896740167785</c:v>
                </c:pt>
                <c:pt idx="843">
                  <c:v>770.52896740167785</c:v>
                </c:pt>
                <c:pt idx="844">
                  <c:v>770.52896740167785</c:v>
                </c:pt>
                <c:pt idx="845">
                  <c:v>770.52896740167785</c:v>
                </c:pt>
                <c:pt idx="846">
                  <c:v>770.52896740167785</c:v>
                </c:pt>
                <c:pt idx="847">
                  <c:v>770.52896740167785</c:v>
                </c:pt>
                <c:pt idx="848">
                  <c:v>770.52896740167785</c:v>
                </c:pt>
                <c:pt idx="849">
                  <c:v>770.52896740167785</c:v>
                </c:pt>
                <c:pt idx="850">
                  <c:v>770.52896740167785</c:v>
                </c:pt>
                <c:pt idx="851">
                  <c:v>770.52896740167785</c:v>
                </c:pt>
                <c:pt idx="852">
                  <c:v>770.52896740167785</c:v>
                </c:pt>
                <c:pt idx="853">
                  <c:v>770.52896740167785</c:v>
                </c:pt>
                <c:pt idx="854">
                  <c:v>770.52896740167785</c:v>
                </c:pt>
                <c:pt idx="855">
                  <c:v>770.52896740167785</c:v>
                </c:pt>
                <c:pt idx="856">
                  <c:v>770.52896740167785</c:v>
                </c:pt>
                <c:pt idx="857">
                  <c:v>770.52896740167785</c:v>
                </c:pt>
                <c:pt idx="858">
                  <c:v>770.52896740167785</c:v>
                </c:pt>
                <c:pt idx="859">
                  <c:v>770.52896740167785</c:v>
                </c:pt>
                <c:pt idx="860">
                  <c:v>770.52896740167785</c:v>
                </c:pt>
                <c:pt idx="861">
                  <c:v>770.52896740167785</c:v>
                </c:pt>
                <c:pt idx="862">
                  <c:v>770.52896740167785</c:v>
                </c:pt>
                <c:pt idx="863">
                  <c:v>770.52896740167785</c:v>
                </c:pt>
                <c:pt idx="864">
                  <c:v>770.52896740167785</c:v>
                </c:pt>
                <c:pt idx="865">
                  <c:v>770.52896740167785</c:v>
                </c:pt>
                <c:pt idx="866">
                  <c:v>770.52896740167785</c:v>
                </c:pt>
                <c:pt idx="867">
                  <c:v>770.52896740167785</c:v>
                </c:pt>
                <c:pt idx="868">
                  <c:v>770.52896740167785</c:v>
                </c:pt>
                <c:pt idx="869">
                  <c:v>770.52896740167785</c:v>
                </c:pt>
                <c:pt idx="870">
                  <c:v>770.52896740167785</c:v>
                </c:pt>
                <c:pt idx="871">
                  <c:v>770.52896740167785</c:v>
                </c:pt>
                <c:pt idx="872">
                  <c:v>770.52896740167785</c:v>
                </c:pt>
                <c:pt idx="873">
                  <c:v>770.52896740167785</c:v>
                </c:pt>
                <c:pt idx="874">
                  <c:v>770.52896740167785</c:v>
                </c:pt>
                <c:pt idx="875">
                  <c:v>770.52896740167785</c:v>
                </c:pt>
                <c:pt idx="876">
                  <c:v>770.52896740167785</c:v>
                </c:pt>
                <c:pt idx="877">
                  <c:v>770.52896740167785</c:v>
                </c:pt>
                <c:pt idx="878">
                  <c:v>770.52896740167785</c:v>
                </c:pt>
                <c:pt idx="879">
                  <c:v>770.52896740167785</c:v>
                </c:pt>
                <c:pt idx="880">
                  <c:v>770.52896740167785</c:v>
                </c:pt>
                <c:pt idx="881">
                  <c:v>770.52896740167785</c:v>
                </c:pt>
                <c:pt idx="882">
                  <c:v>770.52896740167785</c:v>
                </c:pt>
                <c:pt idx="883">
                  <c:v>770.52896740167785</c:v>
                </c:pt>
                <c:pt idx="884">
                  <c:v>770.52896740167785</c:v>
                </c:pt>
                <c:pt idx="885">
                  <c:v>770.52896740167785</c:v>
                </c:pt>
                <c:pt idx="886">
                  <c:v>770.52896740167785</c:v>
                </c:pt>
                <c:pt idx="887">
                  <c:v>770.52896740167785</c:v>
                </c:pt>
                <c:pt idx="888">
                  <c:v>770.52896740167785</c:v>
                </c:pt>
                <c:pt idx="889">
                  <c:v>770.52896740167785</c:v>
                </c:pt>
                <c:pt idx="890">
                  <c:v>770.52896740167785</c:v>
                </c:pt>
                <c:pt idx="891">
                  <c:v>770.52896740167785</c:v>
                </c:pt>
                <c:pt idx="892">
                  <c:v>770.52896740167785</c:v>
                </c:pt>
                <c:pt idx="893">
                  <c:v>770.52896740167785</c:v>
                </c:pt>
                <c:pt idx="894">
                  <c:v>770.52896740167785</c:v>
                </c:pt>
                <c:pt idx="895">
                  <c:v>770.52896740167785</c:v>
                </c:pt>
                <c:pt idx="896">
                  <c:v>770.52896740167785</c:v>
                </c:pt>
                <c:pt idx="897">
                  <c:v>770.52896740167785</c:v>
                </c:pt>
                <c:pt idx="898">
                  <c:v>770.52896740167785</c:v>
                </c:pt>
                <c:pt idx="899">
                  <c:v>770.52896740167785</c:v>
                </c:pt>
                <c:pt idx="900">
                  <c:v>770.52896740167785</c:v>
                </c:pt>
                <c:pt idx="901">
                  <c:v>770.52896740167785</c:v>
                </c:pt>
                <c:pt idx="902">
                  <c:v>770.52896740167785</c:v>
                </c:pt>
                <c:pt idx="903">
                  <c:v>770.52896740167785</c:v>
                </c:pt>
                <c:pt idx="904">
                  <c:v>770.52896740167785</c:v>
                </c:pt>
                <c:pt idx="905">
                  <c:v>770.52896740167785</c:v>
                </c:pt>
                <c:pt idx="906">
                  <c:v>770.52896740167785</c:v>
                </c:pt>
                <c:pt idx="907">
                  <c:v>770.52896740167785</c:v>
                </c:pt>
                <c:pt idx="908">
                  <c:v>770.52896740167785</c:v>
                </c:pt>
                <c:pt idx="909">
                  <c:v>770.52896740167785</c:v>
                </c:pt>
                <c:pt idx="910">
                  <c:v>770.52896740167785</c:v>
                </c:pt>
                <c:pt idx="911">
                  <c:v>770.52896740167785</c:v>
                </c:pt>
                <c:pt idx="912">
                  <c:v>770.52896740167785</c:v>
                </c:pt>
                <c:pt idx="913">
                  <c:v>770.52896740167785</c:v>
                </c:pt>
                <c:pt idx="914">
                  <c:v>770.52896740167785</c:v>
                </c:pt>
                <c:pt idx="915">
                  <c:v>770.52896740167785</c:v>
                </c:pt>
                <c:pt idx="916">
                  <c:v>770.52896740167785</c:v>
                </c:pt>
                <c:pt idx="917">
                  <c:v>770.52896740167785</c:v>
                </c:pt>
                <c:pt idx="918">
                  <c:v>770.52896740167785</c:v>
                </c:pt>
                <c:pt idx="919">
                  <c:v>770.52896740167785</c:v>
                </c:pt>
                <c:pt idx="920">
                  <c:v>770.52896740167785</c:v>
                </c:pt>
                <c:pt idx="921">
                  <c:v>770.52896740167785</c:v>
                </c:pt>
                <c:pt idx="922">
                  <c:v>770.52896740167785</c:v>
                </c:pt>
                <c:pt idx="923">
                  <c:v>770.52896740167785</c:v>
                </c:pt>
                <c:pt idx="924">
                  <c:v>770.52896740167785</c:v>
                </c:pt>
                <c:pt idx="925">
                  <c:v>770.52896740167785</c:v>
                </c:pt>
                <c:pt idx="926">
                  <c:v>770.52896740167785</c:v>
                </c:pt>
                <c:pt idx="927">
                  <c:v>770.52896740167785</c:v>
                </c:pt>
                <c:pt idx="928">
                  <c:v>770.52896740167785</c:v>
                </c:pt>
                <c:pt idx="929">
                  <c:v>770.52896740167785</c:v>
                </c:pt>
                <c:pt idx="930">
                  <c:v>770.52896740167785</c:v>
                </c:pt>
                <c:pt idx="931">
                  <c:v>770.52896740167785</c:v>
                </c:pt>
                <c:pt idx="932">
                  <c:v>770.52896740167785</c:v>
                </c:pt>
                <c:pt idx="933">
                  <c:v>770.52896740167785</c:v>
                </c:pt>
                <c:pt idx="934">
                  <c:v>770.52896740167785</c:v>
                </c:pt>
                <c:pt idx="935">
                  <c:v>770.52896740167785</c:v>
                </c:pt>
                <c:pt idx="936">
                  <c:v>770.52896740167785</c:v>
                </c:pt>
                <c:pt idx="937">
                  <c:v>770.52896740167785</c:v>
                </c:pt>
                <c:pt idx="938">
                  <c:v>770.52896740167785</c:v>
                </c:pt>
                <c:pt idx="939">
                  <c:v>770.52896740167785</c:v>
                </c:pt>
                <c:pt idx="940">
                  <c:v>770.52896740167785</c:v>
                </c:pt>
                <c:pt idx="941">
                  <c:v>770.52896740167785</c:v>
                </c:pt>
                <c:pt idx="942">
                  <c:v>770.52896740167785</c:v>
                </c:pt>
                <c:pt idx="943">
                  <c:v>770.52896740167785</c:v>
                </c:pt>
                <c:pt idx="944">
                  <c:v>770.52896740167785</c:v>
                </c:pt>
                <c:pt idx="945">
                  <c:v>770.52896740167785</c:v>
                </c:pt>
                <c:pt idx="946">
                  <c:v>770.52896740167785</c:v>
                </c:pt>
                <c:pt idx="947">
                  <c:v>770.52896740167785</c:v>
                </c:pt>
                <c:pt idx="948">
                  <c:v>770.52896740167785</c:v>
                </c:pt>
                <c:pt idx="949">
                  <c:v>770.52896740167785</c:v>
                </c:pt>
                <c:pt idx="950">
                  <c:v>770.52896740167785</c:v>
                </c:pt>
                <c:pt idx="951">
                  <c:v>770.52896740167785</c:v>
                </c:pt>
                <c:pt idx="952">
                  <c:v>770.52896740167785</c:v>
                </c:pt>
                <c:pt idx="953">
                  <c:v>770.52896740167785</c:v>
                </c:pt>
                <c:pt idx="954">
                  <c:v>770.52896740167785</c:v>
                </c:pt>
                <c:pt idx="955">
                  <c:v>770.52896740167785</c:v>
                </c:pt>
                <c:pt idx="956">
                  <c:v>770.52896740167785</c:v>
                </c:pt>
                <c:pt idx="957">
                  <c:v>770.52896740167785</c:v>
                </c:pt>
                <c:pt idx="958">
                  <c:v>770.52896740167785</c:v>
                </c:pt>
                <c:pt idx="959">
                  <c:v>770.52896740167785</c:v>
                </c:pt>
                <c:pt idx="960">
                  <c:v>770.52896740167785</c:v>
                </c:pt>
                <c:pt idx="961">
                  <c:v>770.52896740167785</c:v>
                </c:pt>
                <c:pt idx="962">
                  <c:v>770.52896740167785</c:v>
                </c:pt>
                <c:pt idx="963">
                  <c:v>770.52896740167785</c:v>
                </c:pt>
                <c:pt idx="964">
                  <c:v>770.52896740167785</c:v>
                </c:pt>
                <c:pt idx="965">
                  <c:v>770.52896740167785</c:v>
                </c:pt>
                <c:pt idx="966">
                  <c:v>770.52896740167785</c:v>
                </c:pt>
                <c:pt idx="967">
                  <c:v>770.52896740167785</c:v>
                </c:pt>
                <c:pt idx="968">
                  <c:v>770.52896740167785</c:v>
                </c:pt>
                <c:pt idx="969">
                  <c:v>770.52896740167785</c:v>
                </c:pt>
                <c:pt idx="970">
                  <c:v>770.52896740167785</c:v>
                </c:pt>
                <c:pt idx="971">
                  <c:v>770.52896740167785</c:v>
                </c:pt>
                <c:pt idx="972">
                  <c:v>770.52896740167785</c:v>
                </c:pt>
                <c:pt idx="973">
                  <c:v>770.52896740167785</c:v>
                </c:pt>
                <c:pt idx="974">
                  <c:v>770.52896740167785</c:v>
                </c:pt>
                <c:pt idx="975">
                  <c:v>770.52896740167785</c:v>
                </c:pt>
                <c:pt idx="976">
                  <c:v>770.52896740167785</c:v>
                </c:pt>
                <c:pt idx="977">
                  <c:v>770.52896740167785</c:v>
                </c:pt>
                <c:pt idx="978">
                  <c:v>770.52896740167785</c:v>
                </c:pt>
                <c:pt idx="979">
                  <c:v>770.52896740167785</c:v>
                </c:pt>
                <c:pt idx="980">
                  <c:v>770.52896740167785</c:v>
                </c:pt>
                <c:pt idx="981">
                  <c:v>770.52896740167785</c:v>
                </c:pt>
                <c:pt idx="982">
                  <c:v>770.52896740167785</c:v>
                </c:pt>
                <c:pt idx="983">
                  <c:v>770.52896740167785</c:v>
                </c:pt>
                <c:pt idx="984">
                  <c:v>770.52896740167785</c:v>
                </c:pt>
                <c:pt idx="985">
                  <c:v>770.52896740167785</c:v>
                </c:pt>
                <c:pt idx="986">
                  <c:v>770.52896740167785</c:v>
                </c:pt>
                <c:pt idx="987">
                  <c:v>770.52896740167785</c:v>
                </c:pt>
                <c:pt idx="988">
                  <c:v>770.52896740167785</c:v>
                </c:pt>
                <c:pt idx="989">
                  <c:v>770.52896740167785</c:v>
                </c:pt>
                <c:pt idx="990">
                  <c:v>770.52896740167785</c:v>
                </c:pt>
                <c:pt idx="991">
                  <c:v>770.52896740167785</c:v>
                </c:pt>
                <c:pt idx="992">
                  <c:v>770.52896740167785</c:v>
                </c:pt>
                <c:pt idx="993">
                  <c:v>770.52896740167785</c:v>
                </c:pt>
                <c:pt idx="994">
                  <c:v>770.52896740167785</c:v>
                </c:pt>
                <c:pt idx="995">
                  <c:v>770.52896740167785</c:v>
                </c:pt>
                <c:pt idx="996">
                  <c:v>770.52896740167785</c:v>
                </c:pt>
                <c:pt idx="997">
                  <c:v>770.52896740167785</c:v>
                </c:pt>
                <c:pt idx="998">
                  <c:v>770.52896740167785</c:v>
                </c:pt>
                <c:pt idx="999">
                  <c:v>770.52896740167785</c:v>
                </c:pt>
                <c:pt idx="1000">
                  <c:v>770.52896740167785</c:v>
                </c:pt>
              </c:numCache>
            </c:numRef>
          </c:xVal>
          <c:yVal>
            <c:numRef>
              <c:f>Calculs!$K$4:$K$1004</c:f>
              <c:numCache>
                <c:formatCode>0.00</c:formatCode>
                <c:ptCount val="1001"/>
                <c:pt idx="0">
                  <c:v>0</c:v>
                </c:pt>
                <c:pt idx="1">
                  <c:v>9.6179596057260972E-4</c:v>
                </c:pt>
                <c:pt idx="2">
                  <c:v>7.849334862307036E-3</c:v>
                </c:pt>
                <c:pt idx="3">
                  <c:v>2.7104036649354804E-2</c:v>
                </c:pt>
                <c:pt idx="4">
                  <c:v>6.0910676809744435E-2</c:v>
                </c:pt>
                <c:pt idx="5">
                  <c:v>0.10875959295515798</c:v>
                </c:pt>
                <c:pt idx="6">
                  <c:v>0.17029575024130772</c:v>
                </c:pt>
                <c:pt idx="7">
                  <c:v>0.24547517535961894</c:v>
                </c:pt>
                <c:pt idx="8">
                  <c:v>0.33440967855691439</c:v>
                </c:pt>
                <c:pt idx="9">
                  <c:v>0.43721111891433345</c:v>
                </c:pt>
                <c:pt idx="10">
                  <c:v>0.55399140167489291</c:v>
                </c:pt>
                <c:pt idx="11">
                  <c:v>0.68484628480212495</c:v>
                </c:pt>
                <c:pt idx="12">
                  <c:v>0.82983913846125701</c:v>
                </c:pt>
                <c:pt idx="13">
                  <c:v>0.989017063757757</c:v>
                </c:pt>
                <c:pt idx="14">
                  <c:v>1.1624270589549011</c:v>
                </c:pt>
                <c:pt idx="15">
                  <c:v>1.350116017579907</c:v>
                </c:pt>
                <c:pt idx="16">
                  <c:v>1.5521307265246203</c:v>
                </c:pt>
                <c:pt idx="17">
                  <c:v>1.7685178641409143</c:v>
                </c:pt>
                <c:pt idx="18">
                  <c:v>1.9993239983309685</c:v>
                </c:pt>
                <c:pt idx="19">
                  <c:v>2.244595584632592</c:v>
                </c:pt>
                <c:pt idx="20">
                  <c:v>2.5043789642997596</c:v>
                </c:pt>
                <c:pt idx="21">
                  <c:v>2.7787138599228545</c:v>
                </c:pt>
                <c:pt idx="22">
                  <c:v>3.0676268525810602</c:v>
                </c:pt>
                <c:pt idx="23">
                  <c:v>3.3711378558289589</c:v>
                </c:pt>
                <c:pt idx="24">
                  <c:v>3.6892666085400023</c:v>
                </c:pt>
                <c:pt idx="25">
                  <c:v>4.0220326737662697</c:v>
                </c:pt>
                <c:pt idx="26">
                  <c:v>4.3694406356516708</c:v>
                </c:pt>
                <c:pt idx="27">
                  <c:v>4.7314942593150162</c:v>
                </c:pt>
                <c:pt idx="28">
                  <c:v>5.1082113009258308</c:v>
                </c:pt>
                <c:pt idx="29">
                  <c:v>5.4996093651401523</c:v>
                </c:pt>
                <c:pt idx="30">
                  <c:v>5.9057059129793767</c:v>
                </c:pt>
                <c:pt idx="31">
                  <c:v>6.3265182582043593</c:v>
                </c:pt>
                <c:pt idx="32">
                  <c:v>6.7620635639505586</c:v>
                </c:pt>
                <c:pt idx="33">
                  <c:v>7.2123588395916514</c:v>
                </c:pt>
                <c:pt idx="34">
                  <c:v>7.6774209378041887</c:v>
                </c:pt>
                <c:pt idx="35">
                  <c:v>8.1572665518100607</c:v>
                </c:pt>
                <c:pt idx="36">
                  <c:v>8.6519122127770007</c:v>
                </c:pt>
                <c:pt idx="37">
                  <c:v>9.1613742873602018</c:v>
                </c:pt>
                <c:pt idx="38">
                  <c:v>9.6856689753705076</c:v>
                </c:pt>
                <c:pt idx="39">
                  <c:v>10.224812307556627</c:v>
                </c:pt>
                <c:pt idx="40">
                  <c:v>10.778820143490485</c:v>
                </c:pt>
                <c:pt idx="41">
                  <c:v>11.347703103481436</c:v>
                </c:pt>
                <c:pt idx="42">
                  <c:v>11.931461488123665</c:v>
                </c:pt>
                <c:pt idx="43">
                  <c:v>12.530090325394321</c:v>
                </c:pt>
                <c:pt idx="44">
                  <c:v>13.143584430641267</c:v>
                </c:pt>
                <c:pt idx="45">
                  <c:v>13.771938405601263</c:v>
                </c:pt>
                <c:pt idx="46">
                  <c:v>14.415146637491738</c:v>
                </c:pt>
                <c:pt idx="47">
                  <c:v>15.073203298170998</c:v>
                </c:pt>
                <c:pt idx="48">
                  <c:v>15.746102343362272</c:v>
                </c:pt>
                <c:pt idx="49">
                  <c:v>16.433837511937465</c:v>
                </c:pt>
                <c:pt idx="50">
                  <c:v>17.136402325256991</c:v>
                </c:pt>
                <c:pt idx="51">
                  <c:v>17.853790086562395</c:v>
                </c:pt>
                <c:pt idx="52">
                  <c:v>18.585993880418791</c:v>
                </c:pt>
                <c:pt idx="53">
                  <c:v>19.3330065722045</c:v>
                </c:pt>
                <c:pt idx="54">
                  <c:v>20.094820807645462</c:v>
                </c:pt>
                <c:pt idx="55">
                  <c:v>20.871429012392273</c:v>
                </c:pt>
                <c:pt idx="56">
                  <c:v>21.662823391637879</c:v>
                </c:pt>
                <c:pt idx="57">
                  <c:v>22.468995929774135</c:v>
                </c:pt>
                <c:pt idx="58">
                  <c:v>23.289938390085631</c:v>
                </c:pt>
                <c:pt idx="59">
                  <c:v>24.125642314479276</c:v>
                </c:pt>
                <c:pt idx="60">
                  <c:v>24.976099023248302</c:v>
                </c:pt>
                <c:pt idx="61">
                  <c:v>25.841299614869456</c:v>
                </c:pt>
                <c:pt idx="62">
                  <c:v>26.721234965832227</c:v>
                </c:pt>
                <c:pt idx="63">
                  <c:v>27.61589573049908</c:v>
                </c:pt>
                <c:pt idx="64">
                  <c:v>28.525272340995734</c:v>
                </c:pt>
                <c:pt idx="65">
                  <c:v>29.449355007130588</c:v>
                </c:pt>
                <c:pt idx="66">
                  <c:v>30.38813371634248</c:v>
                </c:pt>
                <c:pt idx="67">
                  <c:v>31.341598233676027</c:v>
                </c:pt>
                <c:pt idx="68">
                  <c:v>32.309738101783843</c:v>
                </c:pt>
                <c:pt idx="69">
                  <c:v>33.292542640954963</c:v>
                </c:pt>
                <c:pt idx="70">
                  <c:v>34.290000949168885</c:v>
                </c:pt>
                <c:pt idx="71">
                  <c:v>35.302101902174655</c:v>
                </c:pt>
                <c:pt idx="72">
                  <c:v>36.328834153594464</c:v>
                </c:pt>
                <c:pt idx="73">
                  <c:v>37.37018613505127</c:v>
                </c:pt>
                <c:pt idx="74">
                  <c:v>38.426146056319936</c:v>
                </c:pt>
                <c:pt idx="75">
                  <c:v>39.496701905501517</c:v>
                </c:pt>
                <c:pt idx="76">
                  <c:v>40.581841449220242</c:v>
                </c:pt>
                <c:pt idx="77">
                  <c:v>41.681552232842776</c:v>
                </c:pt>
                <c:pt idx="78">
                  <c:v>42.795821580719455</c:v>
                </c:pt>
                <c:pt idx="79">
                  <c:v>43.924636596447108</c:v>
                </c:pt>
                <c:pt idx="80">
                  <c:v>45.067984163153127</c:v>
                </c:pt>
                <c:pt idx="81">
                  <c:v>46.225845781003116</c:v>
                </c:pt>
                <c:pt idx="82">
                  <c:v>47.398192394880965</c:v>
                </c:pt>
                <c:pt idx="83">
                  <c:v>48.584989546199502</c:v>
                </c:pt>
                <c:pt idx="84">
                  <c:v>49.786202535078019</c:v>
                </c:pt>
                <c:pt idx="85">
                  <c:v>51.001796421726347</c:v>
                </c:pt>
                <c:pt idx="86">
                  <c:v>52.231736027850438</c:v>
                </c:pt>
                <c:pt idx="87">
                  <c:v>53.475985938079134</c:v>
                </c:pt>
                <c:pt idx="88">
                  <c:v>54.734510501411499</c:v>
                </c:pt>
                <c:pt idx="89">
                  <c:v>56.007273832684433</c:v>
                </c:pt>
                <c:pt idx="90">
                  <c:v>57.294239814060028</c:v>
                </c:pt>
                <c:pt idx="91">
                  <c:v>58.595369812979577</c:v>
                </c:pt>
                <c:pt idx="92">
                  <c:v>59.91062039623214</c:v>
                </c:pt>
                <c:pt idx="93">
                  <c:v>61.239945610924721</c:v>
                </c:pt>
                <c:pt idx="94">
                  <c:v>62.583299269615928</c:v>
                </c:pt>
                <c:pt idx="95">
                  <c:v>63.940634952377707</c:v>
                </c:pt>
                <c:pt idx="96">
                  <c:v>65.311906008874132</c:v>
                </c:pt>
                <c:pt idx="97">
                  <c:v>66.697065560456693</c:v>
                </c:pt>
                <c:pt idx="98">
                  <c:v>68.09606650227559</c:v>
                </c:pt>
                <c:pt idx="99">
                  <c:v>69.508861505406713</c:v>
                </c:pt>
                <c:pt idx="100">
                  <c:v>70.935403018993668</c:v>
                </c:pt>
                <c:pt idx="101">
                  <c:v>72.375642906752802</c:v>
                </c:pt>
                <c:pt idx="102">
                  <c:v>73.829532082945136</c:v>
                </c:pt>
                <c:pt idx="103">
                  <c:v>75.297020879700085</c:v>
                </c:pt>
                <c:pt idx="104">
                  <c:v>76.778059414939221</c:v>
                </c:pt>
                <c:pt idx="105">
                  <c:v>78.272597594666067</c:v>
                </c:pt>
                <c:pt idx="106">
                  <c:v>79.78058511526811</c:v>
                </c:pt>
                <c:pt idx="107">
                  <c:v>81.301971465830761</c:v>
                </c:pt>
                <c:pt idx="108">
                  <c:v>82.836705930462742</c:v>
                </c:pt>
                <c:pt idx="109">
                  <c:v>84.38473759063244</c:v>
                </c:pt>
                <c:pt idx="110">
                  <c:v>85.946015327514885</c:v>
                </c:pt>
                <c:pt idx="111">
                  <c:v>87.520492038896634</c:v>
                </c:pt>
                <c:pt idx="112">
                  <c:v>89.108128861514231</c:v>
                </c:pt>
                <c:pt idx="113">
                  <c:v>90.70889096313816</c:v>
                </c:pt>
                <c:pt idx="114">
                  <c:v>92.322743328813104</c:v>
                </c:pt>
                <c:pt idx="115">
                  <c:v>93.949650762395379</c:v>
                </c:pt>
                <c:pt idx="116">
                  <c:v>95.589577888100933</c:v>
                </c:pt>
                <c:pt idx="117">
                  <c:v>97.242489152063683</c:v>
                </c:pt>
                <c:pt idx="118">
                  <c:v>98.90834882390395</c:v>
                </c:pt>
                <c:pt idx="119">
                  <c:v>100.58712099830679</c:v>
                </c:pt>
                <c:pt idx="120">
                  <c:v>102.27876959660983</c:v>
                </c:pt>
                <c:pt idx="121">
                  <c:v>103.98325137047534</c:v>
                </c:pt>
                <c:pt idx="122">
                  <c:v>105.70050889783788</c:v>
                </c:pt>
                <c:pt idx="123">
                  <c:v>107.43047757786435</c:v>
                </c:pt>
                <c:pt idx="124">
                  <c:v>109.17309263438378</c:v>
                </c:pt>
                <c:pt idx="125">
                  <c:v>110.92828911897151</c:v>
                </c:pt>
                <c:pt idx="126">
                  <c:v>112.69600191403535</c:v>
                </c:pt>
                <c:pt idx="127">
                  <c:v>114.47616573590291</c:v>
                </c:pt>
                <c:pt idx="128">
                  <c:v>116.26871513790975</c:v>
                </c:pt>
                <c:pt idx="129">
                  <c:v>118.0735845134879</c:v>
                </c:pt>
                <c:pt idx="130">
                  <c:v>119.89070809925417</c:v>
                </c:pt>
                <c:pt idx="131">
                  <c:v>121.72001814405567</c:v>
                </c:pt>
                <c:pt idx="132">
                  <c:v>123.56144307643059</c:v>
                </c:pt>
                <c:pt idx="133">
                  <c:v>125.4149093413541</c:v>
                </c:pt>
                <c:pt idx="134">
                  <c:v>127.2803432387699</c:v>
                </c:pt>
                <c:pt idx="135">
                  <c:v>129.15767092707736</c:v>
                </c:pt>
                <c:pt idx="136">
                  <c:v>131.04681842661299</c:v>
                </c:pt>
                <c:pt idx="137">
                  <c:v>132.9477116231256</c:v>
                </c:pt>
                <c:pt idx="138">
                  <c:v>134.86027627124477</c:v>
                </c:pt>
                <c:pt idx="139">
                  <c:v>136.78443799794198</c:v>
                </c:pt>
                <c:pt idx="140">
                  <c:v>138.72012230598406</c:v>
                </c:pt>
                <c:pt idx="141">
                  <c:v>140.66723262541166</c:v>
                </c:pt>
                <c:pt idx="142">
                  <c:v>142.62562835189746</c:v>
                </c:pt>
                <c:pt idx="143">
                  <c:v>144.5951468083743</c:v>
                </c:pt>
                <c:pt idx="144">
                  <c:v>146.57562522272684</c:v>
                </c:pt>
                <c:pt idx="145">
                  <c:v>148.56690073709092</c:v>
                </c:pt>
                <c:pt idx="146">
                  <c:v>150.56881041707678</c:v>
                </c:pt>
                <c:pt idx="147">
                  <c:v>152.58119126091498</c:v>
                </c:pt>
                <c:pt idx="148">
                  <c:v>154.60388020852344</c:v>
                </c:pt>
                <c:pt idx="149">
                  <c:v>156.63671415049427</c:v>
                </c:pt>
                <c:pt idx="150">
                  <c:v>158.67952993699893</c:v>
                </c:pt>
                <c:pt idx="151">
                  <c:v>160.73216438661049</c:v>
                </c:pt>
                <c:pt idx="152">
                  <c:v>162.7944542950417</c:v>
                </c:pt>
                <c:pt idx="153">
                  <c:v>164.86623644379753</c:v>
                </c:pt>
                <c:pt idx="154">
                  <c:v>166.94734760874121</c:v>
                </c:pt>
                <c:pt idx="155">
                  <c:v>169.03762456857237</c:v>
                </c:pt>
                <c:pt idx="156">
                  <c:v>171.1368000095683</c:v>
                </c:pt>
                <c:pt idx="157">
                  <c:v>173.24439844360776</c:v>
                </c:pt>
                <c:pt idx="158">
                  <c:v>175.35984048309888</c:v>
                </c:pt>
                <c:pt idx="159">
                  <c:v>177.48254713009186</c:v>
                </c:pt>
                <c:pt idx="160">
                  <c:v>179.61193983905341</c:v>
                </c:pt>
                <c:pt idx="161">
                  <c:v>181.74730818534178</c:v>
                </c:pt>
                <c:pt idx="162">
                  <c:v>183.88767765804249</c:v>
                </c:pt>
                <c:pt idx="163">
                  <c:v>186.03195513165974</c:v>
                </c:pt>
                <c:pt idx="164">
                  <c:v>188.17907426060148</c:v>
                </c:pt>
                <c:pt idx="165">
                  <c:v>190.32810948210573</c:v>
                </c:pt>
                <c:pt idx="166">
                  <c:v>192.47838979734101</c:v>
                </c:pt>
                <c:pt idx="167">
                  <c:v>194.62927575410876</c:v>
                </c:pt>
                <c:pt idx="168">
                  <c:v>196.78000636097377</c:v>
                </c:pt>
                <c:pt idx="169">
                  <c:v>198.92959697059555</c:v>
                </c:pt>
                <c:pt idx="170">
                  <c:v>201.07680706074902</c:v>
                </c:pt>
                <c:pt idx="171">
                  <c:v>203.22076967694338</c:v>
                </c:pt>
                <c:pt idx="172">
                  <c:v>205.36127142489883</c:v>
                </c:pt>
                <c:pt idx="173">
                  <c:v>207.49832078974819</c:v>
                </c:pt>
                <c:pt idx="174">
                  <c:v>209.6319262199504</c:v>
                </c:pt>
                <c:pt idx="175">
                  <c:v>211.76209612750134</c:v>
                </c:pt>
                <c:pt idx="176">
                  <c:v>213.88883888814323</c:v>
                </c:pt>
                <c:pt idx="177">
                  <c:v>216.01216284157246</c:v>
                </c:pt>
                <c:pt idx="178">
                  <c:v>218.13207629164594</c:v>
                </c:pt>
                <c:pt idx="179">
                  <c:v>220.24858750658589</c:v>
                </c:pt>
                <c:pt idx="180">
                  <c:v>222.36170471918322</c:v>
                </c:pt>
                <c:pt idx="181">
                  <c:v>224.47143612699946</c:v>
                </c:pt>
                <c:pt idx="182">
                  <c:v>226.57778989256724</c:v>
                </c:pt>
                <c:pt idx="183">
                  <c:v>228.68077414358925</c:v>
                </c:pt>
                <c:pt idx="184">
                  <c:v>230.78039697313588</c:v>
                </c:pt>
                <c:pt idx="185">
                  <c:v>232.87666643984139</c:v>
                </c:pt>
                <c:pt idx="186">
                  <c:v>234.96959056809865</c:v>
                </c:pt>
                <c:pt idx="187">
                  <c:v>237.05917734825263</c:v>
                </c:pt>
                <c:pt idx="188">
                  <c:v>239.14543473679231</c:v>
                </c:pt>
                <c:pt idx="189">
                  <c:v>241.22837065654144</c:v>
                </c:pt>
                <c:pt idx="190">
                  <c:v>243.30799299684773</c:v>
                </c:pt>
                <c:pt idx="191">
                  <c:v>245.38430961377091</c:v>
                </c:pt>
                <c:pt idx="192">
                  <c:v>247.45732833026929</c:v>
                </c:pt>
                <c:pt idx="193">
                  <c:v>249.52705693638507</c:v>
                </c:pt>
                <c:pt idx="194">
                  <c:v>251.59350318942842</c:v>
                </c:pt>
                <c:pt idx="195">
                  <c:v>253.65667481416008</c:v>
                </c:pt>
                <c:pt idx="196">
                  <c:v>255.71657950297288</c:v>
                </c:pt>
                <c:pt idx="197">
                  <c:v>257.7732249160718</c:v>
                </c:pt>
                <c:pt idx="198">
                  <c:v>259.82661868165286</c:v>
                </c:pt>
                <c:pt idx="199">
                  <c:v>261.87676839608088</c:v>
                </c:pt>
                <c:pt idx="200">
                  <c:v>263.92368162406575</c:v>
                </c:pt>
                <c:pt idx="201">
                  <c:v>284.21539062170683</c:v>
                </c:pt>
                <c:pt idx="202">
                  <c:v>304.1882902910985</c:v>
                </c:pt>
                <c:pt idx="203">
                  <c:v>323.84964960680509</c:v>
                </c:pt>
                <c:pt idx="204">
                  <c:v>343.20644312949509</c:v>
                </c:pt>
                <c:pt idx="205">
                  <c:v>362.26536666916672</c:v>
                </c:pt>
                <c:pt idx="206">
                  <c:v>381.03285190816945</c:v>
                </c:pt>
                <c:pt idx="207">
                  <c:v>399.51508006624192</c:v>
                </c:pt>
                <c:pt idx="208">
                  <c:v>417.71799468226942</c:v>
                </c:pt>
                <c:pt idx="209">
                  <c:v>435.64731358072743</c:v>
                </c:pt>
                <c:pt idx="210">
                  <c:v>453.30854008472568</c:v>
                </c:pt>
                <c:pt idx="211">
                  <c:v>470.70697353212807</c:v>
                </c:pt>
                <c:pt idx="212">
                  <c:v>487.84771914632313</c:v>
                </c:pt>
                <c:pt idx="213">
                  <c:v>504.73569730880297</c:v>
                </c:pt>
                <c:pt idx="214">
                  <c:v>521.3756522767186</c:v>
                </c:pt>
                <c:pt idx="215">
                  <c:v>537.77216038497249</c:v>
                </c:pt>
                <c:pt idx="216">
                  <c:v>553.92963776914371</c:v>
                </c:pt>
                <c:pt idx="217">
                  <c:v>569.85234764258144</c:v>
                </c:pt>
                <c:pt idx="218">
                  <c:v>585.54440715831447</c:v>
                </c:pt>
                <c:pt idx="219">
                  <c:v>601.00979388398491</c:v>
                </c:pt>
                <c:pt idx="220">
                  <c:v>616.25235191579281</c:v>
                </c:pt>
                <c:pt idx="221">
                  <c:v>631.27579765541441</c:v>
                </c:pt>
                <c:pt idx="222">
                  <c:v>646.08372527201539</c:v>
                </c:pt>
                <c:pt idx="223">
                  <c:v>660.67961186979494</c:v>
                </c:pt>
                <c:pt idx="224">
                  <c:v>675.06682237995892</c:v>
                </c:pt>
                <c:pt idx="225">
                  <c:v>689.24861419461467</c:v>
                </c:pt>
                <c:pt idx="226">
                  <c:v>703.22814155879087</c:v>
                </c:pt>
                <c:pt idx="227">
                  <c:v>717.00845973560627</c:v>
                </c:pt>
                <c:pt idx="228">
                  <c:v>730.59252895852705</c:v>
                </c:pt>
                <c:pt idx="229">
                  <c:v>743.98321818366026</c:v>
                </c:pt>
                <c:pt idx="230">
                  <c:v>757.18330865411463</c:v>
                </c:pt>
                <c:pt idx="231">
                  <c:v>770.19549728762115</c:v>
                </c:pt>
                <c:pt idx="232">
                  <c:v>783.02239989783095</c:v>
                </c:pt>
                <c:pt idx="233">
                  <c:v>795.66655425899444</c:v>
                </c:pt>
                <c:pt idx="234">
                  <c:v>808.13042302306917</c:v>
                </c:pt>
                <c:pt idx="235">
                  <c:v>820.41639649769468</c:v>
                </c:pt>
                <c:pt idx="236">
                  <c:v>832.52679529291322</c:v>
                </c:pt>
                <c:pt idx="237">
                  <c:v>844.46387284399623</c:v>
                </c:pt>
                <c:pt idx="238">
                  <c:v>856.22981781725593</c:v>
                </c:pt>
                <c:pt idx="239">
                  <c:v>867.82675640527748</c:v>
                </c:pt>
                <c:pt idx="240">
                  <c:v>879.25675451759514</c:v>
                </c:pt>
                <c:pt idx="241">
                  <c:v>890.52181987245524</c:v>
                </c:pt>
                <c:pt idx="242">
                  <c:v>901.62390399495143</c:v>
                </c:pt>
                <c:pt idx="243">
                  <c:v>912.56490412649282</c:v>
                </c:pt>
                <c:pt idx="244">
                  <c:v>923.34666505025473</c:v>
                </c:pt>
                <c:pt idx="245">
                  <c:v>933.9709808369829</c:v>
                </c:pt>
                <c:pt idx="246">
                  <c:v>944.43959651525188</c:v>
                </c:pt>
                <c:pt idx="247">
                  <c:v>954.75420967003652</c:v>
                </c:pt>
                <c:pt idx="248">
                  <c:v>964.91647197322243</c:v>
                </c:pt>
                <c:pt idx="249">
                  <c:v>974.92799064946917</c:v>
                </c:pt>
                <c:pt idx="250">
                  <c:v>984.79032988063966</c:v>
                </c:pt>
                <c:pt idx="251">
                  <c:v>994.50501215182237</c:v>
                </c:pt>
                <c:pt idx="252">
                  <c:v>1004.0735195417992</c:v>
                </c:pt>
                <c:pt idx="253">
                  <c:v>1013.4972949606496</c:v>
                </c:pt>
                <c:pt idx="254">
                  <c:v>1022.7777433370275</c:v>
                </c:pt>
                <c:pt idx="255">
                  <c:v>1031.9162327575082</c:v>
                </c:pt>
                <c:pt idx="256">
                  <c:v>1040.9140955602661</c:v>
                </c:pt>
                <c:pt idx="257">
                  <c:v>1049.7726293852209</c:v>
                </c:pt>
                <c:pt idx="258">
                  <c:v>1058.4930981826724</c:v>
                </c:pt>
                <c:pt idx="259">
                  <c:v>1067.0767331823354</c:v>
                </c:pt>
                <c:pt idx="260">
                  <c:v>1075.5247338245815</c:v>
                </c:pt>
                <c:pt idx="261">
                  <c:v>1083.8382686555988</c:v>
                </c:pt>
                <c:pt idx="262">
                  <c:v>1092.0184761880914</c:v>
                </c:pt>
                <c:pt idx="263">
                  <c:v>1100.0664657290524</c:v>
                </c:pt>
                <c:pt idx="264">
                  <c:v>1107.9833181760675</c:v>
                </c:pt>
                <c:pt idx="265">
                  <c:v>1115.7700867835276</c:v>
                </c:pt>
                <c:pt idx="266">
                  <c:v>1123.4277979000617</c:v>
                </c:pt>
                <c:pt idx="267">
                  <c:v>1130.9574516784323</c:v>
                </c:pt>
                <c:pt idx="268">
                  <c:v>1138.3600227590732</c:v>
                </c:pt>
                <c:pt idx="269">
                  <c:v>1145.6364609283928</c:v>
                </c:pt>
                <c:pt idx="270">
                  <c:v>1152.7876917529068</c:v>
                </c:pt>
                <c:pt idx="271">
                  <c:v>1159.8146171902167</c:v>
                </c:pt>
                <c:pt idx="272">
                  <c:v>1166.718116177798</c:v>
                </c:pt>
                <c:pt idx="273">
                  <c:v>1173.4990452005156</c:v>
                </c:pt>
                <c:pt idx="274">
                  <c:v>1180.1582388377426</c:v>
                </c:pt>
                <c:pt idx="275">
                  <c:v>1186.6965102909173</c:v>
                </c:pt>
                <c:pt idx="276">
                  <c:v>1193.1146518923319</c:v>
                </c:pt>
                <c:pt idx="277">
                  <c:v>1199.4134355959143</c:v>
                </c:pt>
                <c:pt idx="278">
                  <c:v>1205.5936134507258</c:v>
                </c:pt>
                <c:pt idx="279">
                  <c:v>1211.6559180578704</c:v>
                </c:pt>
                <c:pt idx="280">
                  <c:v>1217.601063011477</c:v>
                </c:pt>
                <c:pt idx="281">
                  <c:v>1223.4297433243896</c:v>
                </c:pt>
                <c:pt idx="282">
                  <c:v>1229.1426358391752</c:v>
                </c:pt>
                <c:pt idx="283">
                  <c:v>1234.7403996250321</c:v>
                </c:pt>
                <c:pt idx="284">
                  <c:v>1240.2236763611609</c:v>
                </c:pt>
                <c:pt idx="285">
                  <c:v>1245.5930907071372</c:v>
                </c:pt>
                <c:pt idx="286">
                  <c:v>1250.8492506608072</c:v>
                </c:pt>
                <c:pt idx="287">
                  <c:v>1255.992747904208</c:v>
                </c:pt>
                <c:pt idx="288">
                  <c:v>1261.0241581379994</c:v>
                </c:pt>
                <c:pt idx="289">
                  <c:v>1265.9440414048775</c:v>
                </c:pt>
                <c:pt idx="290">
                  <c:v>1270.7529424024294</c:v>
                </c:pt>
                <c:pt idx="291">
                  <c:v>1275.451390785875</c:v>
                </c:pt>
                <c:pt idx="292">
                  <c:v>1280.0399014611323</c:v>
                </c:pt>
                <c:pt idx="293">
                  <c:v>1284.5189748686355</c:v>
                </c:pt>
                <c:pt idx="294">
                  <c:v>1288.8890972583281</c:v>
                </c:pt>
                <c:pt idx="295">
                  <c:v>1293.1507409562491</c:v>
                </c:pt>
                <c:pt idx="296">
                  <c:v>1297.3043646231281</c:v>
                </c:pt>
                <c:pt idx="297">
                  <c:v>1301.3504135054029</c:v>
                </c:pt>
                <c:pt idx="298">
                  <c:v>1305.2893196790806</c:v>
                </c:pt>
                <c:pt idx="299">
                  <c:v>1309.1215022868603</c:v>
                </c:pt>
                <c:pt idx="300">
                  <c:v>1312.8473677689501</c:v>
                </c:pt>
                <c:pt idx="301">
                  <c:v>1316.4673100880159</c:v>
                </c:pt>
                <c:pt idx="302">
                  <c:v>1319.9817109487149</c:v>
                </c:pt>
                <c:pt idx="303">
                  <c:v>1323.3909400122852</c:v>
                </c:pt>
                <c:pt idx="304">
                  <c:v>1326.6953551066824</c:v>
                </c:pt>
                <c:pt idx="305">
                  <c:v>1329.8953024327764</c:v>
                </c:pt>
                <c:pt idx="306">
                  <c:v>1332.9911167671578</c:v>
                </c:pt>
                <c:pt idx="307">
                  <c:v>1335.9831216621326</c:v>
                </c:pt>
                <c:pt idx="308">
                  <c:v>1338.871629643525</c:v>
                </c:pt>
                <c:pt idx="309">
                  <c:v>1341.6569424069583</c:v>
                </c:pt>
                <c:pt idx="310">
                  <c:v>1344.3393510133296</c:v>
                </c:pt>
                <c:pt idx="311">
                  <c:v>1346.9191360842628</c:v>
                </c:pt>
                <c:pt idx="312">
                  <c:v>1349.3965679983787</c:v>
                </c:pt>
                <c:pt idx="313">
                  <c:v>1351.7719070893074</c:v>
                </c:pt>
                <c:pt idx="314">
                  <c:v>1354.0454038464384</c:v>
                </c:pt>
                <c:pt idx="315">
                  <c:v>1356.2172991194973</c:v>
                </c:pt>
                <c:pt idx="316">
                  <c:v>1358.287824328128</c:v>
                </c:pt>
                <c:pt idx="317">
                  <c:v>1360.2572016777599</c:v>
                </c:pt>
                <c:pt idx="318">
                  <c:v>1362.1256443831371</c:v>
                </c:pt>
                <c:pt idx="319">
                  <c:v>1363.8933569009889</c:v>
                </c:pt>
                <c:pt idx="320">
                  <c:v>1365.5605351734173</c:v>
                </c:pt>
                <c:pt idx="321">
                  <c:v>1367.127366883662</c:v>
                </c:pt>
                <c:pt idx="322">
                  <c:v>1368.594031725976</c:v>
                </c:pt>
                <c:pt idx="323">
                  <c:v>1369.9607016913917</c:v>
                </c:pt>
                <c:pt idx="324">
                  <c:v>1371.2275413711684</c:v>
                </c:pt>
                <c:pt idx="325">
                  <c:v>1372.3947082796856</c:v>
                </c:pt>
                <c:pt idx="326">
                  <c:v>1373.462353198453</c:v>
                </c:pt>
                <c:pt idx="327">
                  <c:v>1374.4306205427579</c:v>
                </c:pt>
                <c:pt idx="328">
                  <c:v>1375.2996487522273</c:v>
                </c:pt>
                <c:pt idx="329">
                  <c:v>1376.0695707062632</c:v>
                </c:pt>
                <c:pt idx="330">
                  <c:v>1376.740514164881</c:v>
                </c:pt>
                <c:pt idx="331">
                  <c:v>1377.3126022349647</c:v>
                </c:pt>
                <c:pt idx="332">
                  <c:v>1377.7859538613468</c:v>
                </c:pt>
                <c:pt idx="333">
                  <c:v>1378.160684341434</c:v>
                </c:pt>
                <c:pt idx="334">
                  <c:v>1378.4369058613709</c:v>
                </c:pt>
                <c:pt idx="335">
                  <c:v>1378.6147280509867</c:v>
                </c:pt>
                <c:pt idx="336">
                  <c:v>1378.6942585540462</c:v>
                </c:pt>
                <c:pt idx="337">
                  <c:v>1378.6756036096754</c:v>
                </c:pt>
                <c:pt idx="338">
                  <c:v>1378.5588686402957</c:v>
                </c:pt>
                <c:pt idx="339">
                  <c:v>1378.3441588410212</c:v>
                </c:pt>
                <c:pt idx="340">
                  <c:v>1378.031579765274</c:v>
                </c:pt>
                <c:pt idx="341">
                  <c:v>1377.6212379013812</c:v>
                </c:pt>
                <c:pt idx="342">
                  <c:v>1377.1132412351203</c:v>
                </c:pt>
                <c:pt idx="343">
                  <c:v>1376.5076997935741</c:v>
                </c:pt>
                <c:pt idx="344">
                  <c:v>1375.8047261661948</c:v>
                </c:pt>
                <c:pt idx="345">
                  <c:v>1375.0044359996434</c:v>
                </c:pt>
                <c:pt idx="346">
                  <c:v>1374.1069484636939</c:v>
                </c:pt>
                <c:pt idx="347">
                  <c:v>1373.112386686247</c:v>
                </c:pt>
                <c:pt idx="348">
                  <c:v>1372.0208781562283</c:v>
                </c:pt>
                <c:pt idx="349">
                  <c:v>1370.8325550938339</c:v>
                </c:pt>
                <c:pt idx="350">
                  <c:v>1369.547554788187</c:v>
                </c:pt>
                <c:pt idx="351">
                  <c:v>1368.1660199029864</c:v>
                </c:pt>
                <c:pt idx="352">
                  <c:v>1366.6880987511424</c:v>
                </c:pt>
                <c:pt idx="353">
                  <c:v>1365.1139455397163</c:v>
                </c:pt>
                <c:pt idx="354">
                  <c:v>1363.4437205867027</c:v>
                </c:pt>
                <c:pt idx="355">
                  <c:v>1361.6775905113459</c:v>
                </c:pt>
                <c:pt idx="356">
                  <c:v>1359.8157283997532</c:v>
                </c:pt>
                <c:pt idx="357">
                  <c:v>1357.8583139475918</c:v>
                </c:pt>
                <c:pt idx="358">
                  <c:v>1355.8055335816312</c:v>
                </c:pt>
                <c:pt idx="359">
                  <c:v>1353.6575805618347</c:v>
                </c:pt>
                <c:pt idx="360">
                  <c:v>1351.4146550656244</c:v>
                </c:pt>
                <c:pt idx="361">
                  <c:v>1349.0769642558444</c:v>
                </c:pt>
                <c:pt idx="362">
                  <c:v>1346.6447223338478</c:v>
                </c:pt>
                <c:pt idx="363">
                  <c:v>1344.1181505790164</c:v>
                </c:pt>
                <c:pt idx="364">
                  <c:v>1341.4974773759209</c:v>
                </c:pt>
                <c:pt idx="365">
                  <c:v>1338.7829382302175</c:v>
                </c:pt>
                <c:pt idx="366">
                  <c:v>1335.9747757742812</c:v>
                </c:pt>
                <c:pt idx="367">
                  <c:v>1333.0732397634774</c:v>
                </c:pt>
                <c:pt idx="368">
                  <c:v>1330.0785870638895</c:v>
                </c:pt>
                <c:pt idx="369">
                  <c:v>1326.9910816322358</c:v>
                </c:pt>
                <c:pt idx="370">
                  <c:v>1323.8109944886403</c:v>
                </c:pt>
                <c:pt idx="371">
                  <c:v>1320.5386036828513</c:v>
                </c:pt>
                <c:pt idx="372">
                  <c:v>1317.174194254445</c:v>
                </c:pt>
                <c:pt idx="373">
                  <c:v>1313.7180581874952</c:v>
                </c:pt>
                <c:pt idx="374">
                  <c:v>1310.1704943601476</c:v>
                </c:pt>
                <c:pt idx="375">
                  <c:v>1306.5318084894848</c:v>
                </c:pt>
                <c:pt idx="376">
                  <c:v>1302.8023130720426</c:v>
                </c:pt>
                <c:pt idx="377">
                  <c:v>1298.9823273202937</c:v>
                </c:pt>
                <c:pt idx="378">
                  <c:v>1295.0721770953919</c:v>
                </c:pt>
                <c:pt idx="379">
                  <c:v>1291.072194836441</c:v>
                </c:pt>
                <c:pt idx="380">
                  <c:v>1286.9827194865288</c:v>
                </c:pt>
                <c:pt idx="381">
                  <c:v>1282.8040964157485</c:v>
                </c:pt>
                <c:pt idx="382">
                  <c:v>1278.5366773414075</c:v>
                </c:pt>
                <c:pt idx="383">
                  <c:v>1274.1808202456125</c:v>
                </c:pt>
                <c:pt idx="384">
                  <c:v>1269.7368892903996</c:v>
                </c:pt>
                <c:pt idx="385">
                  <c:v>1265.2052547305734</c:v>
                </c:pt>
                <c:pt idx="386">
                  <c:v>1260.586292824398</c:v>
                </c:pt>
                <c:pt idx="387">
                  <c:v>1255.8803857422815</c:v>
                </c:pt>
                <c:pt idx="388">
                  <c:v>1251.0879214735833</c:v>
                </c:pt>
                <c:pt idx="389">
                  <c:v>1246.2092937316645</c:v>
                </c:pt>
                <c:pt idx="390">
                  <c:v>1241.2449018572963</c:v>
                </c:pt>
                <c:pt idx="391">
                  <c:v>1236.1951507205365</c:v>
                </c:pt>
                <c:pt idx="392">
                  <c:v>1231.0604506211741</c:v>
                </c:pt>
                <c:pt idx="393">
                  <c:v>1225.8412171878426</c:v>
                </c:pt>
                <c:pt idx="394">
                  <c:v>1220.5378712758943</c:v>
                </c:pt>
                <c:pt idx="395">
                  <c:v>1215.1508388641246</c:v>
                </c:pt>
                <c:pt idx="396">
                  <c:v>1209.6805509504329</c:v>
                </c:pt>
                <c:pt idx="397">
                  <c:v>1204.1274434465022</c:v>
                </c:pt>
                <c:pt idx="398">
                  <c:v>1198.4919570715767</c:v>
                </c:pt>
                <c:pt idx="399">
                  <c:v>1192.7745372454156</c:v>
                </c:pt>
                <c:pt idx="400">
                  <c:v>1186.9756339804937</c:v>
                </c:pt>
                <c:pt idx="401">
                  <c:v>1181.0957017735263</c:v>
                </c:pt>
                <c:pt idx="402">
                  <c:v>1175.1351994963829</c:v>
                </c:pt>
                <c:pt idx="403">
                  <c:v>1169.0945902864605</c:v>
                </c:pt>
                <c:pt idx="404">
                  <c:v>1162.9743414365821</c:v>
                </c:pt>
                <c:pt idx="405">
                  <c:v>1156.7749242844839</c:v>
                </c:pt>
                <c:pt idx="406">
                  <c:v>1150.496814101954</c:v>
                </c:pt>
                <c:pt idx="407">
                  <c:v>1144.1404899836848</c:v>
                </c:pt>
                <c:pt idx="408">
                  <c:v>1137.7064347358967</c:v>
                </c:pt>
                <c:pt idx="409">
                  <c:v>1131.195134764793</c:v>
                </c:pt>
                <c:pt idx="410">
                  <c:v>1124.6070799649017</c:v>
                </c:pt>
                <c:pt idx="411">
                  <c:v>1117.9427636073603</c:v>
                </c:pt>
                <c:pt idx="412">
                  <c:v>1111.2026822281978</c:v>
                </c:pt>
                <c:pt idx="413">
                  <c:v>1104.3873355166666</c:v>
                </c:pt>
                <c:pt idx="414">
                  <c:v>1097.4972262036761</c:v>
                </c:pt>
                <c:pt idx="415">
                  <c:v>1090.5328599503787</c:v>
                </c:pt>
                <c:pt idx="416">
                  <c:v>1083.4947452369581</c:v>
                </c:pt>
                <c:pt idx="417">
                  <c:v>1076.3833932516677</c:v>
                </c:pt>
                <c:pt idx="418">
                  <c:v>1069.1993177801653</c:v>
                </c:pt>
                <c:pt idx="419">
                  <c:v>1061.9430350951932</c:v>
                </c:pt>
                <c:pt idx="420">
                  <c:v>1054.6150638466449</c:v>
                </c:pt>
                <c:pt idx="421">
                  <c:v>1047.2159249520651</c:v>
                </c:pt>
                <c:pt idx="422">
                  <c:v>1039.7461414876241</c:v>
                </c:pt>
                <c:pt idx="423">
                  <c:v>1032.2062385796098</c:v>
                </c:pt>
                <c:pt idx="424">
                  <c:v>1024.596743296476</c:v>
                </c:pt>
                <c:pt idx="425">
                  <c:v>1016.9181845414884</c:v>
                </c:pt>
                <c:pt idx="426">
                  <c:v>1009.1710929460057</c:v>
                </c:pt>
                <c:pt idx="427">
                  <c:v>1001.3560007634338</c:v>
                </c:pt>
                <c:pt idx="428">
                  <c:v>993.47344176388856</c:v>
                </c:pt>
                <c:pt idx="429">
                  <c:v>985.52395112960335</c:v>
                </c:pt>
                <c:pt idx="430">
                  <c:v>977.50806535111542</c:v>
                </c:pt>
                <c:pt idx="431">
                  <c:v>969.42632212426395</c:v>
                </c:pt>
                <c:pt idx="432">
                  <c:v>961.27926024803173</c:v>
                </c:pt>
                <c:pt idx="433">
                  <c:v>953.06741952326252</c:v>
                </c:pt>
                <c:pt idx="434">
                  <c:v>944.79134065228288</c:v>
                </c:pt>
                <c:pt idx="435">
                  <c:v>936.45156513945813</c:v>
                </c:pt>
                <c:pt idx="436">
                  <c:v>928.04863519271055</c:v>
                </c:pt>
                <c:pt idx="437">
                  <c:v>919.58309362602586</c:v>
                </c:pt>
                <c:pt idx="438">
                  <c:v>911.05548376297486</c:v>
                </c:pt>
                <c:pt idx="439">
                  <c:v>902.46634934127428</c:v>
                </c:pt>
                <c:pt idx="440">
                  <c:v>893.81623441841111</c:v>
                </c:pt>
                <c:pt idx="441">
                  <c:v>885.10568327835301</c:v>
                </c:pt>
                <c:pt idx="442">
                  <c:v>876.33524033936635</c:v>
                </c:pt>
                <c:pt idx="443">
                  <c:v>867.50545006296329</c:v>
                </c:pt>
                <c:pt idx="444">
                  <c:v>858.61685686399699</c:v>
                </c:pt>
                <c:pt idx="445">
                  <c:v>849.67000502192411</c:v>
                </c:pt>
                <c:pt idx="446">
                  <c:v>840.66543859325247</c:v>
                </c:pt>
                <c:pt idx="447">
                  <c:v>831.60370132519017</c:v>
                </c:pt>
                <c:pt idx="448">
                  <c:v>822.4853365705128</c:v>
                </c:pt>
                <c:pt idx="449">
                  <c:v>813.31088720366313</c:v>
                </c:pt>
                <c:pt idx="450">
                  <c:v>804.08089553809702</c:v>
                </c:pt>
                <c:pt idx="451">
                  <c:v>794.7959032448897</c:v>
                </c:pt>
                <c:pt idx="452">
                  <c:v>785.45645127261309</c:v>
                </c:pt>
                <c:pt idx="453">
                  <c:v>776.06307976849632</c:v>
                </c:pt>
                <c:pt idx="454">
                  <c:v>766.61632800087943</c:v>
                </c:pt>
                <c:pt idx="455">
                  <c:v>757.11673428296956</c:v>
                </c:pt>
                <c:pt idx="456">
                  <c:v>747.56483589790867</c:v>
                </c:pt>
                <c:pt idx="457">
                  <c:v>737.96116902515973</c:v>
                </c:pt>
                <c:pt idx="458">
                  <c:v>728.3062686682191</c:v>
                </c:pt>
                <c:pt idx="459">
                  <c:v>718.60066858365985</c:v>
                </c:pt>
                <c:pt idx="460">
                  <c:v>708.84490121151271</c:v>
                </c:pt>
                <c:pt idx="461">
                  <c:v>699.03949760698754</c:v>
                </c:pt>
                <c:pt idx="462">
                  <c:v>689.18498737354071</c:v>
                </c:pt>
                <c:pt idx="463">
                  <c:v>679.28189859728877</c:v>
                </c:pt>
                <c:pt idx="464">
                  <c:v>669.33075778277293</c:v>
                </c:pt>
                <c:pt idx="465">
                  <c:v>659.33208979007418</c:v>
                </c:pt>
                <c:pt idx="466">
                  <c:v>649.28641777327982</c:v>
                </c:pt>
                <c:pt idx="467">
                  <c:v>639.1942631203018</c:v>
                </c:pt>
                <c:pt idx="468">
                  <c:v>629.05614539404553</c:v>
                </c:pt>
                <c:pt idx="469">
                  <c:v>618.87258227492794</c:v>
                </c:pt>
                <c:pt idx="470">
                  <c:v>608.64408950474251</c:v>
                </c:pt>
                <c:pt idx="471">
                  <c:v>598.37118083186863</c:v>
                </c:pt>
                <c:pt idx="472">
                  <c:v>588.05436795782134</c:v>
                </c:pt>
                <c:pt idx="473">
                  <c:v>577.69416048513824</c:v>
                </c:pt>
                <c:pt idx="474">
                  <c:v>567.29106586659827</c:v>
                </c:pt>
                <c:pt idx="475">
                  <c:v>556.84558935576729</c:v>
                </c:pt>
                <c:pt idx="476">
                  <c:v>546.35823395886462</c:v>
                </c:pt>
                <c:pt idx="477">
                  <c:v>535.82950038794479</c:v>
                </c:pt>
                <c:pt idx="478">
                  <c:v>525.25988701538665</c:v>
                </c:pt>
                <c:pt idx="479">
                  <c:v>514.64988982968316</c:v>
                </c:pt>
                <c:pt idx="480">
                  <c:v>504.00000239252415</c:v>
                </c:pt>
                <c:pt idx="481">
                  <c:v>493.3107157971628</c:v>
                </c:pt>
                <c:pt idx="482">
                  <c:v>482.58251862805832</c:v>
                </c:pt>
                <c:pt idx="483">
                  <c:v>471.81589692178449</c:v>
                </c:pt>
                <c:pt idx="484">
                  <c:v>461.01133412919495</c:v>
                </c:pt>
                <c:pt idx="485">
                  <c:v>450.16931107883505</c:v>
                </c:pt>
                <c:pt idx="486">
                  <c:v>439.29030594158996</c:v>
                </c:pt>
                <c:pt idx="487">
                  <c:v>428.37479419655767</c:v>
                </c:pt>
                <c:pt idx="488">
                  <c:v>417.42324859813641</c:v>
                </c:pt>
                <c:pt idx="489">
                  <c:v>406.43613914431438</c:v>
                </c:pt>
                <c:pt idx="490">
                  <c:v>395.41393304615013</c:v>
                </c:pt>
                <c:pt idx="491">
                  <c:v>384.35709469843147</c:v>
                </c:pt>
                <c:pt idx="492">
                  <c:v>373.26608565150013</c:v>
                </c:pt>
                <c:pt idx="493">
                  <c:v>362.14136458422973</c:v>
                </c:pt>
                <c:pt idx="494">
                  <c:v>350.98338727814388</c:v>
                </c:pt>
                <c:pt idx="495">
                  <c:v>339.792606592661</c:v>
                </c:pt>
                <c:pt idx="496">
                  <c:v>328.56947244145266</c:v>
                </c:pt>
                <c:pt idx="497">
                  <c:v>317.31443176990132</c:v>
                </c:pt>
                <c:pt idx="498">
                  <c:v>306.02792853364349</c:v>
                </c:pt>
                <c:pt idx="499">
                  <c:v>294.71040367818483</c:v>
                </c:pt>
                <c:pt idx="500">
                  <c:v>283.36229511957185</c:v>
                </c:pt>
                <c:pt idx="501">
                  <c:v>271.98403772610629</c:v>
                </c:pt>
                <c:pt idx="502">
                  <c:v>260.57606330108763</c:v>
                </c:pt>
                <c:pt idx="503">
                  <c:v>249.13880056656848</c:v>
                </c:pt>
                <c:pt idx="504">
                  <c:v>237.67267514810825</c:v>
                </c:pt>
                <c:pt idx="505">
                  <c:v>226.17810956050997</c:v>
                </c:pt>
                <c:pt idx="506">
                  <c:v>214.65552319452487</c:v>
                </c:pt>
                <c:pt idx="507">
                  <c:v>203.10533230450991</c:v>
                </c:pt>
                <c:pt idx="508">
                  <c:v>191.52794999702257</c:v>
                </c:pt>
                <c:pt idx="509">
                  <c:v>179.92378622033755</c:v>
                </c:pt>
                <c:pt idx="510">
                  <c:v>168.29324775487009</c:v>
                </c:pt>
                <c:pt idx="511">
                  <c:v>156.63673820449023</c:v>
                </c:pt>
                <c:pt idx="512">
                  <c:v>144.95465798871246</c:v>
                </c:pt>
                <c:pt idx="513">
                  <c:v>133.24740433574539</c:v>
                </c:pt>
                <c:pt idx="514">
                  <c:v>121.51537127638554</c:v>
                </c:pt>
                <c:pt idx="515">
                  <c:v>109.75894963873985</c:v>
                </c:pt>
                <c:pt idx="516">
                  <c:v>97.978527043761261</c:v>
                </c:pt>
                <c:pt idx="517">
                  <c:v>86.174487901581813</c:v>
                </c:pt>
                <c:pt idx="518">
                  <c:v>74.347213408627553</c:v>
                </c:pt>
                <c:pt idx="519">
                  <c:v>62.497081545499888</c:v>
                </c:pt>
                <c:pt idx="520">
                  <c:v>50.62446707560774</c:v>
                </c:pt>
                <c:pt idx="521">
                  <c:v>38.729741544535074</c:v>
                </c:pt>
                <c:pt idx="522">
                  <c:v>26.813273280128442</c:v>
                </c:pt>
                <c:pt idx="523">
                  <c:v>14.875427393289083</c:v>
                </c:pt>
                <c:pt idx="524">
                  <c:v>2.9165657794543893</c:v>
                </c:pt>
                <c:pt idx="525">
                  <c:v>-9.0629528792465539</c:v>
                </c:pt>
                <c:pt idx="526">
                  <c:v>-9.0749426472209826</c:v>
                </c:pt>
                <c:pt idx="527">
                  <c:v>-9.086932435319877</c:v>
                </c:pt>
                <c:pt idx="528">
                  <c:v>-9.0989222435428854</c:v>
                </c:pt>
                <c:pt idx="529">
                  <c:v>-9.1109120718896595</c:v>
                </c:pt>
                <c:pt idx="530">
                  <c:v>-9.1229019203598476</c:v>
                </c:pt>
                <c:pt idx="531">
                  <c:v>-9.1348917889530998</c:v>
                </c:pt>
                <c:pt idx="532">
                  <c:v>-9.146881677669068</c:v>
                </c:pt>
                <c:pt idx="533">
                  <c:v>-9.1588715865074004</c:v>
                </c:pt>
                <c:pt idx="534">
                  <c:v>-9.1708615154677471</c:v>
                </c:pt>
                <c:pt idx="535">
                  <c:v>-9.1828514645497599</c:v>
                </c:pt>
                <c:pt idx="536">
                  <c:v>-9.194841433753087</c:v>
                </c:pt>
                <c:pt idx="537">
                  <c:v>-9.2068314230773787</c:v>
                </c:pt>
                <c:pt idx="538">
                  <c:v>-9.2188214325222866</c:v>
                </c:pt>
                <c:pt idx="539">
                  <c:v>-9.2308114620874591</c:v>
                </c:pt>
                <c:pt idx="540">
                  <c:v>-9.2428015117725462</c:v>
                </c:pt>
                <c:pt idx="541">
                  <c:v>-9.2547915815771979</c:v>
                </c:pt>
                <c:pt idx="542">
                  <c:v>-9.2667816715010662</c:v>
                </c:pt>
                <c:pt idx="543">
                  <c:v>-9.2787717815437993</c:v>
                </c:pt>
                <c:pt idx="544">
                  <c:v>-9.2907619117050473</c:v>
                </c:pt>
                <c:pt idx="545">
                  <c:v>-9.3027520619844601</c:v>
                </c:pt>
                <c:pt idx="546">
                  <c:v>-9.3147422323816897</c:v>
                </c:pt>
                <c:pt idx="547">
                  <c:v>-9.3267324228963844</c:v>
                </c:pt>
                <c:pt idx="548">
                  <c:v>-9.3387226335281941</c:v>
                </c:pt>
                <c:pt idx="549">
                  <c:v>-9.350712864276769</c:v>
                </c:pt>
                <c:pt idx="550">
                  <c:v>-9.3627031151417608</c:v>
                </c:pt>
                <c:pt idx="551">
                  <c:v>-9.3746933861228179</c:v>
                </c:pt>
                <c:pt idx="552">
                  <c:v>-9.3866836772195921</c:v>
                </c:pt>
                <c:pt idx="553">
                  <c:v>-9.3986739884317316</c:v>
                </c:pt>
                <c:pt idx="554">
                  <c:v>-9.4106643197588866</c:v>
                </c:pt>
                <c:pt idx="555">
                  <c:v>-9.4226546712007089</c:v>
                </c:pt>
                <c:pt idx="556">
                  <c:v>-9.4346450427568467</c:v>
                </c:pt>
                <c:pt idx="557">
                  <c:v>-9.4466354344269519</c:v>
                </c:pt>
                <c:pt idx="558">
                  <c:v>-9.4586258462106727</c:v>
                </c:pt>
                <c:pt idx="559">
                  <c:v>-9.470616278107661</c:v>
                </c:pt>
                <c:pt idx="560">
                  <c:v>-9.4826067301175652</c:v>
                </c:pt>
                <c:pt idx="561">
                  <c:v>-9.4945972022400369</c:v>
                </c:pt>
                <c:pt idx="562">
                  <c:v>-9.5065876944747245</c:v>
                </c:pt>
                <c:pt idx="563">
                  <c:v>-9.5185782068212799</c:v>
                </c:pt>
                <c:pt idx="564">
                  <c:v>-9.530568739279353</c:v>
                </c:pt>
                <c:pt idx="565">
                  <c:v>-9.542559291848594</c:v>
                </c:pt>
                <c:pt idx="566">
                  <c:v>-9.5545498645286511</c:v>
                </c:pt>
                <c:pt idx="567">
                  <c:v>-9.5665404573191761</c:v>
                </c:pt>
                <c:pt idx="568">
                  <c:v>-9.5785310702198192</c:v>
                </c:pt>
                <c:pt idx="569">
                  <c:v>-9.5905217032302303</c:v>
                </c:pt>
                <c:pt idx="570">
                  <c:v>-9.6025123563500596</c:v>
                </c:pt>
                <c:pt idx="571">
                  <c:v>-9.6145030295789571</c:v>
                </c:pt>
                <c:pt idx="572">
                  <c:v>-9.6264937229165728</c:v>
                </c:pt>
                <c:pt idx="573">
                  <c:v>-9.6384844363625568</c:v>
                </c:pt>
                <c:pt idx="574">
                  <c:v>-9.650475169916561</c:v>
                </c:pt>
                <c:pt idx="575">
                  <c:v>-9.6624659235782335</c:v>
                </c:pt>
                <c:pt idx="576">
                  <c:v>-9.6744566973472246</c:v>
                </c:pt>
                <c:pt idx="577">
                  <c:v>-9.6864474912231859</c:v>
                </c:pt>
                <c:pt idx="578">
                  <c:v>-9.6984383052057659</c:v>
                </c:pt>
                <c:pt idx="579">
                  <c:v>-9.7104291392946163</c:v>
                </c:pt>
                <c:pt idx="580">
                  <c:v>-9.7224199934893853</c:v>
                </c:pt>
                <c:pt idx="581">
                  <c:v>-9.734410867789725</c:v>
                </c:pt>
                <c:pt idx="582">
                  <c:v>-9.7464017621952852</c:v>
                </c:pt>
                <c:pt idx="583">
                  <c:v>-9.7583926767057143</c:v>
                </c:pt>
                <c:pt idx="584">
                  <c:v>-9.7703836113206641</c:v>
                </c:pt>
                <c:pt idx="585">
                  <c:v>-9.7823745660397847</c:v>
                </c:pt>
                <c:pt idx="586">
                  <c:v>-9.7943655408627261</c:v>
                </c:pt>
                <c:pt idx="587">
                  <c:v>-9.8063565357891385</c:v>
                </c:pt>
                <c:pt idx="588">
                  <c:v>-9.8183475508186735</c:v>
                </c:pt>
                <c:pt idx="589">
                  <c:v>-9.8303385859509795</c:v>
                </c:pt>
                <c:pt idx="590">
                  <c:v>-9.8423296411857066</c:v>
                </c:pt>
                <c:pt idx="591">
                  <c:v>-9.8543207165225066</c:v>
                </c:pt>
                <c:pt idx="592">
                  <c:v>-9.8663118119610278</c:v>
                </c:pt>
                <c:pt idx="593">
                  <c:v>-9.878302927500922</c:v>
                </c:pt>
                <c:pt idx="594">
                  <c:v>-9.8902940631418392</c:v>
                </c:pt>
                <c:pt idx="595">
                  <c:v>-9.9022852188834278</c:v>
                </c:pt>
                <c:pt idx="596">
                  <c:v>-9.9142763947253396</c:v>
                </c:pt>
                <c:pt idx="597">
                  <c:v>-9.9262675906672246</c:v>
                </c:pt>
                <c:pt idx="598">
                  <c:v>-9.9382588067087347</c:v>
                </c:pt>
                <c:pt idx="599">
                  <c:v>-9.9502500428495182</c:v>
                </c:pt>
                <c:pt idx="600">
                  <c:v>-9.9622412990892251</c:v>
                </c:pt>
                <c:pt idx="601">
                  <c:v>-9.9742325754275072</c:v>
                </c:pt>
                <c:pt idx="602">
                  <c:v>-9.9862238718640128</c:v>
                </c:pt>
                <c:pt idx="603">
                  <c:v>-9.9982151883983938</c:v>
                </c:pt>
                <c:pt idx="604">
                  <c:v>-10.010206525030299</c:v>
                </c:pt>
                <c:pt idx="605">
                  <c:v>-10.022197881759379</c:v>
                </c:pt>
                <c:pt idx="606">
                  <c:v>-10.034189258585284</c:v>
                </c:pt>
                <c:pt idx="607">
                  <c:v>-10.046180655507666</c:v>
                </c:pt>
                <c:pt idx="608">
                  <c:v>-10.058172072526174</c:v>
                </c:pt>
                <c:pt idx="609">
                  <c:v>-10.070163509640459</c:v>
                </c:pt>
                <c:pt idx="610">
                  <c:v>-10.082154966850169</c:v>
                </c:pt>
                <c:pt idx="611">
                  <c:v>-10.094146444154957</c:v>
                </c:pt>
                <c:pt idx="612">
                  <c:v>-10.106137941554472</c:v>
                </c:pt>
                <c:pt idx="613">
                  <c:v>-10.118129459048365</c:v>
                </c:pt>
                <c:pt idx="614">
                  <c:v>-10.130120996636286</c:v>
                </c:pt>
                <c:pt idx="615">
                  <c:v>-10.142112554317885</c:v>
                </c:pt>
                <c:pt idx="616">
                  <c:v>-10.154104132092812</c:v>
                </c:pt>
                <c:pt idx="617">
                  <c:v>-10.166095729960716</c:v>
                </c:pt>
                <c:pt idx="618">
                  <c:v>-10.178087347921251</c:v>
                </c:pt>
                <c:pt idx="619">
                  <c:v>-10.190078985974063</c:v>
                </c:pt>
                <c:pt idx="620">
                  <c:v>-10.202070644118805</c:v>
                </c:pt>
                <c:pt idx="621">
                  <c:v>-10.214062322355128</c:v>
                </c:pt>
                <c:pt idx="622">
                  <c:v>-10.22605402068268</c:v>
                </c:pt>
                <c:pt idx="623">
                  <c:v>-10.238045739101112</c:v>
                </c:pt>
                <c:pt idx="624">
                  <c:v>-10.250037477610077</c:v>
                </c:pt>
                <c:pt idx="625">
                  <c:v>-10.262029236209221</c:v>
                </c:pt>
                <c:pt idx="626">
                  <c:v>-10.274021014898198</c:v>
                </c:pt>
                <c:pt idx="627">
                  <c:v>-10.286012813676656</c:v>
                </c:pt>
                <c:pt idx="628">
                  <c:v>-10.298004632544247</c:v>
                </c:pt>
                <c:pt idx="629">
                  <c:v>-10.30999647150062</c:v>
                </c:pt>
                <c:pt idx="630">
                  <c:v>-10.321988330545425</c:v>
                </c:pt>
                <c:pt idx="631">
                  <c:v>-10.333980209678314</c:v>
                </c:pt>
                <c:pt idx="632">
                  <c:v>-10.345972108898936</c:v>
                </c:pt>
                <c:pt idx="633">
                  <c:v>-10.357964028206942</c:v>
                </c:pt>
                <c:pt idx="634">
                  <c:v>-10.369955967601982</c:v>
                </c:pt>
                <c:pt idx="635">
                  <c:v>-10.381947927083706</c:v>
                </c:pt>
                <c:pt idx="636">
                  <c:v>-10.393939906651765</c:v>
                </c:pt>
                <c:pt idx="637">
                  <c:v>-10.40593190630581</c:v>
                </c:pt>
                <c:pt idx="638">
                  <c:v>-10.417923926045489</c:v>
                </c:pt>
                <c:pt idx="639">
                  <c:v>-10.429915965870455</c:v>
                </c:pt>
                <c:pt idx="640">
                  <c:v>-10.441908025780357</c:v>
                </c:pt>
                <c:pt idx="641">
                  <c:v>-10.453900105774846</c:v>
                </c:pt>
                <c:pt idx="642">
                  <c:v>-10.465892205853571</c:v>
                </c:pt>
                <c:pt idx="643">
                  <c:v>-10.477884326016184</c:v>
                </c:pt>
                <c:pt idx="644">
                  <c:v>-10.489876466262336</c:v>
                </c:pt>
                <c:pt idx="645">
                  <c:v>-10.501868626591675</c:v>
                </c:pt>
                <c:pt idx="646">
                  <c:v>-10.513860807003852</c:v>
                </c:pt>
                <c:pt idx="647">
                  <c:v>-10.525853007498519</c:v>
                </c:pt>
                <c:pt idx="648">
                  <c:v>-10.537845228075325</c:v>
                </c:pt>
                <c:pt idx="649">
                  <c:v>-10.549837468733921</c:v>
                </c:pt>
                <c:pt idx="650">
                  <c:v>-10.561829729473956</c:v>
                </c:pt>
                <c:pt idx="651">
                  <c:v>-10.573822010295082</c:v>
                </c:pt>
                <c:pt idx="652">
                  <c:v>-10.58581431119695</c:v>
                </c:pt>
                <c:pt idx="653">
                  <c:v>-10.597806632179209</c:v>
                </c:pt>
                <c:pt idx="654">
                  <c:v>-10.60979897324151</c:v>
                </c:pt>
                <c:pt idx="655">
                  <c:v>-10.621791334383502</c:v>
                </c:pt>
                <c:pt idx="656">
                  <c:v>-10.633783715604837</c:v>
                </c:pt>
                <c:pt idx="657">
                  <c:v>-10.645776116905166</c:v>
                </c:pt>
                <c:pt idx="658">
                  <c:v>-10.657768538284138</c:v>
                </c:pt>
                <c:pt idx="659">
                  <c:v>-10.669760979741405</c:v>
                </c:pt>
                <c:pt idx="660">
                  <c:v>-10.681753441276614</c:v>
                </c:pt>
                <c:pt idx="661">
                  <c:v>-10.69374592288942</c:v>
                </c:pt>
                <c:pt idx="662">
                  <c:v>-10.70573842457947</c:v>
                </c:pt>
                <c:pt idx="663">
                  <c:v>-10.717730946346416</c:v>
                </c:pt>
                <c:pt idx="664">
                  <c:v>-10.729723488189908</c:v>
                </c:pt>
                <c:pt idx="665">
                  <c:v>-10.741716050109597</c:v>
                </c:pt>
                <c:pt idx="666">
                  <c:v>-10.753708632105132</c:v>
                </c:pt>
                <c:pt idx="667">
                  <c:v>-10.765701234176165</c:v>
                </c:pt>
                <c:pt idx="668">
                  <c:v>-10.777693856322346</c:v>
                </c:pt>
                <c:pt idx="669">
                  <c:v>-10.789686498543325</c:v>
                </c:pt>
                <c:pt idx="670">
                  <c:v>-10.801679160838754</c:v>
                </c:pt>
                <c:pt idx="671">
                  <c:v>-10.813671843208281</c:v>
                </c:pt>
                <c:pt idx="672">
                  <c:v>-10.825664545651559</c:v>
                </c:pt>
                <c:pt idx="673">
                  <c:v>-10.837657268168236</c:v>
                </c:pt>
                <c:pt idx="674">
                  <c:v>-10.849650010757964</c:v>
                </c:pt>
                <c:pt idx="675">
                  <c:v>-10.861642773420392</c:v>
                </c:pt>
                <c:pt idx="676">
                  <c:v>-10.873635556155174</c:v>
                </c:pt>
                <c:pt idx="677">
                  <c:v>-10.885628358961958</c:v>
                </c:pt>
                <c:pt idx="678">
                  <c:v>-10.897621181840393</c:v>
                </c:pt>
                <c:pt idx="679">
                  <c:v>-10.909614024790132</c:v>
                </c:pt>
                <c:pt idx="680">
                  <c:v>-10.921606887810825</c:v>
                </c:pt>
                <c:pt idx="681">
                  <c:v>-10.933599770902122</c:v>
                </c:pt>
                <c:pt idx="682">
                  <c:v>-10.945592674063674</c:v>
                </c:pt>
                <c:pt idx="683">
                  <c:v>-10.957585597295131</c:v>
                </c:pt>
                <c:pt idx="684">
                  <c:v>-10.969578540596142</c:v>
                </c:pt>
                <c:pt idx="685">
                  <c:v>-10.981571503966361</c:v>
                </c:pt>
                <c:pt idx="686">
                  <c:v>-10.993564487405436</c:v>
                </c:pt>
                <c:pt idx="687">
                  <c:v>-11.005557490913018</c:v>
                </c:pt>
                <c:pt idx="688">
                  <c:v>-11.017550514488759</c:v>
                </c:pt>
                <c:pt idx="689">
                  <c:v>-11.029543558132307</c:v>
                </c:pt>
                <c:pt idx="690">
                  <c:v>-11.041536621843314</c:v>
                </c:pt>
                <c:pt idx="691">
                  <c:v>-11.053529705621429</c:v>
                </c:pt>
                <c:pt idx="692">
                  <c:v>-11.065522809466305</c:v>
                </c:pt>
                <c:pt idx="693">
                  <c:v>-11.077515933377592</c:v>
                </c:pt>
                <c:pt idx="694">
                  <c:v>-11.08950907735494</c:v>
                </c:pt>
                <c:pt idx="695">
                  <c:v>-11.101502241397998</c:v>
                </c:pt>
                <c:pt idx="696">
                  <c:v>-11.11349542550642</c:v>
                </c:pt>
                <c:pt idx="697">
                  <c:v>-11.125488629679854</c:v>
                </c:pt>
                <c:pt idx="698">
                  <c:v>-11.137481853917951</c:v>
                </c:pt>
                <c:pt idx="699">
                  <c:v>-11.149475098220361</c:v>
                </c:pt>
                <c:pt idx="700">
                  <c:v>-11.161468362586735</c:v>
                </c:pt>
                <c:pt idx="701">
                  <c:v>-11.173461647016724</c:v>
                </c:pt>
                <c:pt idx="702">
                  <c:v>-11.185454951509978</c:v>
                </c:pt>
                <c:pt idx="703">
                  <c:v>-11.197448276066149</c:v>
                </c:pt>
                <c:pt idx="704">
                  <c:v>-11.209441620684887</c:v>
                </c:pt>
                <c:pt idx="705">
                  <c:v>-11.221434985365841</c:v>
                </c:pt>
                <c:pt idx="706">
                  <c:v>-11.233428370108662</c:v>
                </c:pt>
                <c:pt idx="707">
                  <c:v>-11.245421774913002</c:v>
                </c:pt>
                <c:pt idx="708">
                  <c:v>-11.25741519977851</c:v>
                </c:pt>
                <c:pt idx="709">
                  <c:v>-11.269408644704839</c:v>
                </c:pt>
                <c:pt idx="710">
                  <c:v>-11.281402109691637</c:v>
                </c:pt>
                <c:pt idx="711">
                  <c:v>-11.293395594738556</c:v>
                </c:pt>
                <c:pt idx="712">
                  <c:v>-11.305389099845245</c:v>
                </c:pt>
                <c:pt idx="713">
                  <c:v>-11.317382625011357</c:v>
                </c:pt>
                <c:pt idx="714">
                  <c:v>-11.329376170236541</c:v>
                </c:pt>
                <c:pt idx="715">
                  <c:v>-11.341369735520448</c:v>
                </c:pt>
                <c:pt idx="716">
                  <c:v>-11.353363320862728</c:v>
                </c:pt>
                <c:pt idx="717">
                  <c:v>-11.365356926263033</c:v>
                </c:pt>
                <c:pt idx="718">
                  <c:v>-11.377350551721012</c:v>
                </c:pt>
                <c:pt idx="719">
                  <c:v>-11.389344197236317</c:v>
                </c:pt>
                <c:pt idx="720">
                  <c:v>-11.4013378628086</c:v>
                </c:pt>
                <c:pt idx="721">
                  <c:v>-11.413331548437508</c:v>
                </c:pt>
                <c:pt idx="722">
                  <c:v>-11.425325254122694</c:v>
                </c:pt>
                <c:pt idx="723">
                  <c:v>-11.437318979863807</c:v>
                </c:pt>
                <c:pt idx="724">
                  <c:v>-11.4493127256605</c:v>
                </c:pt>
                <c:pt idx="725">
                  <c:v>-11.461306491512421</c:v>
                </c:pt>
                <c:pt idx="726">
                  <c:v>-11.473300277419222</c:v>
                </c:pt>
                <c:pt idx="727">
                  <c:v>-11.485294083380554</c:v>
                </c:pt>
                <c:pt idx="728">
                  <c:v>-11.497287909396066</c:v>
                </c:pt>
                <c:pt idx="729">
                  <c:v>-11.509281755465411</c:v>
                </c:pt>
                <c:pt idx="730">
                  <c:v>-11.521275621588238</c:v>
                </c:pt>
                <c:pt idx="731">
                  <c:v>-11.533269507764198</c:v>
                </c:pt>
                <c:pt idx="732">
                  <c:v>-11.545263413992942</c:v>
                </c:pt>
                <c:pt idx="733">
                  <c:v>-11.55725734027412</c:v>
                </c:pt>
                <c:pt idx="734">
                  <c:v>-11.569251286607383</c:v>
                </c:pt>
                <c:pt idx="735">
                  <c:v>-11.581245252992382</c:v>
                </c:pt>
                <c:pt idx="736">
                  <c:v>-11.593239239428767</c:v>
                </c:pt>
                <c:pt idx="737">
                  <c:v>-11.605233245916191</c:v>
                </c:pt>
                <c:pt idx="738">
                  <c:v>-11.617227272454301</c:v>
                </c:pt>
                <c:pt idx="739">
                  <c:v>-11.629221319042751</c:v>
                </c:pt>
                <c:pt idx="740">
                  <c:v>-11.641215385681189</c:v>
                </c:pt>
                <c:pt idx="741">
                  <c:v>-11.653209472369268</c:v>
                </c:pt>
                <c:pt idx="742">
                  <c:v>-11.665203579106636</c:v>
                </c:pt>
                <c:pt idx="743">
                  <c:v>-11.677197705892947</c:v>
                </c:pt>
                <c:pt idx="744">
                  <c:v>-11.689191852727848</c:v>
                </c:pt>
                <c:pt idx="745">
                  <c:v>-11.701186019610994</c:v>
                </c:pt>
                <c:pt idx="746">
                  <c:v>-11.713180206542031</c:v>
                </c:pt>
                <c:pt idx="747">
                  <c:v>-11.725174413520612</c:v>
                </c:pt>
                <c:pt idx="748">
                  <c:v>-11.73716864054639</c:v>
                </c:pt>
                <c:pt idx="749">
                  <c:v>-11.749162887619013</c:v>
                </c:pt>
                <c:pt idx="750">
                  <c:v>-11.761157154738132</c:v>
                </c:pt>
                <c:pt idx="751">
                  <c:v>-11.773151441903398</c:v>
                </c:pt>
                <c:pt idx="752">
                  <c:v>-11.785145749114461</c:v>
                </c:pt>
                <c:pt idx="753">
                  <c:v>-11.797140076370972</c:v>
                </c:pt>
                <c:pt idx="754">
                  <c:v>-11.809134423672583</c:v>
                </c:pt>
                <c:pt idx="755">
                  <c:v>-11.821128791018944</c:v>
                </c:pt>
                <c:pt idx="756">
                  <c:v>-11.833123178409705</c:v>
                </c:pt>
                <c:pt idx="757">
                  <c:v>-11.845117585844518</c:v>
                </c:pt>
                <c:pt idx="758">
                  <c:v>-11.857112013323032</c:v>
                </c:pt>
                <c:pt idx="759">
                  <c:v>-11.8691064608449</c:v>
                </c:pt>
                <c:pt idx="760">
                  <c:v>-11.881100928409772</c:v>
                </c:pt>
                <c:pt idx="761">
                  <c:v>-11.893095416017298</c:v>
                </c:pt>
                <c:pt idx="762">
                  <c:v>-11.905089923667129</c:v>
                </c:pt>
                <c:pt idx="763">
                  <c:v>-11.917084451358916</c:v>
                </c:pt>
                <c:pt idx="764">
                  <c:v>-11.929078999092308</c:v>
                </c:pt>
                <c:pt idx="765">
                  <c:v>-11.941073566866958</c:v>
                </c:pt>
                <c:pt idx="766">
                  <c:v>-11.953068154682516</c:v>
                </c:pt>
                <c:pt idx="767">
                  <c:v>-11.965062762538633</c:v>
                </c:pt>
                <c:pt idx="768">
                  <c:v>-11.977057390434959</c:v>
                </c:pt>
                <c:pt idx="769">
                  <c:v>-11.989052038371147</c:v>
                </c:pt>
                <c:pt idx="770">
                  <c:v>-12.001046706346846</c:v>
                </c:pt>
                <c:pt idx="771">
                  <c:v>-12.013041394361707</c:v>
                </c:pt>
                <c:pt idx="772">
                  <c:v>-12.025036102415381</c:v>
                </c:pt>
                <c:pt idx="773">
                  <c:v>-12.037030830507518</c:v>
                </c:pt>
                <c:pt idx="774">
                  <c:v>-12.049025578637769</c:v>
                </c:pt>
                <c:pt idx="775">
                  <c:v>-12.061020346805785</c:v>
                </c:pt>
                <c:pt idx="776">
                  <c:v>-12.073015135011218</c:v>
                </c:pt>
                <c:pt idx="777">
                  <c:v>-12.085009943253718</c:v>
                </c:pt>
                <c:pt idx="778">
                  <c:v>-12.097004771532935</c:v>
                </c:pt>
                <c:pt idx="779">
                  <c:v>-12.108999619848522</c:v>
                </c:pt>
                <c:pt idx="780">
                  <c:v>-12.120994488200127</c:v>
                </c:pt>
                <c:pt idx="781">
                  <c:v>-12.132989376587402</c:v>
                </c:pt>
                <c:pt idx="782">
                  <c:v>-12.144984285009997</c:v>
                </c:pt>
                <c:pt idx="783">
                  <c:v>-12.156979213467563</c:v>
                </c:pt>
                <c:pt idx="784">
                  <c:v>-12.168974161959753</c:v>
                </c:pt>
                <c:pt idx="785">
                  <c:v>-12.180969130486215</c:v>
                </c:pt>
                <c:pt idx="786">
                  <c:v>-12.192964119046602</c:v>
                </c:pt>
                <c:pt idx="787">
                  <c:v>-12.204959127640564</c:v>
                </c:pt>
                <c:pt idx="788">
                  <c:v>-12.216954156267752</c:v>
                </c:pt>
                <c:pt idx="789">
                  <c:v>-12.228949204927817</c:v>
                </c:pt>
                <c:pt idx="790">
                  <c:v>-12.240944273620409</c:v>
                </c:pt>
                <c:pt idx="791">
                  <c:v>-12.252939362345179</c:v>
                </c:pt>
                <c:pt idx="792">
                  <c:v>-12.264934471101778</c:v>
                </c:pt>
                <c:pt idx="793">
                  <c:v>-12.276929599889858</c:v>
                </c:pt>
                <c:pt idx="794">
                  <c:v>-12.288924748709068</c:v>
                </c:pt>
                <c:pt idx="795">
                  <c:v>-12.30091991755906</c:v>
                </c:pt>
                <c:pt idx="796">
                  <c:v>-12.312915106439485</c:v>
                </c:pt>
                <c:pt idx="797">
                  <c:v>-12.324910315349994</c:v>
                </c:pt>
                <c:pt idx="798">
                  <c:v>-12.336905544290238</c:v>
                </c:pt>
                <c:pt idx="799">
                  <c:v>-12.348900793259865</c:v>
                </c:pt>
                <c:pt idx="800">
                  <c:v>-12.360896062258529</c:v>
                </c:pt>
                <c:pt idx="801">
                  <c:v>-12.372891351285881</c:v>
                </c:pt>
                <c:pt idx="802">
                  <c:v>-12.384886660341571</c:v>
                </c:pt>
                <c:pt idx="803">
                  <c:v>-12.39688198942525</c:v>
                </c:pt>
                <c:pt idx="804">
                  <c:v>-12.408877338536568</c:v>
                </c:pt>
                <c:pt idx="805">
                  <c:v>-12.420872707675176</c:v>
                </c:pt>
                <c:pt idx="806">
                  <c:v>-12.432868096840727</c:v>
                </c:pt>
                <c:pt idx="807">
                  <c:v>-12.444863506032869</c:v>
                </c:pt>
                <c:pt idx="808">
                  <c:v>-12.456858935251255</c:v>
                </c:pt>
                <c:pt idx="809">
                  <c:v>-12.468854384495534</c:v>
                </c:pt>
                <c:pt idx="810">
                  <c:v>-12.48084985376536</c:v>
                </c:pt>
                <c:pt idx="811">
                  <c:v>-12.492845343060381</c:v>
                </c:pt>
                <c:pt idx="812">
                  <c:v>-12.504840852380248</c:v>
                </c:pt>
                <c:pt idx="813">
                  <c:v>-12.516836381724614</c:v>
                </c:pt>
                <c:pt idx="814">
                  <c:v>-12.528831931093128</c:v>
                </c:pt>
                <c:pt idx="815">
                  <c:v>-12.540827500485442</c:v>
                </c:pt>
                <c:pt idx="816">
                  <c:v>-12.552823089901207</c:v>
                </c:pt>
                <c:pt idx="817">
                  <c:v>-12.564818699340073</c:v>
                </c:pt>
                <c:pt idx="818">
                  <c:v>-12.57681432880169</c:v>
                </c:pt>
                <c:pt idx="819">
                  <c:v>-12.588809978285713</c:v>
                </c:pt>
                <c:pt idx="820">
                  <c:v>-12.600805647791789</c:v>
                </c:pt>
                <c:pt idx="821">
                  <c:v>-12.612801337319571</c:v>
                </c:pt>
                <c:pt idx="822">
                  <c:v>-12.624797046868709</c:v>
                </c:pt>
                <c:pt idx="823">
                  <c:v>-12.636792776438854</c:v>
                </c:pt>
                <c:pt idx="824">
                  <c:v>-12.648788526029657</c:v>
                </c:pt>
                <c:pt idx="825">
                  <c:v>-12.660784295640768</c:v>
                </c:pt>
                <c:pt idx="826">
                  <c:v>-12.672780085271841</c:v>
                </c:pt>
                <c:pt idx="827">
                  <c:v>-12.684775894922524</c:v>
                </c:pt>
                <c:pt idx="828">
                  <c:v>-12.69677172459247</c:v>
                </c:pt>
                <c:pt idx="829">
                  <c:v>-12.708767574281328</c:v>
                </c:pt>
                <c:pt idx="830">
                  <c:v>-12.72076344398875</c:v>
                </c:pt>
                <c:pt idx="831">
                  <c:v>-12.732759333714386</c:v>
                </c:pt>
                <c:pt idx="832">
                  <c:v>-12.744755243457888</c:v>
                </c:pt>
                <c:pt idx="833">
                  <c:v>-12.756751173218907</c:v>
                </c:pt>
                <c:pt idx="834">
                  <c:v>-12.768747122997095</c:v>
                </c:pt>
                <c:pt idx="835">
                  <c:v>-12.7807430927921</c:v>
                </c:pt>
                <c:pt idx="836">
                  <c:v>-12.792739082603577</c:v>
                </c:pt>
                <c:pt idx="837">
                  <c:v>-12.804735092431173</c:v>
                </c:pt>
                <c:pt idx="838">
                  <c:v>-12.816731122274541</c:v>
                </c:pt>
                <c:pt idx="839">
                  <c:v>-12.828727172133332</c:v>
                </c:pt>
                <c:pt idx="840">
                  <c:v>-12.840723242007197</c:v>
                </c:pt>
                <c:pt idx="841">
                  <c:v>-12.852719331895786</c:v>
                </c:pt>
                <c:pt idx="842">
                  <c:v>-12.864715441798751</c:v>
                </c:pt>
                <c:pt idx="843">
                  <c:v>-12.876711571715743</c:v>
                </c:pt>
                <c:pt idx="844">
                  <c:v>-12.888707721646414</c:v>
                </c:pt>
                <c:pt idx="845">
                  <c:v>-12.900703891590412</c:v>
                </c:pt>
                <c:pt idx="846">
                  <c:v>-12.91270008154739</c:v>
                </c:pt>
                <c:pt idx="847">
                  <c:v>-12.924696291517</c:v>
                </c:pt>
                <c:pt idx="848">
                  <c:v>-12.936692521498891</c:v>
                </c:pt>
                <c:pt idx="849">
                  <c:v>-12.948688771492716</c:v>
                </c:pt>
                <c:pt idx="850">
                  <c:v>-12.960685041498124</c:v>
                </c:pt>
                <c:pt idx="851">
                  <c:v>-12.972681331514767</c:v>
                </c:pt>
                <c:pt idx="852">
                  <c:v>-12.984677641542296</c:v>
                </c:pt>
                <c:pt idx="853">
                  <c:v>-12.996673971580362</c:v>
                </c:pt>
                <c:pt idx="854">
                  <c:v>-13.008670321628617</c:v>
                </c:pt>
                <c:pt idx="855">
                  <c:v>-13.020666691686712</c:v>
                </c:pt>
                <c:pt idx="856">
                  <c:v>-13.032663081754295</c:v>
                </c:pt>
                <c:pt idx="857">
                  <c:v>-13.044659491831021</c:v>
                </c:pt>
                <c:pt idx="858">
                  <c:v>-13.056655921916539</c:v>
                </c:pt>
                <c:pt idx="859">
                  <c:v>-13.068652372010501</c:v>
                </c:pt>
                <c:pt idx="860">
                  <c:v>-13.080648842112556</c:v>
                </c:pt>
                <c:pt idx="861">
                  <c:v>-13.092645332222357</c:v>
                </c:pt>
                <c:pt idx="862">
                  <c:v>-13.104641842339555</c:v>
                </c:pt>
                <c:pt idx="863">
                  <c:v>-13.1166383724638</c:v>
                </c:pt>
                <c:pt idx="864">
                  <c:v>-13.128634922594745</c:v>
                </c:pt>
                <c:pt idx="865">
                  <c:v>-13.140631492732039</c:v>
                </c:pt>
                <c:pt idx="866">
                  <c:v>-13.152628082875335</c:v>
                </c:pt>
                <c:pt idx="867">
                  <c:v>-13.164624693024283</c:v>
                </c:pt>
                <c:pt idx="868">
                  <c:v>-13.176621323178534</c:v>
                </c:pt>
                <c:pt idx="869">
                  <c:v>-13.188617973337738</c:v>
                </c:pt>
                <c:pt idx="870">
                  <c:v>-13.200614643501549</c:v>
                </c:pt>
                <c:pt idx="871">
                  <c:v>-13.212611333669615</c:v>
                </c:pt>
                <c:pt idx="872">
                  <c:v>-13.22460804384159</c:v>
                </c:pt>
                <c:pt idx="873">
                  <c:v>-13.236604774017122</c:v>
                </c:pt>
                <c:pt idx="874">
                  <c:v>-13.248601524195864</c:v>
                </c:pt>
                <c:pt idx="875">
                  <c:v>-13.260598294377468</c:v>
                </c:pt>
                <c:pt idx="876">
                  <c:v>-13.272595084561583</c:v>
                </c:pt>
                <c:pt idx="877">
                  <c:v>-13.284591894747862</c:v>
                </c:pt>
                <c:pt idx="878">
                  <c:v>-13.296588724935955</c:v>
                </c:pt>
                <c:pt idx="879">
                  <c:v>-13.308585575125512</c:v>
                </c:pt>
                <c:pt idx="880">
                  <c:v>-13.320582445316187</c:v>
                </c:pt>
                <c:pt idx="881">
                  <c:v>-13.33257933550763</c:v>
                </c:pt>
                <c:pt idx="882">
                  <c:v>-13.344576245699491</c:v>
                </c:pt>
                <c:pt idx="883">
                  <c:v>-13.356573175891421</c:v>
                </c:pt>
                <c:pt idx="884">
                  <c:v>-13.368570126083073</c:v>
                </c:pt>
                <c:pt idx="885">
                  <c:v>-13.380567096274097</c:v>
                </c:pt>
                <c:pt idx="886">
                  <c:v>-13.392564086464144</c:v>
                </c:pt>
                <c:pt idx="887">
                  <c:v>-13.404561096652866</c:v>
                </c:pt>
                <c:pt idx="888">
                  <c:v>-13.416558126839913</c:v>
                </c:pt>
                <c:pt idx="889">
                  <c:v>-13.428555177024936</c:v>
                </c:pt>
                <c:pt idx="890">
                  <c:v>-13.440552247207588</c:v>
                </c:pt>
                <c:pt idx="891">
                  <c:v>-13.452549337387518</c:v>
                </c:pt>
                <c:pt idx="892">
                  <c:v>-13.464546447564379</c:v>
                </c:pt>
                <c:pt idx="893">
                  <c:v>-13.476543577737822</c:v>
                </c:pt>
                <c:pt idx="894">
                  <c:v>-13.488540727907496</c:v>
                </c:pt>
                <c:pt idx="895">
                  <c:v>-13.500537898073055</c:v>
                </c:pt>
                <c:pt idx="896">
                  <c:v>-13.51253508823415</c:v>
                </c:pt>
                <c:pt idx="897">
                  <c:v>-13.524532298390431</c:v>
                </c:pt>
                <c:pt idx="898">
                  <c:v>-13.536529528541548</c:v>
                </c:pt>
                <c:pt idx="899">
                  <c:v>-13.548526778687155</c:v>
                </c:pt>
                <c:pt idx="900">
                  <c:v>-13.560524048826901</c:v>
                </c:pt>
                <c:pt idx="901">
                  <c:v>-13.572521338960438</c:v>
                </c:pt>
                <c:pt idx="902">
                  <c:v>-13.584518649087418</c:v>
                </c:pt>
                <c:pt idx="903">
                  <c:v>-13.59651597920749</c:v>
                </c:pt>
                <c:pt idx="904">
                  <c:v>-13.608513329320306</c:v>
                </c:pt>
                <c:pt idx="905">
                  <c:v>-13.62051069942552</c:v>
                </c:pt>
                <c:pt idx="906">
                  <c:v>-13.63250808952278</c:v>
                </c:pt>
                <c:pt idx="907">
                  <c:v>-13.644505499611737</c:v>
                </c:pt>
                <c:pt idx="908">
                  <c:v>-13.656502929692044</c:v>
                </c:pt>
                <c:pt idx="909">
                  <c:v>-13.668500379763351</c:v>
                </c:pt>
                <c:pt idx="910">
                  <c:v>-13.680497849825311</c:v>
                </c:pt>
                <c:pt idx="911">
                  <c:v>-13.692495339877574</c:v>
                </c:pt>
                <c:pt idx="912">
                  <c:v>-13.704492849919792</c:v>
                </c:pt>
                <c:pt idx="913">
                  <c:v>-13.716490379951614</c:v>
                </c:pt>
                <c:pt idx="914">
                  <c:v>-13.728487929972692</c:v>
                </c:pt>
                <c:pt idx="915">
                  <c:v>-13.740485499982679</c:v>
                </c:pt>
                <c:pt idx="916">
                  <c:v>-13.752483089981226</c:v>
                </c:pt>
                <c:pt idx="917">
                  <c:v>-13.764480699967983</c:v>
                </c:pt>
                <c:pt idx="918">
                  <c:v>-13.776478329942602</c:v>
                </c:pt>
                <c:pt idx="919">
                  <c:v>-13.788475979904733</c:v>
                </c:pt>
                <c:pt idx="920">
                  <c:v>-13.800473649854029</c:v>
                </c:pt>
                <c:pt idx="921">
                  <c:v>-13.81247133979014</c:v>
                </c:pt>
                <c:pt idx="922">
                  <c:v>-13.824469049712718</c:v>
                </c:pt>
                <c:pt idx="923">
                  <c:v>-13.836466779621414</c:v>
                </c:pt>
                <c:pt idx="924">
                  <c:v>-13.84846452951588</c:v>
                </c:pt>
                <c:pt idx="925">
                  <c:v>-13.860462299395767</c:v>
                </c:pt>
                <c:pt idx="926">
                  <c:v>-13.872460089260725</c:v>
                </c:pt>
                <c:pt idx="927">
                  <c:v>-13.884457899110407</c:v>
                </c:pt>
                <c:pt idx="928">
                  <c:v>-13.896455728944462</c:v>
                </c:pt>
                <c:pt idx="929">
                  <c:v>-13.908453578762543</c:v>
                </c:pt>
                <c:pt idx="930">
                  <c:v>-13.920451448564302</c:v>
                </c:pt>
                <c:pt idx="931">
                  <c:v>-13.932449338349389</c:v>
                </c:pt>
                <c:pt idx="932">
                  <c:v>-13.944447248117456</c:v>
                </c:pt>
                <c:pt idx="933">
                  <c:v>-13.956445177868153</c:v>
                </c:pt>
                <c:pt idx="934">
                  <c:v>-13.968443127601132</c:v>
                </c:pt>
                <c:pt idx="935">
                  <c:v>-13.980441097316044</c:v>
                </c:pt>
                <c:pt idx="936">
                  <c:v>-13.992439087012542</c:v>
                </c:pt>
                <c:pt idx="937">
                  <c:v>-14.004437096690276</c:v>
                </c:pt>
                <c:pt idx="938">
                  <c:v>-14.016435126348897</c:v>
                </c:pt>
                <c:pt idx="939">
                  <c:v>-14.028433175988058</c:v>
                </c:pt>
                <c:pt idx="940">
                  <c:v>-14.040431245607408</c:v>
                </c:pt>
                <c:pt idx="941">
                  <c:v>-14.052429335206599</c:v>
                </c:pt>
                <c:pt idx="942">
                  <c:v>-14.064427444785283</c:v>
                </c:pt>
                <c:pt idx="943">
                  <c:v>-14.07642557434311</c:v>
                </c:pt>
                <c:pt idx="944">
                  <c:v>-14.088423723879734</c:v>
                </c:pt>
                <c:pt idx="945">
                  <c:v>-14.100421893394804</c:v>
                </c:pt>
                <c:pt idx="946">
                  <c:v>-14.112420082887972</c:v>
                </c:pt>
                <c:pt idx="947">
                  <c:v>-14.124418292358889</c:v>
                </c:pt>
                <c:pt idx="948">
                  <c:v>-14.136416521807208</c:v>
                </c:pt>
                <c:pt idx="949">
                  <c:v>-14.148414771232577</c:v>
                </c:pt>
                <c:pt idx="950">
                  <c:v>-14.160413040634651</c:v>
                </c:pt>
                <c:pt idx="951">
                  <c:v>-14.17241133001308</c:v>
                </c:pt>
                <c:pt idx="952">
                  <c:v>-14.184409639367514</c:v>
                </c:pt>
                <c:pt idx="953">
                  <c:v>-14.196407968697606</c:v>
                </c:pt>
                <c:pt idx="954">
                  <c:v>-14.208406318003007</c:v>
                </c:pt>
                <c:pt idx="955">
                  <c:v>-14.220404687283368</c:v>
                </c:pt>
                <c:pt idx="956">
                  <c:v>-14.232403076538342</c:v>
                </c:pt>
                <c:pt idx="957">
                  <c:v>-14.244401485767577</c:v>
                </c:pt>
                <c:pt idx="958">
                  <c:v>-14.256399914970727</c:v>
                </c:pt>
                <c:pt idx="959">
                  <c:v>-14.268398364147442</c:v>
                </c:pt>
                <c:pt idx="960">
                  <c:v>-14.280396833297376</c:v>
                </c:pt>
                <c:pt idx="961">
                  <c:v>-14.292395322420177</c:v>
                </c:pt>
                <c:pt idx="962">
                  <c:v>-14.304393831515497</c:v>
                </c:pt>
                <c:pt idx="963">
                  <c:v>-14.31639236058299</c:v>
                </c:pt>
                <c:pt idx="964">
                  <c:v>-14.328390909622305</c:v>
                </c:pt>
                <c:pt idx="965">
                  <c:v>-14.340389478633094</c:v>
                </c:pt>
                <c:pt idx="966">
                  <c:v>-14.352388067615008</c:v>
                </c:pt>
                <c:pt idx="967">
                  <c:v>-14.364386676567699</c:v>
                </c:pt>
                <c:pt idx="968">
                  <c:v>-14.376385305490819</c:v>
                </c:pt>
                <c:pt idx="969">
                  <c:v>-14.388383954384018</c:v>
                </c:pt>
                <c:pt idx="970">
                  <c:v>-14.400382623246948</c:v>
                </c:pt>
                <c:pt idx="971">
                  <c:v>-14.41238131207926</c:v>
                </c:pt>
                <c:pt idx="972">
                  <c:v>-14.424380020880607</c:v>
                </c:pt>
                <c:pt idx="973">
                  <c:v>-14.43637874965064</c:v>
                </c:pt>
                <c:pt idx="974">
                  <c:v>-14.448377498389009</c:v>
                </c:pt>
                <c:pt idx="975">
                  <c:v>-14.460376267095366</c:v>
                </c:pt>
                <c:pt idx="976">
                  <c:v>-14.472375055769364</c:v>
                </c:pt>
                <c:pt idx="977">
                  <c:v>-14.484373864410651</c:v>
                </c:pt>
                <c:pt idx="978">
                  <c:v>-14.496372693018882</c:v>
                </c:pt>
                <c:pt idx="979">
                  <c:v>-14.508371541593707</c:v>
                </c:pt>
                <c:pt idx="980">
                  <c:v>-14.520370410134777</c:v>
                </c:pt>
                <c:pt idx="981">
                  <c:v>-14.532369298641743</c:v>
                </c:pt>
                <c:pt idx="982">
                  <c:v>-14.544368207114259</c:v>
                </c:pt>
                <c:pt idx="983">
                  <c:v>-14.556367135551973</c:v>
                </c:pt>
                <c:pt idx="984">
                  <c:v>-14.568366083954539</c:v>
                </c:pt>
                <c:pt idx="985">
                  <c:v>-14.580365052321607</c:v>
                </c:pt>
                <c:pt idx="986">
                  <c:v>-14.59236404065283</c:v>
                </c:pt>
                <c:pt idx="987">
                  <c:v>-14.604363048947858</c:v>
                </c:pt>
                <c:pt idx="988">
                  <c:v>-14.616362077206343</c:v>
                </c:pt>
                <c:pt idx="989">
                  <c:v>-14.628361125427938</c:v>
                </c:pt>
                <c:pt idx="990">
                  <c:v>-14.640360193612292</c:v>
                </c:pt>
                <c:pt idx="991">
                  <c:v>-14.652359281759058</c:v>
                </c:pt>
                <c:pt idx="992">
                  <c:v>-14.664358389867886</c:v>
                </c:pt>
                <c:pt idx="993">
                  <c:v>-14.676357517938429</c:v>
                </c:pt>
                <c:pt idx="994">
                  <c:v>-14.688356665970339</c:v>
                </c:pt>
                <c:pt idx="995">
                  <c:v>-14.700355833963267</c:v>
                </c:pt>
                <c:pt idx="996">
                  <c:v>-14.712355021916862</c:v>
                </c:pt>
                <c:pt idx="997">
                  <c:v>-14.724354229830778</c:v>
                </c:pt>
                <c:pt idx="998">
                  <c:v>-14.736353457704666</c:v>
                </c:pt>
                <c:pt idx="999">
                  <c:v>-14.748352705538178</c:v>
                </c:pt>
                <c:pt idx="1000">
                  <c:v>-14.760351973330964</c:v>
                </c:pt>
              </c:numCache>
            </c:numRef>
          </c:yVal>
          <c:smooth val="1"/>
          <c:extLst>
            <c:ext xmlns:c16="http://schemas.microsoft.com/office/drawing/2014/chart" uri="{C3380CC4-5D6E-409C-BE32-E72D297353CC}">
              <c16:uniqueId val="{00000002-432A-49A9-9499-7ED3E32DDB07}"/>
            </c:ext>
          </c:extLst>
        </c:ser>
        <c:ser>
          <c:idx val="4"/>
          <c:order val="3"/>
          <c:tx>
            <c:strRef>
              <c:f>Trajecto!$B$110</c:f>
              <c:strCache>
                <c:ptCount val="1"/>
                <c:pt idx="0">
                  <c:v>Satellite sous parachute</c:v>
                </c:pt>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Trajecto!$B$141:$B$147</c:f>
              <c:numCache>
                <c:formatCode>0</c:formatCode>
                <c:ptCount val="7"/>
                <c:pt idx="0">
                  <c:v>98.964688107976272</c:v>
                </c:pt>
                <c:pt idx="1">
                  <c:v>98.964688107976272</c:v>
                </c:pt>
                <c:pt idx="2">
                  <c:v>98.964688107976272</c:v>
                </c:pt>
                <c:pt idx="3">
                  <c:v>111.16088108663435</c:v>
                </c:pt>
                <c:pt idx="4">
                  <c:v>98.964688107976272</c:v>
                </c:pt>
                <c:pt idx="5">
                  <c:v>86.768495129318197</c:v>
                </c:pt>
                <c:pt idx="6">
                  <c:v>98.964688107976272</c:v>
                </c:pt>
              </c:numCache>
            </c:numRef>
          </c:xVal>
          <c:yVal>
            <c:numRef>
              <c:f>Trajecto!$C$141:$C$147</c:f>
              <c:numCache>
                <c:formatCode>0</c:formatCode>
                <c:ptCount val="7"/>
                <c:pt idx="0">
                  <c:v>487.84771914632313</c:v>
                </c:pt>
                <c:pt idx="1">
                  <c:v>121.96192978658078</c:v>
                </c:pt>
                <c:pt idx="2">
                  <c:v>0</c:v>
                </c:pt>
                <c:pt idx="3">
                  <c:v>24.392385957316158</c:v>
                </c:pt>
                <c:pt idx="4">
                  <c:v>0</c:v>
                </c:pt>
                <c:pt idx="5">
                  <c:v>24.392385957316158</c:v>
                </c:pt>
                <c:pt idx="6">
                  <c:v>0</c:v>
                </c:pt>
              </c:numCache>
            </c:numRef>
          </c:yVal>
          <c:smooth val="0"/>
          <c:extLst>
            <c:ext xmlns:c16="http://schemas.microsoft.com/office/drawing/2014/chart" uri="{C3380CC4-5D6E-409C-BE32-E72D297353CC}">
              <c16:uniqueId val="{00000004-432A-49A9-9499-7ED3E32DDB07}"/>
            </c:ext>
          </c:extLst>
        </c:ser>
        <c:ser>
          <c:idx val="5"/>
          <c:order val="4"/>
          <c:tx>
            <c:strRef>
              <c:f>Trajecto!$B$107</c:f>
              <c:strCache>
                <c:ptCount val="1"/>
                <c:pt idx="0">
                  <c:v>Phase ascendante</c:v>
                </c:pt>
              </c:strCache>
            </c:strRef>
          </c:tx>
          <c:spPr>
            <a:ln w="25400">
              <a:solidFill>
                <a:srgbClr val="000080"/>
              </a:solidFill>
              <a:prstDash val="solid"/>
            </a:ln>
          </c:spPr>
          <c:marker>
            <c:symbol val="none"/>
          </c:marker>
          <c:xVal>
            <c:numRef>
              <c:f>Calculs!$J$4:$J$1004</c:f>
              <c:numCache>
                <c:formatCode>0.00</c:formatCode>
                <c:ptCount val="1001"/>
                <c:pt idx="0">
                  <c:v>0</c:v>
                </c:pt>
                <c:pt idx="1">
                  <c:v>1.6957816959563583E-4</c:v>
                </c:pt>
                <c:pt idx="2">
                  <c:v>1.3839653385038508E-3</c:v>
                </c:pt>
                <c:pt idx="3">
                  <c:v>4.778902035927248E-3</c:v>
                </c:pt>
                <c:pt idx="4">
                  <c:v>1.073960426727784E-2</c:v>
                </c:pt>
                <c:pt idx="5">
                  <c:v>1.9176209198499924E-2</c:v>
                </c:pt>
                <c:pt idx="6">
                  <c:v>3.0026117667229148E-2</c:v>
                </c:pt>
                <c:pt idx="7">
                  <c:v>4.3281576366015095E-2</c:v>
                </c:pt>
                <c:pt idx="8">
                  <c:v>5.896229948512597E-2</c:v>
                </c:pt>
                <c:pt idx="9">
                  <c:v>7.7088009823556486E-2</c:v>
                </c:pt>
                <c:pt idx="10">
                  <c:v>9.7678438317785166E-2</c:v>
                </c:pt>
                <c:pt idx="11">
                  <c:v>0.12075046884088642</c:v>
                </c:pt>
                <c:pt idx="12">
                  <c:v>0.1463152747010413</c:v>
                </c:pt>
                <c:pt idx="13">
                  <c:v>0.1743811606709067</c:v>
                </c:pt>
                <c:pt idx="14">
                  <c:v>0.20495641338840004</c:v>
                </c:pt>
                <c:pt idx="15">
                  <c:v>0.23804930102275509</c:v>
                </c:pt>
                <c:pt idx="16">
                  <c:v>0.27366807293961726</c:v>
                </c:pt>
                <c:pt idx="17">
                  <c:v>0.31182095936520671</c:v>
                </c:pt>
                <c:pt idx="18">
                  <c:v>0.35251617104957855</c:v>
                </c:pt>
                <c:pt idx="19">
                  <c:v>0.39576189892900909</c:v>
                </c:pt>
                <c:pt idx="20">
                  <c:v>0.44156631378753808</c:v>
                </c:pt>
                <c:pt idx="21">
                  <c:v>0.48993641941544785</c:v>
                </c:pt>
                <c:pt idx="22">
                  <c:v>0.54087690251153719</c:v>
                </c:pt>
                <c:pt idx="23">
                  <c:v>0.59439127416576265</c:v>
                </c:pt>
                <c:pt idx="24">
                  <c:v>0.65048301466668246</c:v>
                </c:pt>
                <c:pt idx="25">
                  <c:v>0.70915557330039924</c:v>
                </c:pt>
                <c:pt idx="26">
                  <c:v>0.77049631420155329</c:v>
                </c:pt>
                <c:pt idx="27">
                  <c:v>0.83459620011515789</c:v>
                </c:pt>
                <c:pt idx="28">
                  <c:v>0.90146578415691825</c:v>
                </c:pt>
                <c:pt idx="29">
                  <c:v>0.97111540614389869</c:v>
                </c:pt>
                <c:pt idx="30">
                  <c:v>1.0435551432932373</c:v>
                </c:pt>
                <c:pt idx="31">
                  <c:v>1.1187948259848213</c:v>
                </c:pt>
                <c:pt idx="32">
                  <c:v>1.1968440518949486</c:v>
                </c:pt>
                <c:pt idx="33">
                  <c:v>1.2777121987153222</c:v>
                </c:pt>
                <c:pt idx="34">
                  <c:v>1.3614084356375902</c:v>
                </c:pt>
                <c:pt idx="35">
                  <c:v>1.4479417337558287</c:v>
                </c:pt>
                <c:pt idx="36">
                  <c:v>1.5373208755165637</c:v>
                </c:pt>
                <c:pt idx="37">
                  <c:v>1.6295544633271009</c:v>
                </c:pt>
                <c:pt idx="38">
                  <c:v>1.7246509274173034</c:v>
                </c:pt>
                <c:pt idx="39">
                  <c:v>1.822618533036904</c:v>
                </c:pt>
                <c:pt idx="40">
                  <c:v>1.923465387059476</c:v>
                </c:pt>
                <c:pt idx="41">
                  <c:v>2.0271985210776444</c:v>
                </c:pt>
                <c:pt idx="42">
                  <c:v>2.1338229670784665</c:v>
                </c:pt>
                <c:pt idx="43">
                  <c:v>2.2433426764729023</c:v>
                </c:pt>
                <c:pt idx="44">
                  <c:v>2.3557614460084491</c:v>
                </c:pt>
                <c:pt idx="45">
                  <c:v>2.4710829228325073</c:v>
                </c:pt>
                <c:pt idx="46">
                  <c:v>2.5893106091989457</c:v>
                </c:pt>
                <c:pt idx="47">
                  <c:v>2.7104478668508762</c:v>
                </c:pt>
                <c:pt idx="48">
                  <c:v>2.8344979211089392</c:v>
                </c:pt>
                <c:pt idx="49">
                  <c:v>2.9614638646911926</c:v>
                </c:pt>
                <c:pt idx="50">
                  <c:v>3.0913486612878969</c:v>
                </c:pt>
                <c:pt idx="51">
                  <c:v>3.2241551489120384</c:v>
                </c:pt>
                <c:pt idx="52">
                  <c:v>3.3598860430443009</c:v>
                </c:pt>
                <c:pt idx="53">
                  <c:v>3.4985439395892959</c:v>
                </c:pt>
                <c:pt idx="54">
                  <c:v>3.6401313176582173</c:v>
                </c:pt>
                <c:pt idx="55">
                  <c:v>3.7846505421916072</c:v>
                </c:pt>
                <c:pt idx="56">
                  <c:v>3.9321038664346264</c:v>
                </c:pt>
                <c:pt idx="57">
                  <c:v>4.0824934342760635</c:v>
                </c:pt>
                <c:pt idx="58">
                  <c:v>4.2358212824612975</c:v>
                </c:pt>
                <c:pt idx="59">
                  <c:v>4.3920893426884984</c:v>
                </c:pt>
                <c:pt idx="60">
                  <c:v>4.5512994435965455</c:v>
                </c:pt>
                <c:pt idx="61">
                  <c:v>4.7134533126524012</c:v>
                </c:pt>
                <c:pt idx="62">
                  <c:v>4.8785525779450136</c:v>
                </c:pt>
                <c:pt idx="63">
                  <c:v>5.0465987698922419</c:v>
                </c:pt>
                <c:pt idx="64">
                  <c:v>5.2175933228667546</c:v>
                </c:pt>
                <c:pt idx="65">
                  <c:v>5.3915375767463658</c:v>
                </c:pt>
                <c:pt idx="66">
                  <c:v>5.5684327783938485</c:v>
                </c:pt>
                <c:pt idx="67">
                  <c:v>5.7482800830708607</c:v>
                </c:pt>
                <c:pt idx="68">
                  <c:v>5.9310805557902642</c:v>
                </c:pt>
                <c:pt idx="69">
                  <c:v>6.1168351726107906</c:v>
                </c:pt>
                <c:pt idx="70">
                  <c:v>6.3055448218777119</c:v>
                </c:pt>
                <c:pt idx="71">
                  <c:v>6.4972103054129038</c:v>
                </c:pt>
                <c:pt idx="72">
                  <c:v>6.6918323396574353</c:v>
                </c:pt>
                <c:pt idx="73">
                  <c:v>6.8894115567696108</c:v>
                </c:pt>
                <c:pt idx="74">
                  <c:v>7.0899485056811633</c:v>
                </c:pt>
                <c:pt idx="75">
                  <c:v>7.2934436531141227</c:v>
                </c:pt>
                <c:pt idx="76">
                  <c:v>7.4998973845607013</c:v>
                </c:pt>
                <c:pt idx="77">
                  <c:v>7.7093100052283852</c:v>
                </c:pt>
                <c:pt idx="78">
                  <c:v>7.9216817409522688</c:v>
                </c:pt>
                <c:pt idx="79">
                  <c:v>8.1370127390765354</c:v>
                </c:pt>
                <c:pt idx="80">
                  <c:v>8.3553030693068671</c:v>
                </c:pt>
                <c:pt idx="81">
                  <c:v>8.5765517384259198</c:v>
                </c:pt>
                <c:pt idx="82">
                  <c:v>8.8007557006205115</c:v>
                </c:pt>
                <c:pt idx="83">
                  <c:v>9.0279108389529092</c:v>
                </c:pt>
                <c:pt idx="84">
                  <c:v>9.2580129513364415</c:v>
                </c:pt>
                <c:pt idx="85">
                  <c:v>9.4910577515926189</c:v>
                </c:pt>
                <c:pt idx="86">
                  <c:v>9.7270408704825488</c:v>
                </c:pt>
                <c:pt idx="87">
                  <c:v>9.9659578567140716</c:v>
                </c:pt>
                <c:pt idx="88">
                  <c:v>10.207804177925949</c:v>
                </c:pt>
                <c:pt idx="89">
                  <c:v>10.452575221650353</c:v>
                </c:pt>
                <c:pt idx="90">
                  <c:v>10.700266296254828</c:v>
                </c:pt>
                <c:pt idx="91">
                  <c:v>10.950872192203818</c:v>
                </c:pt>
                <c:pt idx="92">
                  <c:v>11.204386741564212</c:v>
                </c:pt>
                <c:pt idx="93">
                  <c:v>11.460803256464846</c:v>
                </c:pt>
                <c:pt idx="94">
                  <c:v>11.720114969347629</c:v>
                </c:pt>
                <c:pt idx="95">
                  <c:v>11.982315033962282</c:v>
                </c:pt>
                <c:pt idx="96">
                  <c:v>12.247396526344394</c:v>
                </c:pt>
                <c:pt idx="97">
                  <c:v>12.515352445777618</c:v>
                </c:pt>
                <c:pt idx="98">
                  <c:v>12.786175715740807</c:v>
                </c:pt>
                <c:pt idx="99">
                  <c:v>13.059859184840819</c:v>
                </c:pt>
                <c:pt idx="100">
                  <c:v>13.33639562773168</c:v>
                </c:pt>
                <c:pt idx="101">
                  <c:v>13.615777675114689</c:v>
                </c:pt>
                <c:pt idx="102">
                  <c:v>13.897997743476244</c:v>
                </c:pt>
                <c:pt idx="103">
                  <c:v>14.183048106587419</c:v>
                </c:pt>
                <c:pt idx="104">
                  <c:v>14.47092096725299</c:v>
                </c:pt>
                <c:pt idx="105">
                  <c:v>14.761608458192855</c:v>
                </c:pt>
                <c:pt idx="106">
                  <c:v>15.055102642912953</c:v>
                </c:pt>
                <c:pt idx="107">
                  <c:v>15.351395516566152</c:v>
                </c:pt>
                <c:pt idx="108">
                  <c:v>15.65047900680354</c:v>
                </c:pt>
                <c:pt idx="109">
                  <c:v>15.952344974616516</c:v>
                </c:pt>
                <c:pt idx="110">
                  <c:v>16.256985215170079</c:v>
                </c:pt>
                <c:pt idx="111">
                  <c:v>16.564392281236398</c:v>
                </c:pt>
                <c:pt idx="112">
                  <c:v>16.874560309206224</c:v>
                </c:pt>
                <c:pt idx="113">
                  <c:v>17.187484200130918</c:v>
                </c:pt>
                <c:pt idx="114">
                  <c:v>17.503158798057655</c:v>
                </c:pt>
                <c:pt idx="115">
                  <c:v>17.821578890598019</c:v>
                </c:pt>
                <c:pt idx="116">
                  <c:v>18.142739209491818</c:v>
                </c:pt>
                <c:pt idx="117">
                  <c:v>18.466634431166291</c:v>
                </c:pt>
                <c:pt idx="118">
                  <c:v>18.793259177290949</c:v>
                </c:pt>
                <c:pt idx="119">
                  <c:v>19.122608015328215</c:v>
                </c:pt>
                <c:pt idx="120">
                  <c:v>19.454675459080029</c:v>
                </c:pt>
                <c:pt idx="121">
                  <c:v>19.789454595155842</c:v>
                </c:pt>
                <c:pt idx="122">
                  <c:v>20.12693570556025</c:v>
                </c:pt>
                <c:pt idx="123">
                  <c:v>20.467107638295079</c:v>
                </c:pt>
                <c:pt idx="124">
                  <c:v>20.809959182019455</c:v>
                </c:pt>
                <c:pt idx="125">
                  <c:v>21.155479066946388</c:v>
                </c:pt>
                <c:pt idx="126">
                  <c:v>21.503655965732861</c:v>
                </c:pt>
                <c:pt idx="127">
                  <c:v>21.854478494363537</c:v>
                </c:pt>
                <c:pt idx="128">
                  <c:v>22.207935213028289</c:v>
                </c:pt>
                <c:pt idx="129">
                  <c:v>22.564014626993647</c:v>
                </c:pt>
                <c:pt idx="130">
                  <c:v>22.922705187468331</c:v>
                </c:pt>
                <c:pt idx="131">
                  <c:v>23.283994930335712</c:v>
                </c:pt>
                <c:pt idx="132">
                  <c:v>23.647871113988451</c:v>
                </c:pt>
                <c:pt idx="133">
                  <c:v>24.014320581464098</c:v>
                </c:pt>
                <c:pt idx="134">
                  <c:v>24.383330123516895</c:v>
                </c:pt>
                <c:pt idx="135">
                  <c:v>24.754886479553907</c:v>
                </c:pt>
                <c:pt idx="136">
                  <c:v>25.128976338564851</c:v>
                </c:pt>
                <c:pt idx="137">
                  <c:v>25.505586340045664</c:v>
                </c:pt>
                <c:pt idx="138">
                  <c:v>25.884703074915919</c:v>
                </c:pt>
                <c:pt idx="139">
                  <c:v>26.266313086430145</c:v>
                </c:pt>
                <c:pt idx="140">
                  <c:v>26.65040287108312</c:v>
                </c:pt>
                <c:pt idx="141">
                  <c:v>27.036954522574796</c:v>
                </c:pt>
                <c:pt idx="142">
                  <c:v>27.425941366613301</c:v>
                </c:pt>
                <c:pt idx="143">
                  <c:v>27.81733231131523</c:v>
                </c:pt>
                <c:pt idx="144">
                  <c:v>28.211096207438104</c:v>
                </c:pt>
                <c:pt idx="145">
                  <c:v>28.607201850611194</c:v>
                </c:pt>
                <c:pt idx="146">
                  <c:v>29.005617983542404</c:v>
                </c:pt>
                <c:pt idx="147">
                  <c:v>29.406313298201276</c:v>
                </c:pt>
                <c:pt idx="148">
                  <c:v>29.809256437978117</c:v>
                </c:pt>
                <c:pt idx="149">
                  <c:v>30.214415999819291</c:v>
                </c:pt>
                <c:pt idx="150">
                  <c:v>30.62176053633867</c:v>
                </c:pt>
                <c:pt idx="151">
                  <c:v>31.03125855790525</c:v>
                </c:pt>
                <c:pt idx="152">
                  <c:v>31.442878534706939</c:v>
                </c:pt>
                <c:pt idx="153">
                  <c:v>31.856588898790498</c:v>
                </c:pt>
                <c:pt idx="154">
                  <c:v>32.272358046077642</c:v>
                </c:pt>
                <c:pt idx="155">
                  <c:v>32.690154338357289</c:v>
                </c:pt>
                <c:pt idx="156">
                  <c:v>33.109925292568043</c:v>
                </c:pt>
                <c:pt idx="157">
                  <c:v>33.531576743657929</c:v>
                </c:pt>
                <c:pt idx="158">
                  <c:v>33.9549936532948</c:v>
                </c:pt>
                <c:pt idx="159">
                  <c:v>34.380060950786572</c:v>
                </c:pt>
                <c:pt idx="160">
                  <c:v>34.806663546494192</c:v>
                </c:pt>
                <c:pt idx="161">
                  <c:v>35.234659815232618</c:v>
                </c:pt>
                <c:pt idx="162">
                  <c:v>35.663855068079599</c:v>
                </c:pt>
                <c:pt idx="163">
                  <c:v>36.094030657488965</c:v>
                </c:pt>
                <c:pt idx="164">
                  <c:v>36.524973107055374</c:v>
                </c:pt>
                <c:pt idx="165">
                  <c:v>36.956497005845797</c:v>
                </c:pt>
                <c:pt idx="166">
                  <c:v>37.388467889308743</c:v>
                </c:pt>
                <c:pt idx="167">
                  <c:v>37.820757497127204</c:v>
                </c:pt>
                <c:pt idx="168">
                  <c:v>38.253213027818859</c:v>
                </c:pt>
                <c:pt idx="169">
                  <c:v>38.6856365612243</c:v>
                </c:pt>
                <c:pt idx="170">
                  <c:v>39.11777852971872</c:v>
                </c:pt>
                <c:pt idx="171">
                  <c:v>39.549464343421292</c:v>
                </c:pt>
                <c:pt idx="172">
                  <c:v>39.980650836982562</c:v>
                </c:pt>
                <c:pt idx="173">
                  <c:v>40.411339490822122</c:v>
                </c:pt>
                <c:pt idx="174">
                  <c:v>40.841531779063047</c:v>
                </c:pt>
                <c:pt idx="175">
                  <c:v>41.27122916956823</c:v>
                </c:pt>
                <c:pt idx="176">
                  <c:v>41.700433123976502</c:v>
                </c:pt>
                <c:pt idx="177">
                  <c:v>42.129145097738451</c:v>
                </c:pt>
                <c:pt idx="178">
                  <c:v>42.557366540152003</c:v>
                </c:pt>
                <c:pt idx="179">
                  <c:v>42.985098894397758</c:v>
                </c:pt>
                <c:pt idx="180">
                  <c:v>43.412343597574029</c:v>
                </c:pt>
                <c:pt idx="181">
                  <c:v>43.839102080731685</c:v>
                </c:pt>
                <c:pt idx="182">
                  <c:v>44.265375768908697</c:v>
                </c:pt>
                <c:pt idx="183">
                  <c:v>44.691166081164468</c:v>
                </c:pt>
                <c:pt idx="184">
                  <c:v>45.116474430613884</c:v>
                </c:pt>
                <c:pt idx="185">
                  <c:v>45.54130222446117</c:v>
                </c:pt>
                <c:pt idx="186">
                  <c:v>45.965650864033449</c:v>
                </c:pt>
                <c:pt idx="187">
                  <c:v>46.389521744814118</c:v>
                </c:pt>
                <c:pt idx="188">
                  <c:v>46.812916256475937</c:v>
                </c:pt>
                <c:pt idx="189">
                  <c:v>47.235835782913902</c:v>
                </c:pt>
                <c:pt idx="190">
                  <c:v>47.658281702277911</c:v>
                </c:pt>
                <c:pt idx="191">
                  <c:v>48.080255387005145</c:v>
                </c:pt>
                <c:pt idx="192">
                  <c:v>48.501758203852276</c:v>
                </c:pt>
                <c:pt idx="193">
                  <c:v>48.922791513927407</c:v>
                </c:pt>
                <c:pt idx="194">
                  <c:v>49.343356672721804</c:v>
                </c:pt>
                <c:pt idx="195">
                  <c:v>49.763455030141401</c:v>
                </c:pt>
                <c:pt idx="196">
                  <c:v>50.183087930538079</c:v>
                </c:pt>
                <c:pt idx="197">
                  <c:v>50.602256712740747</c:v>
                </c:pt>
                <c:pt idx="198">
                  <c:v>51.020962710086167</c:v>
                </c:pt>
                <c:pt idx="199">
                  <c:v>51.439207250449613</c:v>
                </c:pt>
                <c:pt idx="200">
                  <c:v>51.856991656275248</c:v>
                </c:pt>
                <c:pt idx="201">
                  <c:v>56.009630325216804</c:v>
                </c:pt>
                <c:pt idx="202">
                  <c:v>60.117102451203102</c:v>
                </c:pt>
                <c:pt idx="203">
                  <c:v>64.180681036516816</c:v>
                </c:pt>
                <c:pt idx="204">
                  <c:v>68.2015885313089</c:v>
                </c:pt>
                <c:pt idx="205">
                  <c:v>72.180999538542025</c:v>
                </c:pt>
                <c:pt idx="206">
                  <c:v>76.120043339410273</c:v>
                </c:pt>
                <c:pt idx="207">
                  <c:v>80.019806253428101</c:v>
                </c:pt>
                <c:pt idx="208">
                  <c:v>83.881333846084317</c:v>
                </c:pt>
                <c:pt idx="209">
                  <c:v>87.705632995793437</c:v>
                </c:pt>
                <c:pt idx="210">
                  <c:v>91.493673830832222</c:v>
                </c:pt>
                <c:pt idx="211">
                  <c:v>95.246391546010102</c:v>
                </c:pt>
                <c:pt idx="212">
                  <c:v>98.964688107976272</c:v>
                </c:pt>
                <c:pt idx="213">
                  <c:v>102.64943385730378</c:v>
                </c:pt>
                <c:pt idx="214">
                  <c:v>106.30146901480181</c:v>
                </c:pt>
                <c:pt idx="215">
                  <c:v>109.92160509888529</c:v>
                </c:pt>
                <c:pt idx="216">
                  <c:v>113.51062626026651</c:v>
                </c:pt>
                <c:pt idx="217">
                  <c:v>117.06929053972293</c:v>
                </c:pt>
                <c:pt idx="218">
                  <c:v>120.59833105423142</c:v>
                </c:pt>
                <c:pt idx="219">
                  <c:v>124.09845711633756</c:v>
                </c:pt>
                <c:pt idx="220">
                  <c:v>127.57035529124532</c:v>
                </c:pt>
                <c:pt idx="221">
                  <c:v>131.01469039576361</c:v>
                </c:pt>
                <c:pt idx="222">
                  <c:v>134.43210644292708</c:v>
                </c:pt>
                <c:pt idx="223">
                  <c:v>137.82322753581877</c:v>
                </c:pt>
                <c:pt idx="224">
                  <c:v>141.18865871385603</c:v>
                </c:pt>
                <c:pt idx="225">
                  <c:v>144.52898675455856</c:v>
                </c:pt>
                <c:pt idx="226">
                  <c:v>147.84478093359527</c:v>
                </c:pt>
                <c:pt idx="227">
                  <c:v>151.13659374570221</c:v>
                </c:pt>
                <c:pt idx="228">
                  <c:v>154.40496158887737</c:v>
                </c:pt>
                <c:pt idx="229">
                  <c:v>157.65040541408652</c:v>
                </c:pt>
                <c:pt idx="230">
                  <c:v>160.87343134255599</c:v>
                </c:pt>
                <c:pt idx="231">
                  <c:v>164.07453125258348</c:v>
                </c:pt>
                <c:pt idx="232">
                  <c:v>167.25418333766416</c:v>
                </c:pt>
                <c:pt idx="233">
                  <c:v>170.41285263760633</c:v>
                </c:pt>
                <c:pt idx="234">
                  <c:v>173.55099154419696</c:v>
                </c:pt>
                <c:pt idx="235">
                  <c:v>176.66904028287269</c:v>
                </c:pt>
                <c:pt idx="236">
                  <c:v>179.76742737175522</c:v>
                </c:pt>
                <c:pt idx="237">
                  <c:v>182.84657005931982</c:v>
                </c:pt>
                <c:pt idx="238">
                  <c:v>185.90687474188312</c:v>
                </c:pt>
                <c:pt idx="239">
                  <c:v>188.94873736201978</c:v>
                </c:pt>
                <c:pt idx="240">
                  <c:v>191.97254378894581</c:v>
                </c:pt>
                <c:pt idx="241">
                  <c:v>194.97867018184064</c:v>
                </c:pt>
                <c:pt idx="242">
                  <c:v>197.96748333701902</c:v>
                </c:pt>
                <c:pt idx="243">
                  <c:v>200.93934101980605</c:v>
                </c:pt>
                <c:pt idx="244">
                  <c:v>203.89459228191669</c:v>
                </c:pt>
                <c:pt idx="245">
                  <c:v>206.83357776509104</c:v>
                </c:pt>
                <c:pt idx="246">
                  <c:v>209.75662999169126</c:v>
                </c:pt>
                <c:pt idx="247">
                  <c:v>212.66407364292306</c:v>
                </c:pt>
                <c:pt idx="248">
                  <c:v>215.55622582530498</c:v>
                </c:pt>
                <c:pt idx="249">
                  <c:v>218.43339632597153</c:v>
                </c:pt>
                <c:pt idx="250">
                  <c:v>221.29588785736109</c:v>
                </c:pt>
                <c:pt idx="251">
                  <c:v>224.14399629180792</c:v>
                </c:pt>
                <c:pt idx="252">
                  <c:v>226.97801088652622</c:v>
                </c:pt>
                <c:pt idx="253">
                  <c:v>229.79821449944677</c:v>
                </c:pt>
                <c:pt idx="254">
                  <c:v>232.60488379633932</c:v>
                </c:pt>
                <c:pt idx="255">
                  <c:v>235.3982894496294</c:v>
                </c:pt>
                <c:pt idx="256">
                  <c:v>238.17869632929475</c:v>
                </c:pt>
                <c:pt idx="257">
                  <c:v>240.94636368620453</c:v>
                </c:pt>
                <c:pt idx="258">
                  <c:v>243.70154532824381</c:v>
                </c:pt>
                <c:pt idx="259">
                  <c:v>246.44448978954659</c:v>
                </c:pt>
                <c:pt idx="260">
                  <c:v>249.1754404931423</c:v>
                </c:pt>
                <c:pt idx="261">
                  <c:v>251.89463590730318</c:v>
                </c:pt>
                <c:pt idx="262">
                  <c:v>254.60230969586414</c:v>
                </c:pt>
                <c:pt idx="263">
                  <c:v>257.2986908627712</c:v>
                </c:pt>
                <c:pt idx="264">
                  <c:v>259.98400389109992</c:v>
                </c:pt>
                <c:pt idx="265">
                  <c:v>262.65846887677139</c:v>
                </c:pt>
                <c:pt idx="266">
                  <c:v>265.32230165718136</c:v>
                </c:pt>
                <c:pt idx="267">
                  <c:v>267.97571393494349</c:v>
                </c:pt>
                <c:pt idx="268">
                  <c:v>270.61891339693904</c:v>
                </c:pt>
                <c:pt idx="269">
                  <c:v>273.25210382885064</c:v>
                </c:pt>
                <c:pt idx="270">
                  <c:v>275.87548522535013</c:v>
                </c:pt>
                <c:pt idx="271">
                  <c:v>278.48925389609803</c:v>
                </c:pt>
                <c:pt idx="272">
                  <c:v>281.09360256770367</c:v>
                </c:pt>
                <c:pt idx="273">
                  <c:v>283.68872048178457</c:v>
                </c:pt>
                <c:pt idx="274">
                  <c:v>286.27479348925584</c:v>
                </c:pt>
                <c:pt idx="275">
                  <c:v>288.85200414096948</c:v>
                </c:pt>
                <c:pt idx="276">
                  <c:v>291.42053177481762</c:v>
                </c:pt>
                <c:pt idx="277">
                  <c:v>293.98055259940253</c:v>
                </c:pt>
                <c:pt idx="278">
                  <c:v>296.53223977437062</c:v>
                </c:pt>
                <c:pt idx="279">
                  <c:v>299.07576348749768</c:v>
                </c:pt>
                <c:pt idx="280">
                  <c:v>301.6112910286061</c:v>
                </c:pt>
                <c:pt idx="281">
                  <c:v>304.13898686038601</c:v>
                </c:pt>
                <c:pt idx="282">
                  <c:v>306.65901268618563</c:v>
                </c:pt>
                <c:pt idx="283">
                  <c:v>309.17152751482701</c:v>
                </c:pt>
                <c:pt idx="284">
                  <c:v>311.67668772249681</c:v>
                </c:pt>
                <c:pt idx="285">
                  <c:v>314.17464711175353</c:v>
                </c:pt>
                <c:pt idx="286">
                  <c:v>316.66555696768387</c:v>
                </c:pt>
                <c:pt idx="287">
                  <c:v>319.14956611123449</c:v>
                </c:pt>
                <c:pt idx="288">
                  <c:v>321.62682094973547</c:v>
                </c:pt>
                <c:pt idx="289">
                  <c:v>324.09746552462417</c:v>
                </c:pt>
                <c:pt idx="290">
                  <c:v>326.56164155636969</c:v>
                </c:pt>
                <c:pt idx="291">
                  <c:v>329.01948848658816</c:v>
                </c:pt>
                <c:pt idx="292">
                  <c:v>331.47114351733018</c:v>
                </c:pt>
                <c:pt idx="293">
                  <c:v>333.91674164751225</c:v>
                </c:pt>
                <c:pt idx="294">
                  <c:v>336.35641570645294</c:v>
                </c:pt>
                <c:pt idx="295">
                  <c:v>338.79029638446406</c:v>
                </c:pt>
                <c:pt idx="296">
                  <c:v>341.21851226043663</c:v>
                </c:pt>
                <c:pt idx="297">
                  <c:v>343.64118982634773</c:v>
                </c:pt>
                <c:pt idx="298">
                  <c:v>346.05845350860398</c:v>
                </c:pt>
                <c:pt idx="299">
                  <c:v>348.47042568612255</c:v>
                </c:pt>
                <c:pt idx="300">
                  <c:v>350.87722670503769</c:v>
                </c:pt>
                <c:pt idx="301">
                  <c:v>353.27897488990641</c:v>
                </c:pt>
                <c:pt idx="302">
                  <c:v>355.67578655127193</c:v>
                </c:pt>
                <c:pt idx="303">
                  <c:v>358.06777598942739</c:v>
                </c:pt>
                <c:pt idx="304">
                  <c:v>360.45505549420744</c:v>
                </c:pt>
                <c:pt idx="305">
                  <c:v>362.83773534061845</c:v>
                </c:pt>
                <c:pt idx="306">
                  <c:v>365.21592378010178</c:v>
                </c:pt>
                <c:pt idx="307">
                  <c:v>367.58972702720831</c:v>
                </c:pt>
                <c:pt idx="308">
                  <c:v>369.95924924144765</c:v>
                </c:pt>
                <c:pt idx="309">
                  <c:v>372.32459250405992</c:v>
                </c:pt>
                <c:pt idx="310">
                  <c:v>374.68585678944595</c:v>
                </c:pt>
                <c:pt idx="311">
                  <c:v>377.04313993098157</c:v>
                </c:pt>
                <c:pt idx="312">
                  <c:v>379.39653758093448</c:v>
                </c:pt>
                <c:pt idx="313">
                  <c:v>381.74614316420104</c:v>
                </c:pt>
                <c:pt idx="314">
                  <c:v>384.09204782558447</c:v>
                </c:pt>
                <c:pt idx="315">
                  <c:v>386.43434037034859</c:v>
                </c:pt>
                <c:pt idx="316">
                  <c:v>388.77310719780473</c:v>
                </c:pt>
                <c:pt idx="317">
                  <c:v>391.10843222772428</c:v>
                </c:pt>
                <c:pt idx="318">
                  <c:v>393.44039681942178</c:v>
                </c:pt>
                <c:pt idx="319">
                  <c:v>395.76907968342186</c:v>
                </c:pt>
                <c:pt idx="320">
                  <c:v>398.09455678571589</c:v>
                </c:pt>
                <c:pt idx="321">
                  <c:v>400.41690124472996</c:v>
                </c:pt>
                <c:pt idx="322">
                  <c:v>402.73618322126896</c:v>
                </c:pt>
                <c:pt idx="323">
                  <c:v>405.05246980187627</c:v>
                </c:pt>
                <c:pt idx="324">
                  <c:v>407.36582487625202</c:v>
                </c:pt>
                <c:pt idx="325">
                  <c:v>409.6763090096083</c:v>
                </c:pt>
                <c:pt idx="326">
                  <c:v>411.98397931110253</c:v>
                </c:pt>
                <c:pt idx="327">
                  <c:v>414.2888892997745</c:v>
                </c:pt>
                <c:pt idx="328">
                  <c:v>416.59108876971067</c:v>
                </c:pt>
                <c:pt idx="329">
                  <c:v>418.89062365645776</c:v>
                </c:pt>
                <c:pt idx="330">
                  <c:v>421.1875359069881</c:v>
                </c:pt>
                <c:pt idx="331">
                  <c:v>423.48186335576395</c:v>
                </c:pt>
                <c:pt idx="332">
                  <c:v>425.7736396096326</c:v>
                </c:pt>
                <c:pt idx="333">
                  <c:v>428.062893944385</c:v>
                </c:pt>
                <c:pt idx="334">
                  <c:v>430.34965121580746</c:v>
                </c:pt>
                <c:pt idx="335">
                  <c:v>432.63393178793035</c:v>
                </c:pt>
                <c:pt idx="336">
                  <c:v>434.91575148092232</c:v>
                </c:pt>
                <c:pt idx="337">
                  <c:v>437.19512154068991</c:v>
                </c:pt>
                <c:pt idx="338">
                  <c:v>439.47204863173897</c:v>
                </c:pt>
                <c:pt idx="339">
                  <c:v>441.74653485425313</c:v>
                </c:pt>
                <c:pt idx="340">
                  <c:v>444.01857778568552</c:v>
                </c:pt>
                <c:pt idx="341">
                  <c:v>446.28817054647783</c:v>
                </c:pt>
                <c:pt idx="342">
                  <c:v>448.55530188886519</c:v>
                </c:pt>
                <c:pt idx="343">
                  <c:v>450.81995630712885</c:v>
                </c:pt>
                <c:pt idx="344">
                  <c:v>453.08211416716307</c:v>
                </c:pt>
                <c:pt idx="345">
                  <c:v>455.34175185284442</c:v>
                </c:pt>
                <c:pt idx="346">
                  <c:v>457.59884192644779</c:v>
                </c:pt>
                <c:pt idx="347">
                  <c:v>459.85335330024071</c:v>
                </c:pt>
                <c:pt idx="348">
                  <c:v>462.10525141639926</c:v>
                </c:pt>
                <c:pt idx="349">
                  <c:v>464.35449843250223</c:v>
                </c:pt>
                <c:pt idx="350">
                  <c:v>466.6010534100609</c:v>
                </c:pt>
                <c:pt idx="351">
                  <c:v>468.84487250379647</c:v>
                </c:pt>
                <c:pt idx="352">
                  <c:v>471.08590914967152</c:v>
                </c:pt>
                <c:pt idx="353">
                  <c:v>473.3241142499889</c:v>
                </c:pt>
                <c:pt idx="354">
                  <c:v>475.55943635417748</c:v>
                </c:pt>
                <c:pt idx="355">
                  <c:v>477.79182183417583</c:v>
                </c:pt>
                <c:pt idx="356">
                  <c:v>480.02121505359054</c:v>
                </c:pt>
                <c:pt idx="357">
                  <c:v>482.24755853004575</c:v>
                </c:pt>
                <c:pt idx="358">
                  <c:v>484.47079309034501</c:v>
                </c:pt>
                <c:pt idx="359">
                  <c:v>486.69085801824139</c:v>
                </c:pt>
                <c:pt idx="360">
                  <c:v>488.90769119475414</c:v>
                </c:pt>
                <c:pt idx="361">
                  <c:v>491.12122923108666</c:v>
                </c:pt>
                <c:pt idx="362">
                  <c:v>493.33140759428863</c:v>
                </c:pt>
                <c:pt idx="363">
                  <c:v>495.53816072587426</c:v>
                </c:pt>
                <c:pt idx="364">
                  <c:v>497.74142215365697</c:v>
                </c:pt>
                <c:pt idx="365">
                  <c:v>499.94112459709532</c:v>
                </c:pt>
                <c:pt idx="366">
                  <c:v>502.13720006646497</c:v>
                </c:pt>
                <c:pt idx="367">
                  <c:v>504.32957995618324</c:v>
                </c:pt>
                <c:pt idx="368">
                  <c:v>506.5181951326154</c:v>
                </c:pt>
                <c:pt idx="369">
                  <c:v>508.70297601668847</c:v>
                </c:pt>
                <c:pt idx="370">
                  <c:v>510.88385266163039</c:v>
                </c:pt>
                <c:pt idx="371">
                  <c:v>513.06075482614222</c:v>
                </c:pt>
                <c:pt idx="372">
                  <c:v>515.23361204329649</c:v>
                </c:pt>
                <c:pt idx="373">
                  <c:v>517.40235368544074</c:v>
                </c:pt>
                <c:pt idx="374">
                  <c:v>519.5669090253698</c:v>
                </c:pt>
                <c:pt idx="375">
                  <c:v>521.72720729401362</c:v>
                </c:pt>
                <c:pt idx="376">
                  <c:v>523.88317773487233</c:v>
                </c:pt>
                <c:pt idx="377">
                  <c:v>526.03474965541352</c:v>
                </c:pt>
                <c:pt idx="378">
                  <c:v>528.18185247563372</c:v>
                </c:pt>
                <c:pt idx="379">
                  <c:v>530.32441577396844</c:v>
                </c:pt>
                <c:pt idx="380">
                  <c:v>532.46236933072453</c:v>
                </c:pt>
                <c:pt idx="381">
                  <c:v>534.59564316919341</c:v>
                </c:pt>
                <c:pt idx="382">
                  <c:v>536.72416759459259</c:v>
                </c:pt>
                <c:pt idx="383">
                  <c:v>538.8478732309718</c:v>
                </c:pt>
                <c:pt idx="384">
                  <c:v>540.96669105620822</c:v>
                </c:pt>
                <c:pt idx="385">
                  <c:v>543.0805524352071</c:v>
                </c:pt>
                <c:pt idx="386">
                  <c:v>545.18938915141382</c:v>
                </c:pt>
                <c:pt idx="387">
                  <c:v>547.29313343673607</c:v>
                </c:pt>
                <c:pt idx="388">
                  <c:v>549.39171799996541</c:v>
                </c:pt>
                <c:pt idx="389">
                  <c:v>551.48507605378325</c:v>
                </c:pt>
                <c:pt idx="390">
                  <c:v>553.57314134042656</c:v>
                </c:pt>
                <c:pt idx="391">
                  <c:v>555.65584815608531</c:v>
                </c:pt>
                <c:pt idx="392">
                  <c:v>557.7331313740965</c:v>
                </c:pt>
                <c:pt idx="393">
                  <c:v>559.80492646699554</c:v>
                </c:pt>
                <c:pt idx="394">
                  <c:v>561.87116952748045</c:v>
                </c:pt>
                <c:pt idx="395">
                  <c:v>563.93179728834116</c:v>
                </c:pt>
                <c:pt idx="396">
                  <c:v>565.986747141401</c:v>
                </c:pt>
                <c:pt idx="397">
                  <c:v>568.03595715551501</c:v>
                </c:pt>
                <c:pt idx="398">
                  <c:v>570.07936609366686</c:v>
                </c:pt>
                <c:pt idx="399">
                  <c:v>572.11691342920096</c:v>
                </c:pt>
                <c:pt idx="400">
                  <c:v>574.14853936122688</c:v>
                </c:pt>
                <c:pt idx="401">
                  <c:v>576.17418482922812</c:v>
                </c:pt>
                <c:pt idx="402">
                  <c:v>578.19379152690624</c:v>
                </c:pt>
                <c:pt idx="403">
                  <c:v>580.20730191528924</c:v>
                </c:pt>
                <c:pt idx="404">
                  <c:v>582.21465923513131</c:v>
                </c:pt>
                <c:pt idx="405">
                  <c:v>584.21580751862814</c:v>
                </c:pt>
                <c:pt idx="406">
                  <c:v>586.2106916004725</c:v>
                </c:pt>
                <c:pt idx="407">
                  <c:v>588.1992571282716</c:v>
                </c:pt>
                <c:pt idx="408">
                  <c:v>590.1814505723471</c:v>
                </c:pt>
                <c:pt idx="409">
                  <c:v>592.15721923493777</c:v>
                </c:pt>
                <c:pt idx="410">
                  <c:v>594.12651125882326</c:v>
                </c:pt>
                <c:pt idx="411">
                  <c:v>596.089275635386</c:v>
                </c:pt>
                <c:pt idx="412">
                  <c:v>598.04546221212865</c:v>
                </c:pt>
                <c:pt idx="413">
                  <c:v>599.99502169966263</c:v>
                </c:pt>
                <c:pt idx="414">
                  <c:v>601.93790567818212</c:v>
                </c:pt>
                <c:pt idx="415">
                  <c:v>603.87406660343913</c:v>
                </c:pt>
                <c:pt idx="416">
                  <c:v>605.8034578122323</c:v>
                </c:pt>
                <c:pt idx="417">
                  <c:v>607.72603352742249</c:v>
                </c:pt>
                <c:pt idx="418">
                  <c:v>609.64174886248884</c:v>
                </c:pt>
                <c:pt idx="419">
                  <c:v>611.55055982563579</c:v>
                </c:pt>
                <c:pt idx="420">
                  <c:v>613.45242332346413</c:v>
                </c:pt>
                <c:pt idx="421">
                  <c:v>615.347297164216</c:v>
                </c:pt>
                <c:pt idx="422">
                  <c:v>617.23514006060577</c:v>
                </c:pt>
                <c:pt idx="423">
                  <c:v>619.11591163224625</c:v>
                </c:pt>
                <c:pt idx="424">
                  <c:v>620.98957240768107</c:v>
                </c:pt>
                <c:pt idx="425">
                  <c:v>622.85608382603277</c:v>
                </c:pt>
                <c:pt idx="426">
                  <c:v>624.71540823827627</c:v>
                </c:pt>
                <c:pt idx="427">
                  <c:v>626.56750890814669</c:v>
                </c:pt>
                <c:pt idx="428">
                  <c:v>628.41235001269092</c:v>
                </c:pt>
                <c:pt idx="429">
                  <c:v>630.24989664247198</c:v>
                </c:pt>
                <c:pt idx="430">
                  <c:v>632.08011480143409</c:v>
                </c:pt>
                <c:pt idx="431">
                  <c:v>633.90297140643747</c:v>
                </c:pt>
                <c:pt idx="432">
                  <c:v>635.71843428647139</c:v>
                </c:pt>
                <c:pt idx="433">
                  <c:v>637.52647218155255</c:v>
                </c:pt>
                <c:pt idx="434">
                  <c:v>639.32705474131808</c:v>
                </c:pt>
                <c:pt idx="435">
                  <c:v>641.12015252332014</c:v>
                </c:pt>
                <c:pt idx="436">
                  <c:v>642.90573699102993</c:v>
                </c:pt>
                <c:pt idx="437">
                  <c:v>644.68378051155867</c:v>
                </c:pt>
                <c:pt idx="438">
                  <c:v>646.4542563531038</c:v>
                </c:pt>
                <c:pt idx="439">
                  <c:v>648.21713868212612</c:v>
                </c:pt>
                <c:pt idx="440">
                  <c:v>649.97240256026691</c:v>
                </c:pt>
                <c:pt idx="441">
                  <c:v>651.7200239410106</c:v>
                </c:pt>
                <c:pt idx="442">
                  <c:v>653.45997966610162</c:v>
                </c:pt>
                <c:pt idx="443">
                  <c:v>655.1922474617204</c:v>
                </c:pt>
                <c:pt idx="444">
                  <c:v>656.91680593442754</c:v>
                </c:pt>
                <c:pt idx="445">
                  <c:v>658.63363456688126</c:v>
                </c:pt>
                <c:pt idx="446">
                  <c:v>660.34271371333557</c:v>
                </c:pt>
                <c:pt idx="447">
                  <c:v>662.04402459492565</c:v>
                </c:pt>
                <c:pt idx="448">
                  <c:v>663.73754929474705</c:v>
                </c:pt>
                <c:pt idx="449">
                  <c:v>665.42327075273488</c:v>
                </c:pt>
                <c:pt idx="450">
                  <c:v>667.10117276034964</c:v>
                </c:pt>
                <c:pt idx="451">
                  <c:v>668.77123995507566</c:v>
                </c:pt>
                <c:pt idx="452">
                  <c:v>670.43345781473909</c:v>
                </c:pt>
                <c:pt idx="453">
                  <c:v>672.08781265165067</c:v>
                </c:pt>
                <c:pt idx="454">
                  <c:v>673.73429160657986</c:v>
                </c:pt>
                <c:pt idx="455">
                  <c:v>675.37288264256608</c:v>
                </c:pt>
                <c:pt idx="456">
                  <c:v>677.00357453857384</c:v>
                </c:pt>
                <c:pt idx="457">
                  <c:v>678.62635688299588</c:v>
                </c:pt>
                <c:pt idx="458">
                  <c:v>680.24122006701214</c:v>
                </c:pt>
                <c:pt idx="459">
                  <c:v>681.84815527780847</c:v>
                </c:pt>
                <c:pt idx="460">
                  <c:v>683.4471544916621</c:v>
                </c:pt>
                <c:pt idx="461">
                  <c:v>685.0382104668987</c:v>
                </c:pt>
                <c:pt idx="462">
                  <c:v>686.62131673672627</c:v>
                </c:pt>
                <c:pt idx="463">
                  <c:v>688.19646760195224</c:v>
                </c:pt>
                <c:pt idx="464">
                  <c:v>689.76365812358847</c:v>
                </c:pt>
                <c:pt idx="465">
                  <c:v>691.32288411534898</c:v>
                </c:pt>
                <c:pt idx="466">
                  <c:v>692.87414213604666</c:v>
                </c:pt>
                <c:pt idx="467">
                  <c:v>694.41742948189335</c:v>
                </c:pt>
                <c:pt idx="468">
                  <c:v>695.95274417870849</c:v>
                </c:pt>
                <c:pt idx="469">
                  <c:v>697.48008497404135</c:v>
                </c:pt>
                <c:pt idx="470">
                  <c:v>698.99945132921175</c:v>
                </c:pt>
                <c:pt idx="471">
                  <c:v>700.51084341127398</c:v>
                </c:pt>
                <c:pt idx="472">
                  <c:v>702.01426208490841</c:v>
                </c:pt>
                <c:pt idx="473">
                  <c:v>703.50970890424639</c:v>
                </c:pt>
                <c:pt idx="474">
                  <c:v>704.99718610463185</c:v>
                </c:pt>
                <c:pt idx="475">
                  <c:v>706.47669659432461</c:v>
                </c:pt>
                <c:pt idx="476">
                  <c:v>707.94824394615</c:v>
                </c:pt>
                <c:pt idx="477">
                  <c:v>709.41183238909878</c:v>
                </c:pt>
                <c:pt idx="478">
                  <c:v>710.86746679988221</c:v>
                </c:pt>
                <c:pt idx="479">
                  <c:v>712.31515269444515</c:v>
                </c:pt>
                <c:pt idx="480">
                  <c:v>713.75489621944303</c:v>
                </c:pt>
                <c:pt idx="481">
                  <c:v>715.18670414368523</c:v>
                </c:pt>
                <c:pt idx="482">
                  <c:v>716.61058384955004</c:v>
                </c:pt>
                <c:pt idx="483">
                  <c:v>718.02654332437351</c:v>
                </c:pt>
                <c:pt idx="484">
                  <c:v>719.43459115181781</c:v>
                </c:pt>
                <c:pt idx="485">
                  <c:v>720.83473650322139</c:v>
                </c:pt>
                <c:pt idx="486">
                  <c:v>722.22698912893509</c:v>
                </c:pt>
                <c:pt idx="487">
                  <c:v>723.61135934964773</c:v>
                </c:pt>
                <c:pt idx="488">
                  <c:v>724.98785804770478</c:v>
                </c:pt>
                <c:pt idx="489">
                  <c:v>726.35649665842288</c:v>
                </c:pt>
                <c:pt idx="490">
                  <c:v>727.71728716140456</c:v>
                </c:pt>
                <c:pt idx="491">
                  <c:v>729.07024207185509</c:v>
                </c:pt>
                <c:pt idx="492">
                  <c:v>730.41537443190578</c:v>
                </c:pt>
                <c:pt idx="493">
                  <c:v>731.75269780194583</c:v>
                </c:pt>
                <c:pt idx="494">
                  <c:v>733.08222625196697</c:v>
                </c:pt>
                <c:pt idx="495">
                  <c:v>734.40397435292186</c:v>
                </c:pt>
                <c:pt idx="496">
                  <c:v>735.71795716810095</c:v>
                </c:pt>
                <c:pt idx="497">
                  <c:v>737.0241902445299</c:v>
                </c:pt>
                <c:pt idx="498">
                  <c:v>738.32268960438967</c:v>
                </c:pt>
                <c:pt idx="499">
                  <c:v>739.61347173646243</c:v>
                </c:pt>
                <c:pt idx="500">
                  <c:v>740.89655358760626</c:v>
                </c:pt>
                <c:pt idx="501">
                  <c:v>742.17195255425986</c:v>
                </c:pt>
                <c:pt idx="502">
                  <c:v>743.43968647398083</c:v>
                </c:pt>
                <c:pt idx="503">
                  <c:v>744.69977361701888</c:v>
                </c:pt>
                <c:pt idx="504">
                  <c:v>745.95223267792733</c:v>
                </c:pt>
                <c:pt idx="505">
                  <c:v>747.19708276721371</c:v>
                </c:pt>
                <c:pt idx="506">
                  <c:v>748.43434340303247</c:v>
                </c:pt>
                <c:pt idx="507">
                  <c:v>749.66403450292171</c:v>
                </c:pt>
                <c:pt idx="508">
                  <c:v>750.88617637558536</c:v>
                </c:pt>
                <c:pt idx="509">
                  <c:v>752.10078971272333</c:v>
                </c:pt>
                <c:pt idx="510">
                  <c:v>753.30789558091089</c:v>
                </c:pt>
                <c:pt idx="511">
                  <c:v>754.50751541352975</c:v>
                </c:pt>
                <c:pt idx="512">
                  <c:v>755.6996710027513</c:v>
                </c:pt>
                <c:pt idx="513">
                  <c:v>756.88438449157502</c:v>
                </c:pt>
                <c:pt idx="514">
                  <c:v>758.06167836592249</c:v>
                </c:pt>
                <c:pt idx="515">
                  <c:v>759.23157544678907</c:v>
                </c:pt>
                <c:pt idx="516">
                  <c:v>760.39409888245461</c:v>
                </c:pt>
                <c:pt idx="517">
                  <c:v>761.54927214075428</c:v>
                </c:pt>
                <c:pt idx="518">
                  <c:v>762.6971190014109</c:v>
                </c:pt>
                <c:pt idx="519">
                  <c:v>763.83766354843044</c:v>
                </c:pt>
                <c:pt idx="520">
                  <c:v>764.97093016256099</c:v>
                </c:pt>
                <c:pt idx="521">
                  <c:v>766.09694351381722</c:v>
                </c:pt>
                <c:pt idx="522">
                  <c:v>767.21572855407101</c:v>
                </c:pt>
                <c:pt idx="523">
                  <c:v>768.3273105097087</c:v>
                </c:pt>
                <c:pt idx="524">
                  <c:v>769.431714874357</c:v>
                </c:pt>
                <c:pt idx="525">
                  <c:v>770.52896740167785</c:v>
                </c:pt>
                <c:pt idx="526">
                  <c:v>770.52896740167785</c:v>
                </c:pt>
                <c:pt idx="527">
                  <c:v>770.52896740167785</c:v>
                </c:pt>
                <c:pt idx="528">
                  <c:v>770.52896740167785</c:v>
                </c:pt>
                <c:pt idx="529">
                  <c:v>770.52896740167785</c:v>
                </c:pt>
                <c:pt idx="530">
                  <c:v>770.52896740167785</c:v>
                </c:pt>
                <c:pt idx="531">
                  <c:v>770.52896740167785</c:v>
                </c:pt>
                <c:pt idx="532">
                  <c:v>770.52896740167785</c:v>
                </c:pt>
                <c:pt idx="533">
                  <c:v>770.52896740167785</c:v>
                </c:pt>
                <c:pt idx="534">
                  <c:v>770.52896740167785</c:v>
                </c:pt>
                <c:pt idx="535">
                  <c:v>770.52896740167785</c:v>
                </c:pt>
                <c:pt idx="536">
                  <c:v>770.52896740167785</c:v>
                </c:pt>
                <c:pt idx="537">
                  <c:v>770.52896740167785</c:v>
                </c:pt>
                <c:pt idx="538">
                  <c:v>770.52896740167785</c:v>
                </c:pt>
                <c:pt idx="539">
                  <c:v>770.52896740167785</c:v>
                </c:pt>
                <c:pt idx="540">
                  <c:v>770.52896740167785</c:v>
                </c:pt>
                <c:pt idx="541">
                  <c:v>770.52896740167785</c:v>
                </c:pt>
                <c:pt idx="542">
                  <c:v>770.52896740167785</c:v>
                </c:pt>
                <c:pt idx="543">
                  <c:v>770.52896740167785</c:v>
                </c:pt>
                <c:pt idx="544">
                  <c:v>770.52896740167785</c:v>
                </c:pt>
                <c:pt idx="545">
                  <c:v>770.52896740167785</c:v>
                </c:pt>
                <c:pt idx="546">
                  <c:v>770.52896740167785</c:v>
                </c:pt>
                <c:pt idx="547">
                  <c:v>770.52896740167785</c:v>
                </c:pt>
                <c:pt idx="548">
                  <c:v>770.52896740167785</c:v>
                </c:pt>
                <c:pt idx="549">
                  <c:v>770.52896740167785</c:v>
                </c:pt>
                <c:pt idx="550">
                  <c:v>770.52896740167785</c:v>
                </c:pt>
                <c:pt idx="551">
                  <c:v>770.52896740167785</c:v>
                </c:pt>
                <c:pt idx="552">
                  <c:v>770.52896740167785</c:v>
                </c:pt>
                <c:pt idx="553">
                  <c:v>770.52896740167785</c:v>
                </c:pt>
                <c:pt idx="554">
                  <c:v>770.52896740167785</c:v>
                </c:pt>
                <c:pt idx="555">
                  <c:v>770.52896740167785</c:v>
                </c:pt>
                <c:pt idx="556">
                  <c:v>770.52896740167785</c:v>
                </c:pt>
                <c:pt idx="557">
                  <c:v>770.52896740167785</c:v>
                </c:pt>
                <c:pt idx="558">
                  <c:v>770.52896740167785</c:v>
                </c:pt>
                <c:pt idx="559">
                  <c:v>770.52896740167785</c:v>
                </c:pt>
                <c:pt idx="560">
                  <c:v>770.52896740167785</c:v>
                </c:pt>
                <c:pt idx="561">
                  <c:v>770.52896740167785</c:v>
                </c:pt>
                <c:pt idx="562">
                  <c:v>770.52896740167785</c:v>
                </c:pt>
                <c:pt idx="563">
                  <c:v>770.52896740167785</c:v>
                </c:pt>
                <c:pt idx="564">
                  <c:v>770.52896740167785</c:v>
                </c:pt>
                <c:pt idx="565">
                  <c:v>770.52896740167785</c:v>
                </c:pt>
                <c:pt idx="566">
                  <c:v>770.52896740167785</c:v>
                </c:pt>
                <c:pt idx="567">
                  <c:v>770.52896740167785</c:v>
                </c:pt>
                <c:pt idx="568">
                  <c:v>770.52896740167785</c:v>
                </c:pt>
                <c:pt idx="569">
                  <c:v>770.52896740167785</c:v>
                </c:pt>
                <c:pt idx="570">
                  <c:v>770.52896740167785</c:v>
                </c:pt>
                <c:pt idx="571">
                  <c:v>770.52896740167785</c:v>
                </c:pt>
                <c:pt idx="572">
                  <c:v>770.52896740167785</c:v>
                </c:pt>
                <c:pt idx="573">
                  <c:v>770.52896740167785</c:v>
                </c:pt>
                <c:pt idx="574">
                  <c:v>770.52896740167785</c:v>
                </c:pt>
                <c:pt idx="575">
                  <c:v>770.52896740167785</c:v>
                </c:pt>
                <c:pt idx="576">
                  <c:v>770.52896740167785</c:v>
                </c:pt>
                <c:pt idx="577">
                  <c:v>770.52896740167785</c:v>
                </c:pt>
                <c:pt idx="578">
                  <c:v>770.52896740167785</c:v>
                </c:pt>
                <c:pt idx="579">
                  <c:v>770.52896740167785</c:v>
                </c:pt>
                <c:pt idx="580">
                  <c:v>770.52896740167785</c:v>
                </c:pt>
                <c:pt idx="581">
                  <c:v>770.52896740167785</c:v>
                </c:pt>
                <c:pt idx="582">
                  <c:v>770.52896740167785</c:v>
                </c:pt>
                <c:pt idx="583">
                  <c:v>770.52896740167785</c:v>
                </c:pt>
                <c:pt idx="584">
                  <c:v>770.52896740167785</c:v>
                </c:pt>
                <c:pt idx="585">
                  <c:v>770.52896740167785</c:v>
                </c:pt>
                <c:pt idx="586">
                  <c:v>770.52896740167785</c:v>
                </c:pt>
                <c:pt idx="587">
                  <c:v>770.52896740167785</c:v>
                </c:pt>
                <c:pt idx="588">
                  <c:v>770.52896740167785</c:v>
                </c:pt>
                <c:pt idx="589">
                  <c:v>770.52896740167785</c:v>
                </c:pt>
                <c:pt idx="590">
                  <c:v>770.52896740167785</c:v>
                </c:pt>
                <c:pt idx="591">
                  <c:v>770.52896740167785</c:v>
                </c:pt>
                <c:pt idx="592">
                  <c:v>770.52896740167785</c:v>
                </c:pt>
                <c:pt idx="593">
                  <c:v>770.52896740167785</c:v>
                </c:pt>
                <c:pt idx="594">
                  <c:v>770.52896740167785</c:v>
                </c:pt>
                <c:pt idx="595">
                  <c:v>770.52896740167785</c:v>
                </c:pt>
                <c:pt idx="596">
                  <c:v>770.52896740167785</c:v>
                </c:pt>
                <c:pt idx="597">
                  <c:v>770.52896740167785</c:v>
                </c:pt>
                <c:pt idx="598">
                  <c:v>770.52896740167785</c:v>
                </c:pt>
                <c:pt idx="599">
                  <c:v>770.52896740167785</c:v>
                </c:pt>
                <c:pt idx="600">
                  <c:v>770.52896740167785</c:v>
                </c:pt>
                <c:pt idx="601">
                  <c:v>770.52896740167785</c:v>
                </c:pt>
                <c:pt idx="602">
                  <c:v>770.52896740167785</c:v>
                </c:pt>
                <c:pt idx="603">
                  <c:v>770.52896740167785</c:v>
                </c:pt>
                <c:pt idx="604">
                  <c:v>770.52896740167785</c:v>
                </c:pt>
                <c:pt idx="605">
                  <c:v>770.52896740167785</c:v>
                </c:pt>
                <c:pt idx="606">
                  <c:v>770.52896740167785</c:v>
                </c:pt>
                <c:pt idx="607">
                  <c:v>770.52896740167785</c:v>
                </c:pt>
                <c:pt idx="608">
                  <c:v>770.52896740167785</c:v>
                </c:pt>
                <c:pt idx="609">
                  <c:v>770.52896740167785</c:v>
                </c:pt>
                <c:pt idx="610">
                  <c:v>770.52896740167785</c:v>
                </c:pt>
                <c:pt idx="611">
                  <c:v>770.52896740167785</c:v>
                </c:pt>
                <c:pt idx="612">
                  <c:v>770.52896740167785</c:v>
                </c:pt>
                <c:pt idx="613">
                  <c:v>770.52896740167785</c:v>
                </c:pt>
                <c:pt idx="614">
                  <c:v>770.52896740167785</c:v>
                </c:pt>
                <c:pt idx="615">
                  <c:v>770.52896740167785</c:v>
                </c:pt>
                <c:pt idx="616">
                  <c:v>770.52896740167785</c:v>
                </c:pt>
                <c:pt idx="617">
                  <c:v>770.52896740167785</c:v>
                </c:pt>
                <c:pt idx="618">
                  <c:v>770.52896740167785</c:v>
                </c:pt>
                <c:pt idx="619">
                  <c:v>770.52896740167785</c:v>
                </c:pt>
                <c:pt idx="620">
                  <c:v>770.52896740167785</c:v>
                </c:pt>
                <c:pt idx="621">
                  <c:v>770.52896740167785</c:v>
                </c:pt>
                <c:pt idx="622">
                  <c:v>770.52896740167785</c:v>
                </c:pt>
                <c:pt idx="623">
                  <c:v>770.52896740167785</c:v>
                </c:pt>
                <c:pt idx="624">
                  <c:v>770.52896740167785</c:v>
                </c:pt>
                <c:pt idx="625">
                  <c:v>770.52896740167785</c:v>
                </c:pt>
                <c:pt idx="626">
                  <c:v>770.52896740167785</c:v>
                </c:pt>
                <c:pt idx="627">
                  <c:v>770.52896740167785</c:v>
                </c:pt>
                <c:pt idx="628">
                  <c:v>770.52896740167785</c:v>
                </c:pt>
                <c:pt idx="629">
                  <c:v>770.52896740167785</c:v>
                </c:pt>
                <c:pt idx="630">
                  <c:v>770.52896740167785</c:v>
                </c:pt>
                <c:pt idx="631">
                  <c:v>770.52896740167785</c:v>
                </c:pt>
                <c:pt idx="632">
                  <c:v>770.52896740167785</c:v>
                </c:pt>
                <c:pt idx="633">
                  <c:v>770.52896740167785</c:v>
                </c:pt>
                <c:pt idx="634">
                  <c:v>770.52896740167785</c:v>
                </c:pt>
                <c:pt idx="635">
                  <c:v>770.52896740167785</c:v>
                </c:pt>
                <c:pt idx="636">
                  <c:v>770.52896740167785</c:v>
                </c:pt>
                <c:pt idx="637">
                  <c:v>770.52896740167785</c:v>
                </c:pt>
                <c:pt idx="638">
                  <c:v>770.52896740167785</c:v>
                </c:pt>
                <c:pt idx="639">
                  <c:v>770.52896740167785</c:v>
                </c:pt>
                <c:pt idx="640">
                  <c:v>770.52896740167785</c:v>
                </c:pt>
                <c:pt idx="641">
                  <c:v>770.52896740167785</c:v>
                </c:pt>
                <c:pt idx="642">
                  <c:v>770.52896740167785</c:v>
                </c:pt>
                <c:pt idx="643">
                  <c:v>770.52896740167785</c:v>
                </c:pt>
                <c:pt idx="644">
                  <c:v>770.52896740167785</c:v>
                </c:pt>
                <c:pt idx="645">
                  <c:v>770.52896740167785</c:v>
                </c:pt>
                <c:pt idx="646">
                  <c:v>770.52896740167785</c:v>
                </c:pt>
                <c:pt idx="647">
                  <c:v>770.52896740167785</c:v>
                </c:pt>
                <c:pt idx="648">
                  <c:v>770.52896740167785</c:v>
                </c:pt>
                <c:pt idx="649">
                  <c:v>770.52896740167785</c:v>
                </c:pt>
                <c:pt idx="650">
                  <c:v>770.52896740167785</c:v>
                </c:pt>
                <c:pt idx="651">
                  <c:v>770.52896740167785</c:v>
                </c:pt>
                <c:pt idx="652">
                  <c:v>770.52896740167785</c:v>
                </c:pt>
                <c:pt idx="653">
                  <c:v>770.52896740167785</c:v>
                </c:pt>
                <c:pt idx="654">
                  <c:v>770.52896740167785</c:v>
                </c:pt>
                <c:pt idx="655">
                  <c:v>770.52896740167785</c:v>
                </c:pt>
                <c:pt idx="656">
                  <c:v>770.52896740167785</c:v>
                </c:pt>
                <c:pt idx="657">
                  <c:v>770.52896740167785</c:v>
                </c:pt>
                <c:pt idx="658">
                  <c:v>770.52896740167785</c:v>
                </c:pt>
                <c:pt idx="659">
                  <c:v>770.52896740167785</c:v>
                </c:pt>
                <c:pt idx="660">
                  <c:v>770.52896740167785</c:v>
                </c:pt>
                <c:pt idx="661">
                  <c:v>770.52896740167785</c:v>
                </c:pt>
                <c:pt idx="662">
                  <c:v>770.52896740167785</c:v>
                </c:pt>
                <c:pt idx="663">
                  <c:v>770.52896740167785</c:v>
                </c:pt>
                <c:pt idx="664">
                  <c:v>770.52896740167785</c:v>
                </c:pt>
                <c:pt idx="665">
                  <c:v>770.52896740167785</c:v>
                </c:pt>
                <c:pt idx="666">
                  <c:v>770.52896740167785</c:v>
                </c:pt>
                <c:pt idx="667">
                  <c:v>770.52896740167785</c:v>
                </c:pt>
                <c:pt idx="668">
                  <c:v>770.52896740167785</c:v>
                </c:pt>
                <c:pt idx="669">
                  <c:v>770.52896740167785</c:v>
                </c:pt>
                <c:pt idx="670">
                  <c:v>770.52896740167785</c:v>
                </c:pt>
                <c:pt idx="671">
                  <c:v>770.52896740167785</c:v>
                </c:pt>
                <c:pt idx="672">
                  <c:v>770.52896740167785</c:v>
                </c:pt>
                <c:pt idx="673">
                  <c:v>770.52896740167785</c:v>
                </c:pt>
                <c:pt idx="674">
                  <c:v>770.52896740167785</c:v>
                </c:pt>
                <c:pt idx="675">
                  <c:v>770.52896740167785</c:v>
                </c:pt>
                <c:pt idx="676">
                  <c:v>770.52896740167785</c:v>
                </c:pt>
                <c:pt idx="677">
                  <c:v>770.52896740167785</c:v>
                </c:pt>
                <c:pt idx="678">
                  <c:v>770.52896740167785</c:v>
                </c:pt>
                <c:pt idx="679">
                  <c:v>770.52896740167785</c:v>
                </c:pt>
                <c:pt idx="680">
                  <c:v>770.52896740167785</c:v>
                </c:pt>
                <c:pt idx="681">
                  <c:v>770.52896740167785</c:v>
                </c:pt>
                <c:pt idx="682">
                  <c:v>770.52896740167785</c:v>
                </c:pt>
                <c:pt idx="683">
                  <c:v>770.52896740167785</c:v>
                </c:pt>
                <c:pt idx="684">
                  <c:v>770.52896740167785</c:v>
                </c:pt>
                <c:pt idx="685">
                  <c:v>770.52896740167785</c:v>
                </c:pt>
                <c:pt idx="686">
                  <c:v>770.52896740167785</c:v>
                </c:pt>
                <c:pt idx="687">
                  <c:v>770.52896740167785</c:v>
                </c:pt>
                <c:pt idx="688">
                  <c:v>770.52896740167785</c:v>
                </c:pt>
                <c:pt idx="689">
                  <c:v>770.52896740167785</c:v>
                </c:pt>
                <c:pt idx="690">
                  <c:v>770.52896740167785</c:v>
                </c:pt>
                <c:pt idx="691">
                  <c:v>770.52896740167785</c:v>
                </c:pt>
                <c:pt idx="692">
                  <c:v>770.52896740167785</c:v>
                </c:pt>
                <c:pt idx="693">
                  <c:v>770.52896740167785</c:v>
                </c:pt>
                <c:pt idx="694">
                  <c:v>770.52896740167785</c:v>
                </c:pt>
                <c:pt idx="695">
                  <c:v>770.52896740167785</c:v>
                </c:pt>
                <c:pt idx="696">
                  <c:v>770.52896740167785</c:v>
                </c:pt>
                <c:pt idx="697">
                  <c:v>770.52896740167785</c:v>
                </c:pt>
                <c:pt idx="698">
                  <c:v>770.52896740167785</c:v>
                </c:pt>
                <c:pt idx="699">
                  <c:v>770.52896740167785</c:v>
                </c:pt>
                <c:pt idx="700">
                  <c:v>770.52896740167785</c:v>
                </c:pt>
                <c:pt idx="701">
                  <c:v>770.52896740167785</c:v>
                </c:pt>
                <c:pt idx="702">
                  <c:v>770.52896740167785</c:v>
                </c:pt>
                <c:pt idx="703">
                  <c:v>770.52896740167785</c:v>
                </c:pt>
                <c:pt idx="704">
                  <c:v>770.52896740167785</c:v>
                </c:pt>
                <c:pt idx="705">
                  <c:v>770.52896740167785</c:v>
                </c:pt>
                <c:pt idx="706">
                  <c:v>770.52896740167785</c:v>
                </c:pt>
                <c:pt idx="707">
                  <c:v>770.52896740167785</c:v>
                </c:pt>
                <c:pt idx="708">
                  <c:v>770.52896740167785</c:v>
                </c:pt>
                <c:pt idx="709">
                  <c:v>770.52896740167785</c:v>
                </c:pt>
                <c:pt idx="710">
                  <c:v>770.52896740167785</c:v>
                </c:pt>
                <c:pt idx="711">
                  <c:v>770.52896740167785</c:v>
                </c:pt>
                <c:pt idx="712">
                  <c:v>770.52896740167785</c:v>
                </c:pt>
                <c:pt idx="713">
                  <c:v>770.52896740167785</c:v>
                </c:pt>
                <c:pt idx="714">
                  <c:v>770.52896740167785</c:v>
                </c:pt>
                <c:pt idx="715">
                  <c:v>770.52896740167785</c:v>
                </c:pt>
                <c:pt idx="716">
                  <c:v>770.52896740167785</c:v>
                </c:pt>
                <c:pt idx="717">
                  <c:v>770.52896740167785</c:v>
                </c:pt>
                <c:pt idx="718">
                  <c:v>770.52896740167785</c:v>
                </c:pt>
                <c:pt idx="719">
                  <c:v>770.52896740167785</c:v>
                </c:pt>
                <c:pt idx="720">
                  <c:v>770.52896740167785</c:v>
                </c:pt>
                <c:pt idx="721">
                  <c:v>770.52896740167785</c:v>
                </c:pt>
                <c:pt idx="722">
                  <c:v>770.52896740167785</c:v>
                </c:pt>
                <c:pt idx="723">
                  <c:v>770.52896740167785</c:v>
                </c:pt>
                <c:pt idx="724">
                  <c:v>770.52896740167785</c:v>
                </c:pt>
                <c:pt idx="725">
                  <c:v>770.52896740167785</c:v>
                </c:pt>
                <c:pt idx="726">
                  <c:v>770.52896740167785</c:v>
                </c:pt>
                <c:pt idx="727">
                  <c:v>770.52896740167785</c:v>
                </c:pt>
                <c:pt idx="728">
                  <c:v>770.52896740167785</c:v>
                </c:pt>
                <c:pt idx="729">
                  <c:v>770.52896740167785</c:v>
                </c:pt>
                <c:pt idx="730">
                  <c:v>770.52896740167785</c:v>
                </c:pt>
                <c:pt idx="731">
                  <c:v>770.52896740167785</c:v>
                </c:pt>
                <c:pt idx="732">
                  <c:v>770.52896740167785</c:v>
                </c:pt>
                <c:pt idx="733">
                  <c:v>770.52896740167785</c:v>
                </c:pt>
                <c:pt idx="734">
                  <c:v>770.52896740167785</c:v>
                </c:pt>
                <c:pt idx="735">
                  <c:v>770.52896740167785</c:v>
                </c:pt>
                <c:pt idx="736">
                  <c:v>770.52896740167785</c:v>
                </c:pt>
                <c:pt idx="737">
                  <c:v>770.52896740167785</c:v>
                </c:pt>
                <c:pt idx="738">
                  <c:v>770.52896740167785</c:v>
                </c:pt>
                <c:pt idx="739">
                  <c:v>770.52896740167785</c:v>
                </c:pt>
                <c:pt idx="740">
                  <c:v>770.52896740167785</c:v>
                </c:pt>
                <c:pt idx="741">
                  <c:v>770.52896740167785</c:v>
                </c:pt>
                <c:pt idx="742">
                  <c:v>770.52896740167785</c:v>
                </c:pt>
                <c:pt idx="743">
                  <c:v>770.52896740167785</c:v>
                </c:pt>
                <c:pt idx="744">
                  <c:v>770.52896740167785</c:v>
                </c:pt>
                <c:pt idx="745">
                  <c:v>770.52896740167785</c:v>
                </c:pt>
                <c:pt idx="746">
                  <c:v>770.52896740167785</c:v>
                </c:pt>
                <c:pt idx="747">
                  <c:v>770.52896740167785</c:v>
                </c:pt>
                <c:pt idx="748">
                  <c:v>770.52896740167785</c:v>
                </c:pt>
                <c:pt idx="749">
                  <c:v>770.52896740167785</c:v>
                </c:pt>
                <c:pt idx="750">
                  <c:v>770.52896740167785</c:v>
                </c:pt>
                <c:pt idx="751">
                  <c:v>770.52896740167785</c:v>
                </c:pt>
                <c:pt idx="752">
                  <c:v>770.52896740167785</c:v>
                </c:pt>
                <c:pt idx="753">
                  <c:v>770.52896740167785</c:v>
                </c:pt>
                <c:pt idx="754">
                  <c:v>770.52896740167785</c:v>
                </c:pt>
                <c:pt idx="755">
                  <c:v>770.52896740167785</c:v>
                </c:pt>
                <c:pt idx="756">
                  <c:v>770.52896740167785</c:v>
                </c:pt>
                <c:pt idx="757">
                  <c:v>770.52896740167785</c:v>
                </c:pt>
                <c:pt idx="758">
                  <c:v>770.52896740167785</c:v>
                </c:pt>
                <c:pt idx="759">
                  <c:v>770.52896740167785</c:v>
                </c:pt>
                <c:pt idx="760">
                  <c:v>770.52896740167785</c:v>
                </c:pt>
                <c:pt idx="761">
                  <c:v>770.52896740167785</c:v>
                </c:pt>
                <c:pt idx="762">
                  <c:v>770.52896740167785</c:v>
                </c:pt>
                <c:pt idx="763">
                  <c:v>770.52896740167785</c:v>
                </c:pt>
                <c:pt idx="764">
                  <c:v>770.52896740167785</c:v>
                </c:pt>
                <c:pt idx="765">
                  <c:v>770.52896740167785</c:v>
                </c:pt>
                <c:pt idx="766">
                  <c:v>770.52896740167785</c:v>
                </c:pt>
                <c:pt idx="767">
                  <c:v>770.52896740167785</c:v>
                </c:pt>
                <c:pt idx="768">
                  <c:v>770.52896740167785</c:v>
                </c:pt>
                <c:pt idx="769">
                  <c:v>770.52896740167785</c:v>
                </c:pt>
                <c:pt idx="770">
                  <c:v>770.52896740167785</c:v>
                </c:pt>
                <c:pt idx="771">
                  <c:v>770.52896740167785</c:v>
                </c:pt>
                <c:pt idx="772">
                  <c:v>770.52896740167785</c:v>
                </c:pt>
                <c:pt idx="773">
                  <c:v>770.52896740167785</c:v>
                </c:pt>
                <c:pt idx="774">
                  <c:v>770.52896740167785</c:v>
                </c:pt>
                <c:pt idx="775">
                  <c:v>770.52896740167785</c:v>
                </c:pt>
                <c:pt idx="776">
                  <c:v>770.52896740167785</c:v>
                </c:pt>
                <c:pt idx="777">
                  <c:v>770.52896740167785</c:v>
                </c:pt>
                <c:pt idx="778">
                  <c:v>770.52896740167785</c:v>
                </c:pt>
                <c:pt idx="779">
                  <c:v>770.52896740167785</c:v>
                </c:pt>
                <c:pt idx="780">
                  <c:v>770.52896740167785</c:v>
                </c:pt>
                <c:pt idx="781">
                  <c:v>770.52896740167785</c:v>
                </c:pt>
                <c:pt idx="782">
                  <c:v>770.52896740167785</c:v>
                </c:pt>
                <c:pt idx="783">
                  <c:v>770.52896740167785</c:v>
                </c:pt>
                <c:pt idx="784">
                  <c:v>770.52896740167785</c:v>
                </c:pt>
                <c:pt idx="785">
                  <c:v>770.52896740167785</c:v>
                </c:pt>
                <c:pt idx="786">
                  <c:v>770.52896740167785</c:v>
                </c:pt>
                <c:pt idx="787">
                  <c:v>770.52896740167785</c:v>
                </c:pt>
                <c:pt idx="788">
                  <c:v>770.52896740167785</c:v>
                </c:pt>
                <c:pt idx="789">
                  <c:v>770.52896740167785</c:v>
                </c:pt>
                <c:pt idx="790">
                  <c:v>770.52896740167785</c:v>
                </c:pt>
                <c:pt idx="791">
                  <c:v>770.52896740167785</c:v>
                </c:pt>
                <c:pt idx="792">
                  <c:v>770.52896740167785</c:v>
                </c:pt>
                <c:pt idx="793">
                  <c:v>770.52896740167785</c:v>
                </c:pt>
                <c:pt idx="794">
                  <c:v>770.52896740167785</c:v>
                </c:pt>
                <c:pt idx="795">
                  <c:v>770.52896740167785</c:v>
                </c:pt>
                <c:pt idx="796">
                  <c:v>770.52896740167785</c:v>
                </c:pt>
                <c:pt idx="797">
                  <c:v>770.52896740167785</c:v>
                </c:pt>
                <c:pt idx="798">
                  <c:v>770.52896740167785</c:v>
                </c:pt>
                <c:pt idx="799">
                  <c:v>770.52896740167785</c:v>
                </c:pt>
                <c:pt idx="800">
                  <c:v>770.52896740167785</c:v>
                </c:pt>
                <c:pt idx="801">
                  <c:v>770.52896740167785</c:v>
                </c:pt>
                <c:pt idx="802">
                  <c:v>770.52896740167785</c:v>
                </c:pt>
                <c:pt idx="803">
                  <c:v>770.52896740167785</c:v>
                </c:pt>
                <c:pt idx="804">
                  <c:v>770.52896740167785</c:v>
                </c:pt>
                <c:pt idx="805">
                  <c:v>770.52896740167785</c:v>
                </c:pt>
                <c:pt idx="806">
                  <c:v>770.52896740167785</c:v>
                </c:pt>
                <c:pt idx="807">
                  <c:v>770.52896740167785</c:v>
                </c:pt>
                <c:pt idx="808">
                  <c:v>770.52896740167785</c:v>
                </c:pt>
                <c:pt idx="809">
                  <c:v>770.52896740167785</c:v>
                </c:pt>
                <c:pt idx="810">
                  <c:v>770.52896740167785</c:v>
                </c:pt>
                <c:pt idx="811">
                  <c:v>770.52896740167785</c:v>
                </c:pt>
                <c:pt idx="812">
                  <c:v>770.52896740167785</c:v>
                </c:pt>
                <c:pt idx="813">
                  <c:v>770.52896740167785</c:v>
                </c:pt>
                <c:pt idx="814">
                  <c:v>770.52896740167785</c:v>
                </c:pt>
                <c:pt idx="815">
                  <c:v>770.52896740167785</c:v>
                </c:pt>
                <c:pt idx="816">
                  <c:v>770.52896740167785</c:v>
                </c:pt>
                <c:pt idx="817">
                  <c:v>770.52896740167785</c:v>
                </c:pt>
                <c:pt idx="818">
                  <c:v>770.52896740167785</c:v>
                </c:pt>
                <c:pt idx="819">
                  <c:v>770.52896740167785</c:v>
                </c:pt>
                <c:pt idx="820">
                  <c:v>770.52896740167785</c:v>
                </c:pt>
                <c:pt idx="821">
                  <c:v>770.52896740167785</c:v>
                </c:pt>
                <c:pt idx="822">
                  <c:v>770.52896740167785</c:v>
                </c:pt>
                <c:pt idx="823">
                  <c:v>770.52896740167785</c:v>
                </c:pt>
                <c:pt idx="824">
                  <c:v>770.52896740167785</c:v>
                </c:pt>
                <c:pt idx="825">
                  <c:v>770.52896740167785</c:v>
                </c:pt>
                <c:pt idx="826">
                  <c:v>770.52896740167785</c:v>
                </c:pt>
                <c:pt idx="827">
                  <c:v>770.52896740167785</c:v>
                </c:pt>
                <c:pt idx="828">
                  <c:v>770.52896740167785</c:v>
                </c:pt>
                <c:pt idx="829">
                  <c:v>770.52896740167785</c:v>
                </c:pt>
                <c:pt idx="830">
                  <c:v>770.52896740167785</c:v>
                </c:pt>
                <c:pt idx="831">
                  <c:v>770.52896740167785</c:v>
                </c:pt>
                <c:pt idx="832">
                  <c:v>770.52896740167785</c:v>
                </c:pt>
                <c:pt idx="833">
                  <c:v>770.52896740167785</c:v>
                </c:pt>
                <c:pt idx="834">
                  <c:v>770.52896740167785</c:v>
                </c:pt>
                <c:pt idx="835">
                  <c:v>770.52896740167785</c:v>
                </c:pt>
                <c:pt idx="836">
                  <c:v>770.52896740167785</c:v>
                </c:pt>
                <c:pt idx="837">
                  <c:v>770.52896740167785</c:v>
                </c:pt>
                <c:pt idx="838">
                  <c:v>770.52896740167785</c:v>
                </c:pt>
                <c:pt idx="839">
                  <c:v>770.52896740167785</c:v>
                </c:pt>
                <c:pt idx="840">
                  <c:v>770.52896740167785</c:v>
                </c:pt>
                <c:pt idx="841">
                  <c:v>770.52896740167785</c:v>
                </c:pt>
                <c:pt idx="842">
                  <c:v>770.52896740167785</c:v>
                </c:pt>
                <c:pt idx="843">
                  <c:v>770.52896740167785</c:v>
                </c:pt>
                <c:pt idx="844">
                  <c:v>770.52896740167785</c:v>
                </c:pt>
                <c:pt idx="845">
                  <c:v>770.52896740167785</c:v>
                </c:pt>
                <c:pt idx="846">
                  <c:v>770.52896740167785</c:v>
                </c:pt>
                <c:pt idx="847">
                  <c:v>770.52896740167785</c:v>
                </c:pt>
                <c:pt idx="848">
                  <c:v>770.52896740167785</c:v>
                </c:pt>
                <c:pt idx="849">
                  <c:v>770.52896740167785</c:v>
                </c:pt>
                <c:pt idx="850">
                  <c:v>770.52896740167785</c:v>
                </c:pt>
                <c:pt idx="851">
                  <c:v>770.52896740167785</c:v>
                </c:pt>
                <c:pt idx="852">
                  <c:v>770.52896740167785</c:v>
                </c:pt>
                <c:pt idx="853">
                  <c:v>770.52896740167785</c:v>
                </c:pt>
                <c:pt idx="854">
                  <c:v>770.52896740167785</c:v>
                </c:pt>
                <c:pt idx="855">
                  <c:v>770.52896740167785</c:v>
                </c:pt>
                <c:pt idx="856">
                  <c:v>770.52896740167785</c:v>
                </c:pt>
                <c:pt idx="857">
                  <c:v>770.52896740167785</c:v>
                </c:pt>
                <c:pt idx="858">
                  <c:v>770.52896740167785</c:v>
                </c:pt>
                <c:pt idx="859">
                  <c:v>770.52896740167785</c:v>
                </c:pt>
                <c:pt idx="860">
                  <c:v>770.52896740167785</c:v>
                </c:pt>
                <c:pt idx="861">
                  <c:v>770.52896740167785</c:v>
                </c:pt>
                <c:pt idx="862">
                  <c:v>770.52896740167785</c:v>
                </c:pt>
                <c:pt idx="863">
                  <c:v>770.52896740167785</c:v>
                </c:pt>
                <c:pt idx="864">
                  <c:v>770.52896740167785</c:v>
                </c:pt>
                <c:pt idx="865">
                  <c:v>770.52896740167785</c:v>
                </c:pt>
                <c:pt idx="866">
                  <c:v>770.52896740167785</c:v>
                </c:pt>
                <c:pt idx="867">
                  <c:v>770.52896740167785</c:v>
                </c:pt>
                <c:pt idx="868">
                  <c:v>770.52896740167785</c:v>
                </c:pt>
                <c:pt idx="869">
                  <c:v>770.52896740167785</c:v>
                </c:pt>
                <c:pt idx="870">
                  <c:v>770.52896740167785</c:v>
                </c:pt>
                <c:pt idx="871">
                  <c:v>770.52896740167785</c:v>
                </c:pt>
                <c:pt idx="872">
                  <c:v>770.52896740167785</c:v>
                </c:pt>
                <c:pt idx="873">
                  <c:v>770.52896740167785</c:v>
                </c:pt>
                <c:pt idx="874">
                  <c:v>770.52896740167785</c:v>
                </c:pt>
                <c:pt idx="875">
                  <c:v>770.52896740167785</c:v>
                </c:pt>
                <c:pt idx="876">
                  <c:v>770.52896740167785</c:v>
                </c:pt>
                <c:pt idx="877">
                  <c:v>770.52896740167785</c:v>
                </c:pt>
                <c:pt idx="878">
                  <c:v>770.52896740167785</c:v>
                </c:pt>
                <c:pt idx="879">
                  <c:v>770.52896740167785</c:v>
                </c:pt>
                <c:pt idx="880">
                  <c:v>770.52896740167785</c:v>
                </c:pt>
                <c:pt idx="881">
                  <c:v>770.52896740167785</c:v>
                </c:pt>
                <c:pt idx="882">
                  <c:v>770.52896740167785</c:v>
                </c:pt>
                <c:pt idx="883">
                  <c:v>770.52896740167785</c:v>
                </c:pt>
                <c:pt idx="884">
                  <c:v>770.52896740167785</c:v>
                </c:pt>
                <c:pt idx="885">
                  <c:v>770.52896740167785</c:v>
                </c:pt>
                <c:pt idx="886">
                  <c:v>770.52896740167785</c:v>
                </c:pt>
                <c:pt idx="887">
                  <c:v>770.52896740167785</c:v>
                </c:pt>
                <c:pt idx="888">
                  <c:v>770.52896740167785</c:v>
                </c:pt>
                <c:pt idx="889">
                  <c:v>770.52896740167785</c:v>
                </c:pt>
                <c:pt idx="890">
                  <c:v>770.52896740167785</c:v>
                </c:pt>
                <c:pt idx="891">
                  <c:v>770.52896740167785</c:v>
                </c:pt>
                <c:pt idx="892">
                  <c:v>770.52896740167785</c:v>
                </c:pt>
                <c:pt idx="893">
                  <c:v>770.52896740167785</c:v>
                </c:pt>
                <c:pt idx="894">
                  <c:v>770.52896740167785</c:v>
                </c:pt>
                <c:pt idx="895">
                  <c:v>770.52896740167785</c:v>
                </c:pt>
                <c:pt idx="896">
                  <c:v>770.52896740167785</c:v>
                </c:pt>
                <c:pt idx="897">
                  <c:v>770.52896740167785</c:v>
                </c:pt>
                <c:pt idx="898">
                  <c:v>770.52896740167785</c:v>
                </c:pt>
                <c:pt idx="899">
                  <c:v>770.52896740167785</c:v>
                </c:pt>
                <c:pt idx="900">
                  <c:v>770.52896740167785</c:v>
                </c:pt>
                <c:pt idx="901">
                  <c:v>770.52896740167785</c:v>
                </c:pt>
                <c:pt idx="902">
                  <c:v>770.52896740167785</c:v>
                </c:pt>
                <c:pt idx="903">
                  <c:v>770.52896740167785</c:v>
                </c:pt>
                <c:pt idx="904">
                  <c:v>770.52896740167785</c:v>
                </c:pt>
                <c:pt idx="905">
                  <c:v>770.52896740167785</c:v>
                </c:pt>
                <c:pt idx="906">
                  <c:v>770.52896740167785</c:v>
                </c:pt>
                <c:pt idx="907">
                  <c:v>770.52896740167785</c:v>
                </c:pt>
                <c:pt idx="908">
                  <c:v>770.52896740167785</c:v>
                </c:pt>
                <c:pt idx="909">
                  <c:v>770.52896740167785</c:v>
                </c:pt>
                <c:pt idx="910">
                  <c:v>770.52896740167785</c:v>
                </c:pt>
                <c:pt idx="911">
                  <c:v>770.52896740167785</c:v>
                </c:pt>
                <c:pt idx="912">
                  <c:v>770.52896740167785</c:v>
                </c:pt>
                <c:pt idx="913">
                  <c:v>770.52896740167785</c:v>
                </c:pt>
                <c:pt idx="914">
                  <c:v>770.52896740167785</c:v>
                </c:pt>
                <c:pt idx="915">
                  <c:v>770.52896740167785</c:v>
                </c:pt>
                <c:pt idx="916">
                  <c:v>770.52896740167785</c:v>
                </c:pt>
                <c:pt idx="917">
                  <c:v>770.52896740167785</c:v>
                </c:pt>
                <c:pt idx="918">
                  <c:v>770.52896740167785</c:v>
                </c:pt>
                <c:pt idx="919">
                  <c:v>770.52896740167785</c:v>
                </c:pt>
                <c:pt idx="920">
                  <c:v>770.52896740167785</c:v>
                </c:pt>
                <c:pt idx="921">
                  <c:v>770.52896740167785</c:v>
                </c:pt>
                <c:pt idx="922">
                  <c:v>770.52896740167785</c:v>
                </c:pt>
                <c:pt idx="923">
                  <c:v>770.52896740167785</c:v>
                </c:pt>
                <c:pt idx="924">
                  <c:v>770.52896740167785</c:v>
                </c:pt>
                <c:pt idx="925">
                  <c:v>770.52896740167785</c:v>
                </c:pt>
                <c:pt idx="926">
                  <c:v>770.52896740167785</c:v>
                </c:pt>
                <c:pt idx="927">
                  <c:v>770.52896740167785</c:v>
                </c:pt>
                <c:pt idx="928">
                  <c:v>770.52896740167785</c:v>
                </c:pt>
                <c:pt idx="929">
                  <c:v>770.52896740167785</c:v>
                </c:pt>
                <c:pt idx="930">
                  <c:v>770.52896740167785</c:v>
                </c:pt>
                <c:pt idx="931">
                  <c:v>770.52896740167785</c:v>
                </c:pt>
                <c:pt idx="932">
                  <c:v>770.52896740167785</c:v>
                </c:pt>
                <c:pt idx="933">
                  <c:v>770.52896740167785</c:v>
                </c:pt>
                <c:pt idx="934">
                  <c:v>770.52896740167785</c:v>
                </c:pt>
                <c:pt idx="935">
                  <c:v>770.52896740167785</c:v>
                </c:pt>
                <c:pt idx="936">
                  <c:v>770.52896740167785</c:v>
                </c:pt>
                <c:pt idx="937">
                  <c:v>770.52896740167785</c:v>
                </c:pt>
                <c:pt idx="938">
                  <c:v>770.52896740167785</c:v>
                </c:pt>
                <c:pt idx="939">
                  <c:v>770.52896740167785</c:v>
                </c:pt>
                <c:pt idx="940">
                  <c:v>770.52896740167785</c:v>
                </c:pt>
                <c:pt idx="941">
                  <c:v>770.52896740167785</c:v>
                </c:pt>
                <c:pt idx="942">
                  <c:v>770.52896740167785</c:v>
                </c:pt>
                <c:pt idx="943">
                  <c:v>770.52896740167785</c:v>
                </c:pt>
                <c:pt idx="944">
                  <c:v>770.52896740167785</c:v>
                </c:pt>
                <c:pt idx="945">
                  <c:v>770.52896740167785</c:v>
                </c:pt>
                <c:pt idx="946">
                  <c:v>770.52896740167785</c:v>
                </c:pt>
                <c:pt idx="947">
                  <c:v>770.52896740167785</c:v>
                </c:pt>
                <c:pt idx="948">
                  <c:v>770.52896740167785</c:v>
                </c:pt>
                <c:pt idx="949">
                  <c:v>770.52896740167785</c:v>
                </c:pt>
                <c:pt idx="950">
                  <c:v>770.52896740167785</c:v>
                </c:pt>
                <c:pt idx="951">
                  <c:v>770.52896740167785</c:v>
                </c:pt>
                <c:pt idx="952">
                  <c:v>770.52896740167785</c:v>
                </c:pt>
                <c:pt idx="953">
                  <c:v>770.52896740167785</c:v>
                </c:pt>
                <c:pt idx="954">
                  <c:v>770.52896740167785</c:v>
                </c:pt>
                <c:pt idx="955">
                  <c:v>770.52896740167785</c:v>
                </c:pt>
                <c:pt idx="956">
                  <c:v>770.52896740167785</c:v>
                </c:pt>
                <c:pt idx="957">
                  <c:v>770.52896740167785</c:v>
                </c:pt>
                <c:pt idx="958">
                  <c:v>770.52896740167785</c:v>
                </c:pt>
                <c:pt idx="959">
                  <c:v>770.52896740167785</c:v>
                </c:pt>
                <c:pt idx="960">
                  <c:v>770.52896740167785</c:v>
                </c:pt>
                <c:pt idx="961">
                  <c:v>770.52896740167785</c:v>
                </c:pt>
                <c:pt idx="962">
                  <c:v>770.52896740167785</c:v>
                </c:pt>
                <c:pt idx="963">
                  <c:v>770.52896740167785</c:v>
                </c:pt>
                <c:pt idx="964">
                  <c:v>770.52896740167785</c:v>
                </c:pt>
                <c:pt idx="965">
                  <c:v>770.52896740167785</c:v>
                </c:pt>
                <c:pt idx="966">
                  <c:v>770.52896740167785</c:v>
                </c:pt>
                <c:pt idx="967">
                  <c:v>770.52896740167785</c:v>
                </c:pt>
                <c:pt idx="968">
                  <c:v>770.52896740167785</c:v>
                </c:pt>
                <c:pt idx="969">
                  <c:v>770.52896740167785</c:v>
                </c:pt>
                <c:pt idx="970">
                  <c:v>770.52896740167785</c:v>
                </c:pt>
                <c:pt idx="971">
                  <c:v>770.52896740167785</c:v>
                </c:pt>
                <c:pt idx="972">
                  <c:v>770.52896740167785</c:v>
                </c:pt>
                <c:pt idx="973">
                  <c:v>770.52896740167785</c:v>
                </c:pt>
                <c:pt idx="974">
                  <c:v>770.52896740167785</c:v>
                </c:pt>
                <c:pt idx="975">
                  <c:v>770.52896740167785</c:v>
                </c:pt>
                <c:pt idx="976">
                  <c:v>770.52896740167785</c:v>
                </c:pt>
                <c:pt idx="977">
                  <c:v>770.52896740167785</c:v>
                </c:pt>
                <c:pt idx="978">
                  <c:v>770.52896740167785</c:v>
                </c:pt>
                <c:pt idx="979">
                  <c:v>770.52896740167785</c:v>
                </c:pt>
                <c:pt idx="980">
                  <c:v>770.52896740167785</c:v>
                </c:pt>
                <c:pt idx="981">
                  <c:v>770.52896740167785</c:v>
                </c:pt>
                <c:pt idx="982">
                  <c:v>770.52896740167785</c:v>
                </c:pt>
                <c:pt idx="983">
                  <c:v>770.52896740167785</c:v>
                </c:pt>
                <c:pt idx="984">
                  <c:v>770.52896740167785</c:v>
                </c:pt>
                <c:pt idx="985">
                  <c:v>770.52896740167785</c:v>
                </c:pt>
                <c:pt idx="986">
                  <c:v>770.52896740167785</c:v>
                </c:pt>
                <c:pt idx="987">
                  <c:v>770.52896740167785</c:v>
                </c:pt>
                <c:pt idx="988">
                  <c:v>770.52896740167785</c:v>
                </c:pt>
                <c:pt idx="989">
                  <c:v>770.52896740167785</c:v>
                </c:pt>
                <c:pt idx="990">
                  <c:v>770.52896740167785</c:v>
                </c:pt>
                <c:pt idx="991">
                  <c:v>770.52896740167785</c:v>
                </c:pt>
                <c:pt idx="992">
                  <c:v>770.52896740167785</c:v>
                </c:pt>
                <c:pt idx="993">
                  <c:v>770.52896740167785</c:v>
                </c:pt>
                <c:pt idx="994">
                  <c:v>770.52896740167785</c:v>
                </c:pt>
                <c:pt idx="995">
                  <c:v>770.52896740167785</c:v>
                </c:pt>
                <c:pt idx="996">
                  <c:v>770.52896740167785</c:v>
                </c:pt>
                <c:pt idx="997">
                  <c:v>770.52896740167785</c:v>
                </c:pt>
                <c:pt idx="998">
                  <c:v>770.52896740167785</c:v>
                </c:pt>
                <c:pt idx="999">
                  <c:v>770.52896740167785</c:v>
                </c:pt>
                <c:pt idx="1000">
                  <c:v>770.52896740167785</c:v>
                </c:pt>
              </c:numCache>
            </c:numRef>
          </c:xVal>
          <c:yVal>
            <c:numRef>
              <c:f>Calculs!$AE$4:$AE$1004</c:f>
              <c:numCache>
                <c:formatCode>0</c:formatCode>
                <c:ptCount val="1001"/>
                <c:pt idx="0">
                  <c:v>0</c:v>
                </c:pt>
                <c:pt idx="1">
                  <c:v>9.6179596057260972E-4</c:v>
                </c:pt>
                <c:pt idx="2">
                  <c:v>7.849334862307036E-3</c:v>
                </c:pt>
                <c:pt idx="3">
                  <c:v>2.7104036649354804E-2</c:v>
                </c:pt>
                <c:pt idx="4">
                  <c:v>6.0910676809744435E-2</c:v>
                </c:pt>
                <c:pt idx="5">
                  <c:v>0.10875959295515798</c:v>
                </c:pt>
                <c:pt idx="6">
                  <c:v>0.17029575024130772</c:v>
                </c:pt>
                <c:pt idx="7">
                  <c:v>0.24547517535961894</c:v>
                </c:pt>
                <c:pt idx="8">
                  <c:v>0.33440967855691439</c:v>
                </c:pt>
                <c:pt idx="9">
                  <c:v>0.43721111891433345</c:v>
                </c:pt>
                <c:pt idx="10">
                  <c:v>0.55399140167489291</c:v>
                </c:pt>
                <c:pt idx="11">
                  <c:v>0.68484628480212495</c:v>
                </c:pt>
                <c:pt idx="12">
                  <c:v>0.82983913846125701</c:v>
                </c:pt>
                <c:pt idx="13">
                  <c:v>0.989017063757757</c:v>
                </c:pt>
                <c:pt idx="14">
                  <c:v>1.1624270589549011</c:v>
                </c:pt>
                <c:pt idx="15">
                  <c:v>1.350116017579907</c:v>
                </c:pt>
                <c:pt idx="16">
                  <c:v>1.5521307265246203</c:v>
                </c:pt>
                <c:pt idx="17">
                  <c:v>1.7685178641409143</c:v>
                </c:pt>
                <c:pt idx="18">
                  <c:v>1.9993239983309685</c:v>
                </c:pt>
                <c:pt idx="19">
                  <c:v>2.244595584632592</c:v>
                </c:pt>
                <c:pt idx="20">
                  <c:v>2.5043789642997596</c:v>
                </c:pt>
                <c:pt idx="21">
                  <c:v>2.7787138599228545</c:v>
                </c:pt>
                <c:pt idx="22">
                  <c:v>3.0676268525810602</c:v>
                </c:pt>
                <c:pt idx="23">
                  <c:v>3.3711378558289589</c:v>
                </c:pt>
                <c:pt idx="24">
                  <c:v>3.6892666085400023</c:v>
                </c:pt>
                <c:pt idx="25">
                  <c:v>4.0220326737662697</c:v>
                </c:pt>
                <c:pt idx="26">
                  <c:v>4.3694406356516708</c:v>
                </c:pt>
                <c:pt idx="27">
                  <c:v>4.7314942593150162</c:v>
                </c:pt>
                <c:pt idx="28">
                  <c:v>5.1082113009258308</c:v>
                </c:pt>
                <c:pt idx="29">
                  <c:v>5.4996093651401523</c:v>
                </c:pt>
                <c:pt idx="30">
                  <c:v>5.9057059129793767</c:v>
                </c:pt>
                <c:pt idx="31">
                  <c:v>6.3265182582043593</c:v>
                </c:pt>
                <c:pt idx="32">
                  <c:v>6.7620635639505586</c:v>
                </c:pt>
                <c:pt idx="33">
                  <c:v>7.2123588395916514</c:v>
                </c:pt>
                <c:pt idx="34">
                  <c:v>7.6774209378041887</c:v>
                </c:pt>
                <c:pt idx="35">
                  <c:v>8.1572665518100607</c:v>
                </c:pt>
                <c:pt idx="36">
                  <c:v>8.6519122127770007</c:v>
                </c:pt>
                <c:pt idx="37">
                  <c:v>9.1613742873602018</c:v>
                </c:pt>
                <c:pt idx="38">
                  <c:v>9.6856689753705076</c:v>
                </c:pt>
                <c:pt idx="39">
                  <c:v>10.224812307556627</c:v>
                </c:pt>
                <c:pt idx="40">
                  <c:v>10.778820143490485</c:v>
                </c:pt>
                <c:pt idx="41">
                  <c:v>11.347703103481436</c:v>
                </c:pt>
                <c:pt idx="42">
                  <c:v>11.931461488123665</c:v>
                </c:pt>
                <c:pt idx="43">
                  <c:v>12.530090325394321</c:v>
                </c:pt>
                <c:pt idx="44">
                  <c:v>13.143584430641267</c:v>
                </c:pt>
                <c:pt idx="45">
                  <c:v>13.771938405601263</c:v>
                </c:pt>
                <c:pt idx="46">
                  <c:v>14.415146637491738</c:v>
                </c:pt>
                <c:pt idx="47">
                  <c:v>15.073203298170998</c:v>
                </c:pt>
                <c:pt idx="48">
                  <c:v>15.746102343362272</c:v>
                </c:pt>
                <c:pt idx="49">
                  <c:v>16.433837511937465</c:v>
                </c:pt>
                <c:pt idx="50">
                  <c:v>17.136402325256991</c:v>
                </c:pt>
                <c:pt idx="51">
                  <c:v>17.853790086562395</c:v>
                </c:pt>
                <c:pt idx="52">
                  <c:v>18.585993880418791</c:v>
                </c:pt>
                <c:pt idx="53">
                  <c:v>19.3330065722045</c:v>
                </c:pt>
                <c:pt idx="54">
                  <c:v>20.094820807645462</c:v>
                </c:pt>
                <c:pt idx="55">
                  <c:v>20.871429012392273</c:v>
                </c:pt>
                <c:pt idx="56">
                  <c:v>21.662823391637879</c:v>
                </c:pt>
                <c:pt idx="57">
                  <c:v>22.468995929774135</c:v>
                </c:pt>
                <c:pt idx="58">
                  <c:v>23.289938390085631</c:v>
                </c:pt>
                <c:pt idx="59">
                  <c:v>24.125642314479276</c:v>
                </c:pt>
                <c:pt idx="60">
                  <c:v>24.976099023248302</c:v>
                </c:pt>
                <c:pt idx="61">
                  <c:v>25.841299614869456</c:v>
                </c:pt>
                <c:pt idx="62">
                  <c:v>26.721234965832227</c:v>
                </c:pt>
                <c:pt idx="63">
                  <c:v>27.61589573049908</c:v>
                </c:pt>
                <c:pt idx="64">
                  <c:v>28.525272340995734</c:v>
                </c:pt>
                <c:pt idx="65">
                  <c:v>29.449355007130588</c:v>
                </c:pt>
                <c:pt idx="66">
                  <c:v>30.38813371634248</c:v>
                </c:pt>
                <c:pt idx="67">
                  <c:v>31.341598233676027</c:v>
                </c:pt>
                <c:pt idx="68">
                  <c:v>32.309738101783843</c:v>
                </c:pt>
                <c:pt idx="69">
                  <c:v>33.292542640954963</c:v>
                </c:pt>
                <c:pt idx="70">
                  <c:v>34.290000949168885</c:v>
                </c:pt>
                <c:pt idx="71">
                  <c:v>35.302101902174655</c:v>
                </c:pt>
                <c:pt idx="72">
                  <c:v>36.328834153594464</c:v>
                </c:pt>
                <c:pt idx="73">
                  <c:v>37.37018613505127</c:v>
                </c:pt>
                <c:pt idx="74">
                  <c:v>38.426146056319936</c:v>
                </c:pt>
                <c:pt idx="75">
                  <c:v>39.496701905501517</c:v>
                </c:pt>
                <c:pt idx="76">
                  <c:v>40.581841449220242</c:v>
                </c:pt>
                <c:pt idx="77">
                  <c:v>41.681552232842776</c:v>
                </c:pt>
                <c:pt idx="78">
                  <c:v>42.795821580719455</c:v>
                </c:pt>
                <c:pt idx="79">
                  <c:v>43.924636596447108</c:v>
                </c:pt>
                <c:pt idx="80">
                  <c:v>45.067984163153127</c:v>
                </c:pt>
                <c:pt idx="81">
                  <c:v>46.225845781003116</c:v>
                </c:pt>
                <c:pt idx="82">
                  <c:v>47.398192394880965</c:v>
                </c:pt>
                <c:pt idx="83">
                  <c:v>48.584989546199502</c:v>
                </c:pt>
                <c:pt idx="84">
                  <c:v>49.786202535078019</c:v>
                </c:pt>
                <c:pt idx="85">
                  <c:v>51.001796421726347</c:v>
                </c:pt>
                <c:pt idx="86">
                  <c:v>52.231736027850438</c:v>
                </c:pt>
                <c:pt idx="87">
                  <c:v>53.475985938079134</c:v>
                </c:pt>
                <c:pt idx="88">
                  <c:v>54.734510501411499</c:v>
                </c:pt>
                <c:pt idx="89">
                  <c:v>56.007273832684433</c:v>
                </c:pt>
                <c:pt idx="90">
                  <c:v>57.294239814060028</c:v>
                </c:pt>
                <c:pt idx="91">
                  <c:v>58.595369812979577</c:v>
                </c:pt>
                <c:pt idx="92">
                  <c:v>59.91062039623214</c:v>
                </c:pt>
                <c:pt idx="93">
                  <c:v>61.239945610924721</c:v>
                </c:pt>
                <c:pt idx="94">
                  <c:v>62.583299269615928</c:v>
                </c:pt>
                <c:pt idx="95">
                  <c:v>63.940634952377707</c:v>
                </c:pt>
                <c:pt idx="96">
                  <c:v>65.311906008874132</c:v>
                </c:pt>
                <c:pt idx="97">
                  <c:v>66.697065560456693</c:v>
                </c:pt>
                <c:pt idx="98">
                  <c:v>68.09606650227559</c:v>
                </c:pt>
                <c:pt idx="99">
                  <c:v>69.508861505406713</c:v>
                </c:pt>
                <c:pt idx="100">
                  <c:v>70.935403018993668</c:v>
                </c:pt>
                <c:pt idx="101">
                  <c:v>72.375642906752802</c:v>
                </c:pt>
                <c:pt idx="102">
                  <c:v>73.829532082945136</c:v>
                </c:pt>
                <c:pt idx="103">
                  <c:v>75.297020879700085</c:v>
                </c:pt>
                <c:pt idx="104">
                  <c:v>76.778059414939221</c:v>
                </c:pt>
                <c:pt idx="105">
                  <c:v>78.272597594666067</c:v>
                </c:pt>
                <c:pt idx="106">
                  <c:v>79.78058511526811</c:v>
                </c:pt>
                <c:pt idx="107">
                  <c:v>81.301971465830761</c:v>
                </c:pt>
                <c:pt idx="108">
                  <c:v>82.836705930462742</c:v>
                </c:pt>
                <c:pt idx="109">
                  <c:v>84.38473759063244</c:v>
                </c:pt>
                <c:pt idx="110">
                  <c:v>85.946015327514885</c:v>
                </c:pt>
                <c:pt idx="111">
                  <c:v>87.520492038896634</c:v>
                </c:pt>
                <c:pt idx="112">
                  <c:v>89.108128861514231</c:v>
                </c:pt>
                <c:pt idx="113">
                  <c:v>90.70889096313816</c:v>
                </c:pt>
                <c:pt idx="114">
                  <c:v>92.322743328813104</c:v>
                </c:pt>
                <c:pt idx="115">
                  <c:v>93.949650762395379</c:v>
                </c:pt>
                <c:pt idx="116">
                  <c:v>95.589577888100933</c:v>
                </c:pt>
                <c:pt idx="117">
                  <c:v>97.242489152063683</c:v>
                </c:pt>
                <c:pt idx="118">
                  <c:v>98.90834882390395</c:v>
                </c:pt>
                <c:pt idx="119">
                  <c:v>100.58712099830679</c:v>
                </c:pt>
                <c:pt idx="120">
                  <c:v>102.27876959660983</c:v>
                </c:pt>
                <c:pt idx="121">
                  <c:v>103.98325137047534</c:v>
                </c:pt>
                <c:pt idx="122">
                  <c:v>105.70050889783788</c:v>
                </c:pt>
                <c:pt idx="123">
                  <c:v>107.43047757786435</c:v>
                </c:pt>
                <c:pt idx="124">
                  <c:v>109.17309263438378</c:v>
                </c:pt>
                <c:pt idx="125">
                  <c:v>110.92828911897151</c:v>
                </c:pt>
                <c:pt idx="126">
                  <c:v>112.69600191403535</c:v>
                </c:pt>
                <c:pt idx="127">
                  <c:v>114.47616573590291</c:v>
                </c:pt>
                <c:pt idx="128">
                  <c:v>116.26871513790975</c:v>
                </c:pt>
                <c:pt idx="129">
                  <c:v>118.0735845134879</c:v>
                </c:pt>
                <c:pt idx="130">
                  <c:v>119.89070809925417</c:v>
                </c:pt>
                <c:pt idx="131">
                  <c:v>121.72001814405567</c:v>
                </c:pt>
                <c:pt idx="132">
                  <c:v>123.56144307643059</c:v>
                </c:pt>
                <c:pt idx="133">
                  <c:v>125.4149093413541</c:v>
                </c:pt>
                <c:pt idx="134">
                  <c:v>127.2803432387699</c:v>
                </c:pt>
                <c:pt idx="135">
                  <c:v>129.15767092707736</c:v>
                </c:pt>
                <c:pt idx="136">
                  <c:v>131.04681842661299</c:v>
                </c:pt>
                <c:pt idx="137">
                  <c:v>132.9477116231256</c:v>
                </c:pt>
                <c:pt idx="138">
                  <c:v>134.86027627124477</c:v>
                </c:pt>
                <c:pt idx="139">
                  <c:v>136.78443799794198</c:v>
                </c:pt>
                <c:pt idx="140">
                  <c:v>138.72012230598406</c:v>
                </c:pt>
                <c:pt idx="141">
                  <c:v>140.66723262541166</c:v>
                </c:pt>
                <c:pt idx="142">
                  <c:v>142.62562835189746</c:v>
                </c:pt>
                <c:pt idx="143">
                  <c:v>144.5951468083743</c:v>
                </c:pt>
                <c:pt idx="144">
                  <c:v>146.57562522272684</c:v>
                </c:pt>
                <c:pt idx="145">
                  <c:v>148.56690073709092</c:v>
                </c:pt>
                <c:pt idx="146">
                  <c:v>150.56881041707678</c:v>
                </c:pt>
                <c:pt idx="147">
                  <c:v>152.58119126091498</c:v>
                </c:pt>
                <c:pt idx="148">
                  <c:v>154.60388020852344</c:v>
                </c:pt>
                <c:pt idx="149">
                  <c:v>156.63671415049427</c:v>
                </c:pt>
                <c:pt idx="150">
                  <c:v>158.67952993699893</c:v>
                </c:pt>
                <c:pt idx="151">
                  <c:v>160.73216438661049</c:v>
                </c:pt>
                <c:pt idx="152">
                  <c:v>162.7944542950417</c:v>
                </c:pt>
                <c:pt idx="153">
                  <c:v>164.86623644379753</c:v>
                </c:pt>
                <c:pt idx="154">
                  <c:v>166.94734760874121</c:v>
                </c:pt>
                <c:pt idx="155">
                  <c:v>169.03762456857237</c:v>
                </c:pt>
                <c:pt idx="156">
                  <c:v>171.1368000095683</c:v>
                </c:pt>
                <c:pt idx="157">
                  <c:v>173.24439844360776</c:v>
                </c:pt>
                <c:pt idx="158">
                  <c:v>175.35984048309888</c:v>
                </c:pt>
                <c:pt idx="159">
                  <c:v>177.48254713009186</c:v>
                </c:pt>
                <c:pt idx="160">
                  <c:v>179.61193983905341</c:v>
                </c:pt>
                <c:pt idx="161">
                  <c:v>181.74730818534178</c:v>
                </c:pt>
                <c:pt idx="162">
                  <c:v>183.88767765804249</c:v>
                </c:pt>
                <c:pt idx="163">
                  <c:v>186.03195513165974</c:v>
                </c:pt>
                <c:pt idx="164">
                  <c:v>188.17907426060148</c:v>
                </c:pt>
                <c:pt idx="165">
                  <c:v>190.32810948210573</c:v>
                </c:pt>
                <c:pt idx="166">
                  <c:v>192.47838979734101</c:v>
                </c:pt>
                <c:pt idx="167">
                  <c:v>194.62927575410876</c:v>
                </c:pt>
                <c:pt idx="168">
                  <c:v>196.78000636097377</c:v>
                </c:pt>
                <c:pt idx="169">
                  <c:v>198.92959697059555</c:v>
                </c:pt>
                <c:pt idx="170">
                  <c:v>201.07680706074902</c:v>
                </c:pt>
                <c:pt idx="171">
                  <c:v>203.22076967694338</c:v>
                </c:pt>
                <c:pt idx="172">
                  <c:v>205.36127142489883</c:v>
                </c:pt>
                <c:pt idx="173">
                  <c:v>207.49832078974819</c:v>
                </c:pt>
                <c:pt idx="174">
                  <c:v>209.6319262199504</c:v>
                </c:pt>
                <c:pt idx="175">
                  <c:v>211.76209612750134</c:v>
                </c:pt>
                <c:pt idx="176">
                  <c:v>213.88883888814323</c:v>
                </c:pt>
                <c:pt idx="177">
                  <c:v>216.01216284157246</c:v>
                </c:pt>
                <c:pt idx="178">
                  <c:v>218.13207629164594</c:v>
                </c:pt>
                <c:pt idx="179">
                  <c:v>220.24858750658589</c:v>
                </c:pt>
                <c:pt idx="180">
                  <c:v>222.36170471918322</c:v>
                </c:pt>
                <c:pt idx="181">
                  <c:v>224.47143612699946</c:v>
                </c:pt>
                <c:pt idx="182">
                  <c:v>226.57778989256724</c:v>
                </c:pt>
                <c:pt idx="183">
                  <c:v>228.68077414358925</c:v>
                </c:pt>
                <c:pt idx="184">
                  <c:v>230.78039697313588</c:v>
                </c:pt>
                <c:pt idx="185">
                  <c:v>232.87666643984139</c:v>
                </c:pt>
                <c:pt idx="186">
                  <c:v>234.96959056809865</c:v>
                </c:pt>
                <c:pt idx="187">
                  <c:v>237.05917734825263</c:v>
                </c:pt>
                <c:pt idx="188">
                  <c:v>239.14543473679231</c:v>
                </c:pt>
                <c:pt idx="189">
                  <c:v>241.22837065654144</c:v>
                </c:pt>
                <c:pt idx="190">
                  <c:v>243.30799299684773</c:v>
                </c:pt>
                <c:pt idx="191">
                  <c:v>245.38430961377091</c:v>
                </c:pt>
                <c:pt idx="192">
                  <c:v>247.45732833026929</c:v>
                </c:pt>
                <c:pt idx="193">
                  <c:v>249.52705693638507</c:v>
                </c:pt>
                <c:pt idx="194">
                  <c:v>251.59350318942842</c:v>
                </c:pt>
                <c:pt idx="195">
                  <c:v>253.65667481416008</c:v>
                </c:pt>
                <c:pt idx="196">
                  <c:v>255.71657950297288</c:v>
                </c:pt>
                <c:pt idx="197">
                  <c:v>257.7732249160718</c:v>
                </c:pt>
                <c:pt idx="198">
                  <c:v>259.82661868165286</c:v>
                </c:pt>
                <c:pt idx="199">
                  <c:v>261.87676839608088</c:v>
                </c:pt>
                <c:pt idx="200">
                  <c:v>263.92368162406575</c:v>
                </c:pt>
                <c:pt idx="201">
                  <c:v>284.21539062170683</c:v>
                </c:pt>
                <c:pt idx="202">
                  <c:v>304.1882902910985</c:v>
                </c:pt>
                <c:pt idx="203">
                  <c:v>323.84964960680509</c:v>
                </c:pt>
                <c:pt idx="204">
                  <c:v>343.20644312949509</c:v>
                </c:pt>
                <c:pt idx="205">
                  <c:v>362.26536666916672</c:v>
                </c:pt>
                <c:pt idx="206">
                  <c:v>381.03285190816945</c:v>
                </c:pt>
                <c:pt idx="207">
                  <c:v>399.51508006624192</c:v>
                </c:pt>
                <c:pt idx="208">
                  <c:v>417.71799468226942</c:v>
                </c:pt>
                <c:pt idx="209">
                  <c:v>435.64731358072743</c:v>
                </c:pt>
                <c:pt idx="210">
                  <c:v>453.30854008472568</c:v>
                </c:pt>
                <c:pt idx="211">
                  <c:v>470.70697353212807</c:v>
                </c:pt>
                <c:pt idx="212">
                  <c:v>487.84771914632313</c:v>
                </c:pt>
                <c:pt idx="213">
                  <c:v>504.73569730880297</c:v>
                </c:pt>
                <c:pt idx="214">
                  <c:v>521.3756522767186</c:v>
                </c:pt>
                <c:pt idx="215">
                  <c:v>537.77216038497249</c:v>
                </c:pt>
                <c:pt idx="216">
                  <c:v>553.92963776914371</c:v>
                </c:pt>
                <c:pt idx="217">
                  <c:v>569.85234764258144</c:v>
                </c:pt>
                <c:pt idx="218">
                  <c:v>585.54440715831447</c:v>
                </c:pt>
                <c:pt idx="219">
                  <c:v>601.00979388398491</c:v>
                </c:pt>
                <c:pt idx="220">
                  <c:v>616.25235191579281</c:v>
                </c:pt>
                <c:pt idx="221">
                  <c:v>631.27579765541441</c:v>
                </c:pt>
                <c:pt idx="222">
                  <c:v>646.08372527201539</c:v>
                </c:pt>
                <c:pt idx="223">
                  <c:v>660.67961186979494</c:v>
                </c:pt>
                <c:pt idx="224">
                  <c:v>675.06682237995892</c:v>
                </c:pt>
                <c:pt idx="225">
                  <c:v>689.24861419461467</c:v>
                </c:pt>
                <c:pt idx="226">
                  <c:v>703.22814155879087</c:v>
                </c:pt>
                <c:pt idx="227">
                  <c:v>717.00845973560627</c:v>
                </c:pt>
                <c:pt idx="228">
                  <c:v>730.59252895852705</c:v>
                </c:pt>
                <c:pt idx="229">
                  <c:v>743.98321818366026</c:v>
                </c:pt>
                <c:pt idx="230">
                  <c:v>757.18330865411463</c:v>
                </c:pt>
                <c:pt idx="231">
                  <c:v>770.19549728762115</c:v>
                </c:pt>
                <c:pt idx="232">
                  <c:v>783.02239989783095</c:v>
                </c:pt>
                <c:pt idx="233">
                  <c:v>795.66655425899444</c:v>
                </c:pt>
                <c:pt idx="234">
                  <c:v>808.13042302306917</c:v>
                </c:pt>
                <c:pt idx="235">
                  <c:v>820.41639649769468</c:v>
                </c:pt>
                <c:pt idx="236">
                  <c:v>832.52679529291322</c:v>
                </c:pt>
                <c:pt idx="237">
                  <c:v>844.46387284399623</c:v>
                </c:pt>
                <c:pt idx="238">
                  <c:v>856.22981781725593</c:v>
                </c:pt>
                <c:pt idx="239">
                  <c:v>867.82675640527748</c:v>
                </c:pt>
                <c:pt idx="240">
                  <c:v>879.25675451759514</c:v>
                </c:pt>
                <c:pt idx="241">
                  <c:v>890.52181987245524</c:v>
                </c:pt>
                <c:pt idx="242">
                  <c:v>901.62390399495143</c:v>
                </c:pt>
                <c:pt idx="243">
                  <c:v>912.56490412649282</c:v>
                </c:pt>
                <c:pt idx="244">
                  <c:v>923.34666505025473</c:v>
                </c:pt>
                <c:pt idx="245">
                  <c:v>933.9709808369829</c:v>
                </c:pt>
                <c:pt idx="246">
                  <c:v>944.43959651525188</c:v>
                </c:pt>
                <c:pt idx="247">
                  <c:v>954.75420967003652</c:v>
                </c:pt>
                <c:pt idx="248">
                  <c:v>964.91647197322243</c:v>
                </c:pt>
                <c:pt idx="249">
                  <c:v>974.92799064946917</c:v>
                </c:pt>
                <c:pt idx="250">
                  <c:v>984.79032988063966</c:v>
                </c:pt>
                <c:pt idx="251">
                  <c:v>994.50501215182237</c:v>
                </c:pt>
                <c:pt idx="252">
                  <c:v>1004.0735195417992</c:v>
                </c:pt>
                <c:pt idx="253">
                  <c:v>1013.4972949606496</c:v>
                </c:pt>
                <c:pt idx="254">
                  <c:v>1022.7777433370275</c:v>
                </c:pt>
                <c:pt idx="255">
                  <c:v>1031.9162327575082</c:v>
                </c:pt>
                <c:pt idx="256">
                  <c:v>1040.9140955602661</c:v>
                </c:pt>
                <c:pt idx="257">
                  <c:v>1049.7726293852209</c:v>
                </c:pt>
                <c:pt idx="258">
                  <c:v>1058.4930981826724</c:v>
                </c:pt>
                <c:pt idx="259">
                  <c:v>1067.0767331823354</c:v>
                </c:pt>
                <c:pt idx="260">
                  <c:v>1075.5247338245815</c:v>
                </c:pt>
                <c:pt idx="261">
                  <c:v>1083.8382686555988</c:v>
                </c:pt>
                <c:pt idx="262">
                  <c:v>1092.0184761880914</c:v>
                </c:pt>
                <c:pt idx="263">
                  <c:v>1100.0664657290524</c:v>
                </c:pt>
                <c:pt idx="264">
                  <c:v>1107.9833181760675</c:v>
                </c:pt>
                <c:pt idx="265">
                  <c:v>1115.7700867835276</c:v>
                </c:pt>
                <c:pt idx="266">
                  <c:v>1123.4277979000617</c:v>
                </c:pt>
                <c:pt idx="267">
                  <c:v>1130.9574516784323</c:v>
                </c:pt>
                <c:pt idx="268">
                  <c:v>1138.3600227590732</c:v>
                </c:pt>
                <c:pt idx="269">
                  <c:v>1145.6364609283928</c:v>
                </c:pt>
                <c:pt idx="270">
                  <c:v>1152.7876917529068</c:v>
                </c:pt>
                <c:pt idx="271">
                  <c:v>1159.8146171902167</c:v>
                </c:pt>
                <c:pt idx="272">
                  <c:v>1166.718116177798</c:v>
                </c:pt>
                <c:pt idx="273">
                  <c:v>1173.4990452005156</c:v>
                </c:pt>
                <c:pt idx="274">
                  <c:v>1180.1582388377426</c:v>
                </c:pt>
                <c:pt idx="275">
                  <c:v>1186.6965102909173</c:v>
                </c:pt>
                <c:pt idx="276">
                  <c:v>1193.1146518923319</c:v>
                </c:pt>
                <c:pt idx="277">
                  <c:v>1199.4134355959143</c:v>
                </c:pt>
                <c:pt idx="278">
                  <c:v>1205.5936134507258</c:v>
                </c:pt>
                <c:pt idx="279">
                  <c:v>1211.6559180578704</c:v>
                </c:pt>
                <c:pt idx="280">
                  <c:v>1217.601063011477</c:v>
                </c:pt>
                <c:pt idx="281">
                  <c:v>1223.4297433243896</c:v>
                </c:pt>
                <c:pt idx="282">
                  <c:v>1229.1426358391752</c:v>
                </c:pt>
                <c:pt idx="283">
                  <c:v>1234.7403996250321</c:v>
                </c:pt>
                <c:pt idx="284">
                  <c:v>1240.2236763611609</c:v>
                </c:pt>
                <c:pt idx="285">
                  <c:v>1245.5930907071372</c:v>
                </c:pt>
                <c:pt idx="286">
                  <c:v>1250.8492506608072</c:v>
                </c:pt>
                <c:pt idx="287">
                  <c:v>1255.992747904208</c:v>
                </c:pt>
                <c:pt idx="288">
                  <c:v>1261.0241581379994</c:v>
                </c:pt>
                <c:pt idx="289">
                  <c:v>1265.9440414048775</c:v>
                </c:pt>
                <c:pt idx="290">
                  <c:v>1270.7529424024294</c:v>
                </c:pt>
                <c:pt idx="291">
                  <c:v>1275.451390785875</c:v>
                </c:pt>
                <c:pt idx="292">
                  <c:v>1280.0399014611323</c:v>
                </c:pt>
                <c:pt idx="293">
                  <c:v>1284.5189748686355</c:v>
                </c:pt>
                <c:pt idx="294">
                  <c:v>1288.8890972583281</c:v>
                </c:pt>
                <c:pt idx="295">
                  <c:v>1293.1507409562491</c:v>
                </c:pt>
                <c:pt idx="296">
                  <c:v>1297.3043646231281</c:v>
                </c:pt>
                <c:pt idx="297">
                  <c:v>1301.3504135054029</c:v>
                </c:pt>
                <c:pt idx="298">
                  <c:v>1305.2893196790806</c:v>
                </c:pt>
                <c:pt idx="299">
                  <c:v>1309.1215022868603</c:v>
                </c:pt>
                <c:pt idx="300">
                  <c:v>1312.8473677689501</c:v>
                </c:pt>
                <c:pt idx="301">
                  <c:v>1316.4673100880159</c:v>
                </c:pt>
                <c:pt idx="302">
                  <c:v>1319.9817109487149</c:v>
                </c:pt>
                <c:pt idx="303">
                  <c:v>1323.3909400122852</c:v>
                </c:pt>
                <c:pt idx="304">
                  <c:v>1326.6953551066824</c:v>
                </c:pt>
                <c:pt idx="305">
                  <c:v>1329.8953024327764</c:v>
                </c:pt>
                <c:pt idx="306">
                  <c:v>1332.9911167671578</c:v>
                </c:pt>
                <c:pt idx="307">
                  <c:v>1335.9831216621326</c:v>
                </c:pt>
                <c:pt idx="308">
                  <c:v>1338.871629643525</c:v>
                </c:pt>
                <c:pt idx="309">
                  <c:v>1341.6569424069583</c:v>
                </c:pt>
                <c:pt idx="310">
                  <c:v>1344.3393510133296</c:v>
                </c:pt>
                <c:pt idx="311">
                  <c:v>1346.9191360842628</c:v>
                </c:pt>
                <c:pt idx="312">
                  <c:v>1349.3965679983787</c:v>
                </c:pt>
                <c:pt idx="313">
                  <c:v>1351.7719070893074</c:v>
                </c:pt>
                <c:pt idx="314">
                  <c:v>1354.0454038464384</c:v>
                </c:pt>
                <c:pt idx="315">
                  <c:v>1356.2172991194973</c:v>
                </c:pt>
                <c:pt idx="316">
                  <c:v>1358.287824328128</c:v>
                </c:pt>
                <c:pt idx="317">
                  <c:v>1360.2572016777599</c:v>
                </c:pt>
                <c:pt idx="318">
                  <c:v>1362.1256443831371</c:v>
                </c:pt>
                <c:pt idx="319">
                  <c:v>1363.8933569009889</c:v>
                </c:pt>
                <c:pt idx="320">
                  <c:v>1365.5605351734173</c:v>
                </c:pt>
                <c:pt idx="321">
                  <c:v>1367.127366883662</c:v>
                </c:pt>
                <c:pt idx="322">
                  <c:v>1368.594031725976</c:v>
                </c:pt>
                <c:pt idx="323">
                  <c:v>1369.9607016913917</c:v>
                </c:pt>
                <c:pt idx="324">
                  <c:v>1371.2275413711684</c:v>
                </c:pt>
                <c:pt idx="325">
                  <c:v>1372.3947082796856</c:v>
                </c:pt>
                <c:pt idx="326">
                  <c:v>1373.462353198453</c:v>
                </c:pt>
                <c:pt idx="327">
                  <c:v>1374.4306205427579</c:v>
                </c:pt>
                <c:pt idx="328">
                  <c:v>1375.2996487522273</c:v>
                </c:pt>
                <c:pt idx="329">
                  <c:v>1376.0695707062632</c:v>
                </c:pt>
                <c:pt idx="330">
                  <c:v>1376.740514164881</c:v>
                </c:pt>
                <c:pt idx="331">
                  <c:v>1377.3126022349647</c:v>
                </c:pt>
                <c:pt idx="332">
                  <c:v>1377.7859538613468</c:v>
                </c:pt>
                <c:pt idx="333">
                  <c:v>1378.160684341434</c:v>
                </c:pt>
                <c:pt idx="334">
                  <c:v>1378.4369058613709</c:v>
                </c:pt>
                <c:pt idx="335">
                  <c:v>1378.6147280509867</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5-432A-49A9-9499-7ED3E32DDB07}"/>
            </c:ext>
          </c:extLst>
        </c:ser>
        <c:ser>
          <c:idx val="6"/>
          <c:order val="5"/>
          <c:tx>
            <c:strRef>
              <c:f>Trajecto!$B$107</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Trajecto!$D$158</c:f>
              <c:numCache>
                <c:formatCode>0</c:formatCode>
                <c:ptCount val="1"/>
                <c:pt idx="0">
                  <c:v>108.72893787023058</c:v>
                </c:pt>
              </c:numCache>
            </c:numRef>
          </c:xVal>
          <c:yVal>
            <c:numRef>
              <c:f>Trajecto!$C$158</c:f>
              <c:numCache>
                <c:formatCode>0</c:formatCode>
                <c:ptCount val="1"/>
                <c:pt idx="0">
                  <c:v>689.3471292770231</c:v>
                </c:pt>
              </c:numCache>
            </c:numRef>
          </c:yVal>
          <c:smooth val="0"/>
          <c:extLst>
            <c:ext xmlns:c16="http://schemas.microsoft.com/office/drawing/2014/chart" uri="{C3380CC4-5D6E-409C-BE32-E72D297353CC}">
              <c16:uniqueId val="{00000006-432A-49A9-9499-7ED3E32DDB07}"/>
            </c:ext>
          </c:extLst>
        </c:ser>
        <c:ser>
          <c:idx val="7"/>
          <c:order val="6"/>
          <c:tx>
            <c:strRef>
              <c:f>Trajecto!$B$108</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Trajecto!$D$159</c:f>
              <c:numCache>
                <c:formatCode>0</c:formatCode>
                <c:ptCount val="1"/>
                <c:pt idx="0">
                  <c:v>658.65789542809262</c:v>
                </c:pt>
              </c:numCache>
            </c:numRef>
          </c:xVal>
          <c:yVal>
            <c:numRef>
              <c:f>Trajecto!$C$159</c:f>
              <c:numCache>
                <c:formatCode>0</c:formatCode>
                <c:ptCount val="1"/>
                <c:pt idx="0">
                  <c:v>689.3471292770231</c:v>
                </c:pt>
              </c:numCache>
            </c:numRef>
          </c:yVal>
          <c:smooth val="0"/>
          <c:extLst>
            <c:ext xmlns:c16="http://schemas.microsoft.com/office/drawing/2014/chart" uri="{C3380CC4-5D6E-409C-BE32-E72D297353CC}">
              <c16:uniqueId val="{00000007-432A-49A9-9499-7ED3E32DDB07}"/>
            </c:ext>
          </c:extLst>
        </c:ser>
        <c:ser>
          <c:idx val="8"/>
          <c:order val="7"/>
          <c:tx>
            <c:strRef>
              <c:f>Trajecto!$D$161</c:f>
              <c:strCache>
                <c:ptCount val="1"/>
                <c:pt idx="0">
                  <c:v>Arc de triomphe</c:v>
                </c:pt>
              </c:strCache>
            </c:strRef>
          </c:tx>
          <c:spPr>
            <a:ln>
              <a:solidFill>
                <a:srgbClr val="C0C0C0"/>
              </a:solidFill>
            </a:ln>
          </c:spPr>
          <c:marker>
            <c:symbol val="none"/>
          </c:marker>
          <c:dLbls>
            <c:dLbl>
              <c:idx val="8"/>
              <c:tx>
                <c:strRef>
                  <c:f>Trajecto!$D$161</c:f>
                  <c:strCache>
                    <c:ptCount val="1"/>
                    <c:pt idx="0">
                      <c:v>Arc de triomphe</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{79AC31E1-9965-4BB1-8494-6E4BAE555135}</c15:txfldGUID>
                      <c15:f>Trajecto!$D$161</c15:f>
                      <c15:dlblFieldTableCache>
                        <c:ptCount val="1"/>
                        <c:pt idx="0">
                          <c:v>Arc de triomphe</c:v>
                        </c:pt>
                      </c15:dlblFieldTableCache>
                    </c15:dlblFTEntry>
                  </c15:dlblFieldTable>
                  <c15:showDataLabelsRange val="0"/>
                </c:ext>
                <c:ext xmlns:c16="http://schemas.microsoft.com/office/drawing/2014/chart" uri="{C3380CC4-5D6E-409C-BE32-E72D297353CC}">
                  <c16:uniqueId val="{00000008-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Trajecto!$D$162:$D$177</c:f>
              <c:numCache>
                <c:formatCode>0</c:formatCode>
                <c:ptCount val="16"/>
                <c:pt idx="0">
                  <c:v>434.91575148092232</c:v>
                </c:pt>
                <c:pt idx="1">
                  <c:v>457.91575148092232</c:v>
                </c:pt>
                <c:pt idx="2">
                  <c:v>457.91575148092232</c:v>
                </c:pt>
                <c:pt idx="3">
                  <c:v>434.91575148092232</c:v>
                </c:pt>
                <c:pt idx="4">
                  <c:v>457.91575148092232</c:v>
                </c:pt>
                <c:pt idx="5">
                  <c:v>457.91575148092232</c:v>
                </c:pt>
                <c:pt idx="6">
                  <c:v>442.91575148092232</c:v>
                </c:pt>
                <c:pt idx="7">
                  <c:v>442.91575148092232</c:v>
                </c:pt>
                <c:pt idx="8">
                  <c:v>457.91575148092232</c:v>
                </c:pt>
                <c:pt idx="9">
                  <c:v>442.91575148092232</c:v>
                </c:pt>
                <c:pt idx="10">
                  <c:v>442.51575148092235</c:v>
                </c:pt>
                <c:pt idx="11">
                  <c:v>441.71575148092234</c:v>
                </c:pt>
                <c:pt idx="12">
                  <c:v>440.91575148092232</c:v>
                </c:pt>
                <c:pt idx="13">
                  <c:v>439.91575148092232</c:v>
                </c:pt>
                <c:pt idx="14">
                  <c:v>438.71575148092234</c:v>
                </c:pt>
                <c:pt idx="15">
                  <c:v>434.91575148092232</c:v>
                </c:pt>
              </c:numCache>
            </c:numRef>
          </c:xVal>
          <c:yVal>
            <c:numRef>
              <c:f>Trajecto!$B$162:$B$177</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yVal>
          <c:smooth val="0"/>
          <c:extLst>
            <c:ext xmlns:c16="http://schemas.microsoft.com/office/drawing/2014/chart" uri="{C3380CC4-5D6E-409C-BE32-E72D297353CC}">
              <c16:uniqueId val="{00000009-432A-49A9-9499-7ED3E32DDB07}"/>
            </c:ext>
          </c:extLst>
        </c:ser>
        <c:ser>
          <c:idx val="9"/>
          <c:order val="8"/>
          <c:tx>
            <c:strRef>
              <c:f>Trajecto!$F$162</c:f>
              <c:strCache>
                <c:ptCount val="1"/>
                <c:pt idx="0">
                  <c:v>Arc de triomphe</c:v>
                </c:pt>
              </c:strCache>
            </c:strRef>
          </c:tx>
          <c:spPr>
            <a:ln>
              <a:solidFill>
                <a:srgbClr val="C0C0C0"/>
              </a:solidFill>
            </a:ln>
          </c:spPr>
          <c:marker>
            <c:symbol val="none"/>
          </c:marker>
          <c:xVal>
            <c:numRef>
              <c:f>Trajecto!$F$163:$F$178</c:f>
              <c:numCache>
                <c:formatCode>0</c:formatCode>
                <c:ptCount val="16"/>
                <c:pt idx="0">
                  <c:v>434.91575148092232</c:v>
                </c:pt>
                <c:pt idx="1">
                  <c:v>411.91575148092232</c:v>
                </c:pt>
                <c:pt idx="2">
                  <c:v>411.91575148092232</c:v>
                </c:pt>
                <c:pt idx="3">
                  <c:v>434.91575148092232</c:v>
                </c:pt>
                <c:pt idx="4">
                  <c:v>411.91575148092232</c:v>
                </c:pt>
                <c:pt idx="5">
                  <c:v>411.91575148092232</c:v>
                </c:pt>
                <c:pt idx="6">
                  <c:v>426.91575148092232</c:v>
                </c:pt>
                <c:pt idx="7">
                  <c:v>426.91575148092232</c:v>
                </c:pt>
                <c:pt idx="8">
                  <c:v>411.91575148092232</c:v>
                </c:pt>
                <c:pt idx="9">
                  <c:v>426.91575148092232</c:v>
                </c:pt>
                <c:pt idx="10">
                  <c:v>427.3157514809223</c:v>
                </c:pt>
                <c:pt idx="11">
                  <c:v>428.11575148092231</c:v>
                </c:pt>
                <c:pt idx="12">
                  <c:v>428.91575148092232</c:v>
                </c:pt>
                <c:pt idx="13">
                  <c:v>429.91575148092232</c:v>
                </c:pt>
                <c:pt idx="14">
                  <c:v>431.11575148092231</c:v>
                </c:pt>
                <c:pt idx="15">
                  <c:v>434.91575148092232</c:v>
                </c:pt>
              </c:numCache>
            </c:numRef>
          </c:xVal>
          <c:yVal>
            <c:numRef>
              <c:f>Trajecto!$B$162:$B$177</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yVal>
          <c:smooth val="0"/>
          <c:extLst>
            <c:ext xmlns:c16="http://schemas.microsoft.com/office/drawing/2014/chart" uri="{C3380CC4-5D6E-409C-BE32-E72D297353CC}">
              <c16:uniqueId val="{0000000A-432A-49A9-9499-7ED3E32DDB07}"/>
            </c:ext>
          </c:extLst>
        </c:ser>
        <c:ser>
          <c:idx val="10"/>
          <c:order val="9"/>
          <c:tx>
            <c:strRef>
              <c:f>Trajecto!$D$179</c:f>
              <c:strCache>
                <c:ptCount val="1"/>
                <c:pt idx="0">
                  <c:v>Tour Eiffel</c:v>
                </c:pt>
              </c:strCache>
            </c:strRef>
          </c:tx>
          <c:spPr>
            <a:ln>
              <a:solidFill>
                <a:srgbClr val="C0C0C0"/>
              </a:solidFill>
            </a:ln>
          </c:spPr>
          <c:marker>
            <c:symbol val="none"/>
          </c:marker>
          <c:dLbls>
            <c:dLbl>
              <c:idx val="6"/>
              <c:tx>
                <c:strRef>
                  <c:f>Trajecto!$D$179</c:f>
                  <c:strCache>
                    <c:ptCount val="1"/>
                    <c:pt idx="0">
                      <c:v>Tour Eiffel</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{C003167A-E1BB-4951-9C46-F45F701F5CE7}</c15:txfldGUID>
                      <c15:f>Trajecto!$D$179</c15:f>
                      <c15:dlblFieldTableCache>
                        <c:ptCount val="1"/>
                        <c:pt idx="0">
                          <c:v>Tour Eiffel</c:v>
                        </c:pt>
                      </c15:dlblFieldTableCache>
                    </c15:dlblFTEntry>
                  </c15:dlblFieldTable>
                  <c15:showDataLabelsRange val="0"/>
                </c:ext>
                <c:ext xmlns:c16="http://schemas.microsoft.com/office/drawing/2014/chart" uri="{C3380CC4-5D6E-409C-BE32-E72D297353CC}">
                  <c16:uniqueId val="{0000000B-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Trajecto!$D$180:$D$196</c:f>
              <c:numCache>
                <c:formatCode>0</c:formatCode>
                <c:ptCount val="17"/>
                <c:pt idx="0">
                  <c:v>434.91575148092232</c:v>
                </c:pt>
                <c:pt idx="1">
                  <c:v>434.91575148092232</c:v>
                </c:pt>
                <c:pt idx="2">
                  <c:v>444.91575148092232</c:v>
                </c:pt>
                <c:pt idx="3">
                  <c:v>434.91575148092232</c:v>
                </c:pt>
                <c:pt idx="4">
                  <c:v>444.91575148092232</c:v>
                </c:pt>
                <c:pt idx="5">
                  <c:v>447.91575148092232</c:v>
                </c:pt>
                <c:pt idx="6">
                  <c:v>451.91575148092232</c:v>
                </c:pt>
                <c:pt idx="7">
                  <c:v>454.91575148092232</c:v>
                </c:pt>
                <c:pt idx="8">
                  <c:v>459.91575148092232</c:v>
                </c:pt>
                <c:pt idx="9">
                  <c:v>464.91575148092232</c:v>
                </c:pt>
                <c:pt idx="10">
                  <c:v>470.91575148092232</c:v>
                </c:pt>
                <c:pt idx="11">
                  <c:v>482.91575148092232</c:v>
                </c:pt>
                <c:pt idx="12">
                  <c:v>496.91575148092232</c:v>
                </c:pt>
                <c:pt idx="13">
                  <c:v>471.91575148092232</c:v>
                </c:pt>
                <c:pt idx="14">
                  <c:v>464.91575148092232</c:v>
                </c:pt>
                <c:pt idx="15">
                  <c:v>449.91575148092232</c:v>
                </c:pt>
                <c:pt idx="16">
                  <c:v>434.91575148092232</c:v>
                </c:pt>
              </c:numCache>
            </c:numRef>
          </c:xVal>
          <c:yVal>
            <c:numRef>
              <c:f>Trajecto!$B$180:$B$196</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0"/>
          <c:extLst>
            <c:ext xmlns:c16="http://schemas.microsoft.com/office/drawing/2014/chart" uri="{C3380CC4-5D6E-409C-BE32-E72D297353CC}">
              <c16:uniqueId val="{0000000C-432A-49A9-9499-7ED3E32DDB07}"/>
            </c:ext>
          </c:extLst>
        </c:ser>
        <c:ser>
          <c:idx val="11"/>
          <c:order val="10"/>
          <c:tx>
            <c:strRef>
              <c:f>Trajecto!$F$180</c:f>
              <c:strCache>
                <c:ptCount val="1"/>
                <c:pt idx="0">
                  <c:v>Tour Eiffel</c:v>
                </c:pt>
              </c:strCache>
            </c:strRef>
          </c:tx>
          <c:spPr>
            <a:ln>
              <a:solidFill>
                <a:srgbClr val="C0C0C0"/>
              </a:solidFill>
            </a:ln>
          </c:spPr>
          <c:marker>
            <c:symbol val="none"/>
          </c:marker>
          <c:xVal>
            <c:numRef>
              <c:f>Trajecto!$F$181:$F$197</c:f>
              <c:numCache>
                <c:formatCode>0</c:formatCode>
                <c:ptCount val="17"/>
                <c:pt idx="0">
                  <c:v>434.91575148092232</c:v>
                </c:pt>
                <c:pt idx="1">
                  <c:v>434.91575148092232</c:v>
                </c:pt>
                <c:pt idx="2">
                  <c:v>424.91575148092232</c:v>
                </c:pt>
                <c:pt idx="3">
                  <c:v>434.91575148092232</c:v>
                </c:pt>
                <c:pt idx="4">
                  <c:v>424.91575148092232</c:v>
                </c:pt>
                <c:pt idx="5">
                  <c:v>421.91575148092232</c:v>
                </c:pt>
                <c:pt idx="6">
                  <c:v>417.91575148092232</c:v>
                </c:pt>
                <c:pt idx="7">
                  <c:v>414.91575148092232</c:v>
                </c:pt>
                <c:pt idx="8">
                  <c:v>409.91575148092232</c:v>
                </c:pt>
                <c:pt idx="9">
                  <c:v>404.91575148092232</c:v>
                </c:pt>
                <c:pt idx="10">
                  <c:v>398.91575148092232</c:v>
                </c:pt>
                <c:pt idx="11">
                  <c:v>386.91575148092232</c:v>
                </c:pt>
                <c:pt idx="12">
                  <c:v>372.91575148092232</c:v>
                </c:pt>
                <c:pt idx="13">
                  <c:v>397.91575148092232</c:v>
                </c:pt>
                <c:pt idx="14">
                  <c:v>404.91575148092232</c:v>
                </c:pt>
                <c:pt idx="15">
                  <c:v>419.91575148092232</c:v>
                </c:pt>
                <c:pt idx="16">
                  <c:v>434.91575148092232</c:v>
                </c:pt>
              </c:numCache>
            </c:numRef>
          </c:xVal>
          <c:yVal>
            <c:numRef>
              <c:f>Trajecto!$B$180:$B$196</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0"/>
          <c:extLst>
            <c:ext xmlns:c16="http://schemas.microsoft.com/office/drawing/2014/chart" uri="{C3380CC4-5D6E-409C-BE32-E72D297353CC}">
              <c16:uniqueId val="{0000000D-432A-49A9-9499-7ED3E32DDB07}"/>
            </c:ext>
          </c:extLst>
        </c:ser>
        <c:ser>
          <c:idx val="12"/>
          <c:order val="11"/>
          <c:tx>
            <c:strRef>
              <c:f>Trajecto!$D$179</c:f>
              <c:strCache>
                <c:ptCount val="1"/>
                <c:pt idx="0">
                  <c:v>Tour Eiffel</c:v>
                </c:pt>
              </c:strCache>
            </c:strRef>
          </c:tx>
          <c:spPr>
            <a:ln>
              <a:solidFill>
                <a:srgbClr val="C0C0C0"/>
              </a:solidFill>
            </a:ln>
          </c:spPr>
          <c:marker>
            <c:symbol val="none"/>
          </c:marker>
          <c:xVal>
            <c:numRef>
              <c:f>Trajecto!$D$197:$D$200</c:f>
              <c:numCache>
                <c:formatCode>0</c:formatCode>
                <c:ptCount val="4"/>
                <c:pt idx="0">
                  <c:v>434.91575148092232</c:v>
                </c:pt>
                <c:pt idx="1">
                  <c:v>451.91575148092232</c:v>
                </c:pt>
                <c:pt idx="2">
                  <c:v>445.91575148092232</c:v>
                </c:pt>
                <c:pt idx="3">
                  <c:v>434.91575148092232</c:v>
                </c:pt>
              </c:numCache>
            </c:numRef>
          </c:xVal>
          <c:yVal>
            <c:numRef>
              <c:f>Trajecto!$B$197:$B$200</c:f>
              <c:numCache>
                <c:formatCode>General</c:formatCode>
                <c:ptCount val="4"/>
                <c:pt idx="0">
                  <c:v>67</c:v>
                </c:pt>
                <c:pt idx="1">
                  <c:v>67</c:v>
                </c:pt>
                <c:pt idx="2">
                  <c:v>100</c:v>
                </c:pt>
                <c:pt idx="3">
                  <c:v>100</c:v>
                </c:pt>
              </c:numCache>
            </c:numRef>
          </c:yVal>
          <c:smooth val="0"/>
          <c:extLst>
            <c:ext xmlns:c16="http://schemas.microsoft.com/office/drawing/2014/chart" uri="{C3380CC4-5D6E-409C-BE32-E72D297353CC}">
              <c16:uniqueId val="{0000000E-432A-49A9-9499-7ED3E32DDB07}"/>
            </c:ext>
          </c:extLst>
        </c:ser>
        <c:ser>
          <c:idx val="13"/>
          <c:order val="12"/>
          <c:tx>
            <c:strRef>
              <c:f>Trajecto!$F$180</c:f>
              <c:strCache>
                <c:ptCount val="1"/>
                <c:pt idx="0">
                  <c:v>Tour Eiffel</c:v>
                </c:pt>
              </c:strCache>
            </c:strRef>
          </c:tx>
          <c:spPr>
            <a:ln>
              <a:solidFill>
                <a:srgbClr val="C0C0C0"/>
              </a:solidFill>
            </a:ln>
          </c:spPr>
          <c:marker>
            <c:symbol val="none"/>
          </c:marker>
          <c:xVal>
            <c:numRef>
              <c:f>Trajecto!$F$198:$F$201</c:f>
              <c:numCache>
                <c:formatCode>0</c:formatCode>
                <c:ptCount val="4"/>
                <c:pt idx="0">
                  <c:v>434.91575148092232</c:v>
                </c:pt>
                <c:pt idx="1">
                  <c:v>417.91575148092232</c:v>
                </c:pt>
                <c:pt idx="2">
                  <c:v>423.91575148092232</c:v>
                </c:pt>
                <c:pt idx="3">
                  <c:v>434.91575148092232</c:v>
                </c:pt>
              </c:numCache>
            </c:numRef>
          </c:xVal>
          <c:yVal>
            <c:numRef>
              <c:f>Trajecto!$B$197:$B$200</c:f>
              <c:numCache>
                <c:formatCode>General</c:formatCode>
                <c:ptCount val="4"/>
                <c:pt idx="0">
                  <c:v>67</c:v>
                </c:pt>
                <c:pt idx="1">
                  <c:v>67</c:v>
                </c:pt>
                <c:pt idx="2">
                  <c:v>100</c:v>
                </c:pt>
                <c:pt idx="3">
                  <c:v>100</c:v>
                </c:pt>
              </c:numCache>
            </c:numRef>
          </c:yVal>
          <c:smooth val="0"/>
          <c:extLst>
            <c:ext xmlns:c16="http://schemas.microsoft.com/office/drawing/2014/chart" uri="{C3380CC4-5D6E-409C-BE32-E72D297353CC}">
              <c16:uniqueId val="{0000000F-432A-49A9-9499-7ED3E32DDB07}"/>
            </c:ext>
          </c:extLst>
        </c:ser>
        <c:ser>
          <c:idx val="3"/>
          <c:order val="13"/>
          <c:tx>
            <c:strRef>
              <c:f>Trajecto!$B$109</c:f>
              <c:strCache>
                <c:ptCount val="1"/>
                <c:pt idx="0">
                  <c:v>Fusée sous parachute</c:v>
                </c:pt>
              </c:strCache>
            </c:strRef>
          </c:tx>
          <c:spPr>
            <a:ln>
              <a:solidFill>
                <a:srgbClr val="008000"/>
              </a:solidFill>
            </a:ln>
          </c:spPr>
          <c:marker>
            <c:symbol val="none"/>
          </c:marker>
          <c:dLbls>
            <c:dLbl>
              <c:idx val="1"/>
              <c:tx>
                <c:strRef>
                  <c:f>Trajecto!$B$109</c:f>
                  <c:strCache>
                    <c:ptCount val="1"/>
                    <c:pt idx="0">
                      <c:v>Fusée sous parachute</c:v>
                    </c:pt>
                  </c:strCache>
                </c:strRef>
              </c:tx>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{D3605A93-43F3-4F88-AD27-1E0A7B732629}</c15:txfldGUID>
                      <c15:f>Trajecto!$B$109</c15:f>
                      <c15:dlblFieldTableCache>
                        <c:ptCount val="1"/>
                        <c:pt idx="0">
                          <c:v>Fusée sous parachute</c:v>
                        </c:pt>
                      </c15:dlblFieldTableCache>
                    </c15:dlblFTEntry>
                  </c15:dlblFieldTable>
                  <c15:showDataLabelsRange val="0"/>
                </c:ext>
                <c:ext xmlns:c16="http://schemas.microsoft.com/office/drawing/2014/chart" uri="{C3380CC4-5D6E-409C-BE32-E72D297353CC}">
                  <c16:uniqueId val="{00000010-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Trajecto!$B$124:$B$130</c:f>
              <c:numCache>
                <c:formatCode>0</c:formatCode>
                <c:ptCount val="7"/>
                <c:pt idx="0">
                  <c:v>434.91575148092232</c:v>
                </c:pt>
                <c:pt idx="1">
                  <c:v>434.91575148092232</c:v>
                </c:pt>
                <c:pt idx="2">
                  <c:v>434.91575148092232</c:v>
                </c:pt>
                <c:pt idx="3">
                  <c:v>469.38310794477349</c:v>
                </c:pt>
                <c:pt idx="4">
                  <c:v>434.91575148092232</c:v>
                </c:pt>
                <c:pt idx="5">
                  <c:v>400.44839501707116</c:v>
                </c:pt>
                <c:pt idx="6">
                  <c:v>434.91575148092232</c:v>
                </c:pt>
              </c:numCache>
            </c:numRef>
          </c:xVal>
          <c:yVal>
            <c:numRef>
              <c:f>Trajecto!$C$124:$C$130</c:f>
              <c:numCache>
                <c:formatCode>0</c:formatCode>
                <c:ptCount val="7"/>
                <c:pt idx="0">
                  <c:v>1378.6942585540462</c:v>
                </c:pt>
                <c:pt idx="1">
                  <c:v>689.3471292770231</c:v>
                </c:pt>
                <c:pt idx="2">
                  <c:v>0</c:v>
                </c:pt>
                <c:pt idx="3">
                  <c:v>68.934712927702307</c:v>
                </c:pt>
                <c:pt idx="4">
                  <c:v>0</c:v>
                </c:pt>
                <c:pt idx="5">
                  <c:v>68.934712927702307</c:v>
                </c:pt>
                <c:pt idx="6" formatCode="General">
                  <c:v>0</c:v>
                </c:pt>
              </c:numCache>
            </c:numRef>
          </c:yVal>
          <c:smooth val="0"/>
          <c:extLst>
            <c:ext xmlns:c16="http://schemas.microsoft.com/office/drawing/2014/chart" uri="{C3380CC4-5D6E-409C-BE32-E72D297353CC}">
              <c16:uniqueId val="{00000011-432A-49A9-9499-7ED3E32DDB07}"/>
            </c:ext>
          </c:extLst>
        </c:ser>
        <c:dLbls>
          <c:showLegendKey val="0"/>
          <c:showVal val="0"/>
          <c:showCatName val="0"/>
          <c:showSerName val="0"/>
          <c:showPercent val="0"/>
          <c:showBubbleSize val="0"/>
        </c:dLbls>
        <c:axId val="148241024"/>
        <c:axId val="149054208"/>
      </c:scatterChart>
      <c:valAx>
        <c:axId val="148241024"/>
        <c:scaling>
          <c:orientation val="minMax"/>
          <c:min val="0"/>
        </c:scaling>
        <c:delete val="0"/>
        <c:axPos val="b"/>
        <c:majorGridlines>
          <c:spPr>
            <a:ln w="3175">
              <a:solidFill>
                <a:srgbClr val="000000"/>
              </a:solidFill>
              <a:prstDash val="sysDash"/>
            </a:ln>
          </c:spPr>
        </c:majorGridlines>
        <c:title>
          <c:tx>
            <c:strRef>
              <c:f>Trajecto!$B$112</c:f>
              <c:strCache>
                <c:ptCount val="1"/>
                <c:pt idx="0">
                  <c:v>Portée x [m]</c:v>
                </c:pt>
              </c:strCache>
            </c:strRef>
          </c:tx>
          <c:layout>
            <c:manualLayout>
              <c:xMode val="edge"/>
              <c:yMode val="edge"/>
              <c:x val="0.56464627732344286"/>
              <c:y val="0.84829693458129063"/>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054208"/>
        <c:crosses val="autoZero"/>
        <c:crossBetween val="midCat"/>
      </c:valAx>
      <c:valAx>
        <c:axId val="149054208"/>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8.1818320007296413E-2"/>
              <c:y val="6.8111391736410315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241024"/>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paperSize="9" firstPageNumber="0"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Trajecto!$B$114</c:f>
          <c:strCache>
            <c:ptCount val="1"/>
            <c:pt idx="0">
              <c:v>Altitude z  /  Temps</c:v>
            </c:pt>
          </c:strCache>
        </c:strRef>
      </c:tx>
      <c:layout>
        <c:manualLayout>
          <c:xMode val="edge"/>
          <c:yMode val="edge"/>
          <c:x val="0.57666688909649"/>
          <c:y val="3.7151818286865097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7.6666916233451413E-2"/>
          <c:y val="3.5608360198500402E-2"/>
          <c:w val="0.89333624132890843"/>
          <c:h val="0.89614373166225958"/>
        </c:manualLayout>
      </c:layout>
      <c:scatterChart>
        <c:scatterStyle val="lineMarker"/>
        <c:varyColors val="0"/>
        <c:ser>
          <c:idx val="4"/>
          <c:order val="0"/>
          <c:tx>
            <c:v>Point invisible pour mise à l'echelle</c:v>
          </c:tx>
          <c:spPr>
            <a:ln w="28575">
              <a:noFill/>
            </a:ln>
          </c:spPr>
          <c:marker>
            <c:symbol val="none"/>
          </c:marker>
          <c:xVal>
            <c:numLit>
              <c:formatCode>General</c:formatCode>
              <c:ptCount val="1"/>
              <c:pt idx="0">
                <c:v>0</c:v>
              </c:pt>
            </c:numLit>
          </c:xVal>
          <c:yVal>
            <c:numRef>
              <c:f>Trajecto!$B$121</c:f>
              <c:numCache>
                <c:formatCode>0</c:formatCode>
                <c:ptCount val="1"/>
                <c:pt idx="0">
                  <c:v>1378.6942585540462</c:v>
                </c:pt>
              </c:numCache>
            </c:numRef>
          </c:yVal>
          <c:smooth val="0"/>
          <c:extLst>
            <c:ext xmlns:c16="http://schemas.microsoft.com/office/drawing/2014/chart" uri="{C3380CC4-5D6E-409C-BE32-E72D297353CC}">
              <c16:uniqueId val="{00000000-4C7F-469F-ADED-1B0B28F452E1}"/>
            </c:ext>
          </c:extLst>
        </c:ser>
        <c:ser>
          <c:idx val="0"/>
          <c:order val="1"/>
          <c:tx>
            <c:v>1 point par seconde</c:v>
          </c:tx>
          <c:spPr>
            <a:ln w="28575">
              <a:noFill/>
            </a:ln>
          </c:spPr>
          <c:marker>
            <c:symbol val="plus"/>
            <c:size val="7"/>
            <c:spPr>
              <a:noFill/>
              <a:ln>
                <a:solidFill>
                  <a:srgbClr val="000000"/>
                </a:solidFill>
                <a:prstDash val="solid"/>
              </a:ln>
            </c:spPr>
          </c:marker>
          <c:xVal>
            <c:numRef>
              <c:f>Calculs!$AC$4:$AC$1004</c:f>
              <c:numCache>
                <c:formatCode>0</c:formatCode>
                <c:ptCount val="1001"/>
                <c:pt idx="0">
                  <c:v>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1.0000000000000007</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2.0000000000000013</c:v>
                </c:pt>
                <c:pt idx="201">
                  <c:v>#N/A</c:v>
                </c:pt>
                <c:pt idx="202">
                  <c:v>#N/A</c:v>
                </c:pt>
                <c:pt idx="203">
                  <c:v>#N/A</c:v>
                </c:pt>
                <c:pt idx="204">
                  <c:v>#N/A</c:v>
                </c:pt>
                <c:pt idx="205">
                  <c:v>#N/A</c:v>
                </c:pt>
                <c:pt idx="206">
                  <c:v>#N/A</c:v>
                </c:pt>
                <c:pt idx="207">
                  <c:v>#N/A</c:v>
                </c:pt>
                <c:pt idx="208">
                  <c:v>#N/A</c:v>
                </c:pt>
                <c:pt idx="209">
                  <c:v>#N/A</c:v>
                </c:pt>
                <c:pt idx="210">
                  <c:v>3.0000000000000022</c:v>
                </c:pt>
                <c:pt idx="211">
                  <c:v>#N/A</c:v>
                </c:pt>
                <c:pt idx="212">
                  <c:v>#N/A</c:v>
                </c:pt>
                <c:pt idx="213">
                  <c:v>#N/A</c:v>
                </c:pt>
                <c:pt idx="214">
                  <c:v>#N/A</c:v>
                </c:pt>
                <c:pt idx="215">
                  <c:v>#N/A</c:v>
                </c:pt>
                <c:pt idx="216">
                  <c:v>#N/A</c:v>
                </c:pt>
                <c:pt idx="217">
                  <c:v>#N/A</c:v>
                </c:pt>
                <c:pt idx="218">
                  <c:v>#N/A</c:v>
                </c:pt>
                <c:pt idx="219">
                  <c:v>#N/A</c:v>
                </c:pt>
                <c:pt idx="220">
                  <c:v>4.0000000000000027</c:v>
                </c:pt>
                <c:pt idx="221">
                  <c:v>#N/A</c:v>
                </c:pt>
                <c:pt idx="222">
                  <c:v>#N/A</c:v>
                </c:pt>
                <c:pt idx="223">
                  <c:v>#N/A</c:v>
                </c:pt>
                <c:pt idx="224">
                  <c:v>#N/A</c:v>
                </c:pt>
                <c:pt idx="225">
                  <c:v>#N/A</c:v>
                </c:pt>
                <c:pt idx="226">
                  <c:v>#N/A</c:v>
                </c:pt>
                <c:pt idx="227">
                  <c:v>#N/A</c:v>
                </c:pt>
                <c:pt idx="228">
                  <c:v>#N/A</c:v>
                </c:pt>
                <c:pt idx="229">
                  <c:v>#N/A</c:v>
                </c:pt>
                <c:pt idx="230">
                  <c:v>4.9999999999999991</c:v>
                </c:pt>
                <c:pt idx="231">
                  <c:v>#N/A</c:v>
                </c:pt>
                <c:pt idx="232">
                  <c:v>#N/A</c:v>
                </c:pt>
                <c:pt idx="233">
                  <c:v>#N/A</c:v>
                </c:pt>
                <c:pt idx="234">
                  <c:v>#N/A</c:v>
                </c:pt>
                <c:pt idx="235">
                  <c:v>#N/A</c:v>
                </c:pt>
                <c:pt idx="236">
                  <c:v>#N/A</c:v>
                </c:pt>
                <c:pt idx="237">
                  <c:v>#N/A</c:v>
                </c:pt>
                <c:pt idx="238">
                  <c:v>#N/A</c:v>
                </c:pt>
                <c:pt idx="239">
                  <c:v>#N/A</c:v>
                </c:pt>
                <c:pt idx="240">
                  <c:v>5.9999999999999956</c:v>
                </c:pt>
                <c:pt idx="241">
                  <c:v>#N/A</c:v>
                </c:pt>
                <c:pt idx="242">
                  <c:v>#N/A</c:v>
                </c:pt>
                <c:pt idx="243">
                  <c:v>#N/A</c:v>
                </c:pt>
                <c:pt idx="244">
                  <c:v>#N/A</c:v>
                </c:pt>
                <c:pt idx="245">
                  <c:v>#N/A</c:v>
                </c:pt>
                <c:pt idx="246">
                  <c:v>#N/A</c:v>
                </c:pt>
                <c:pt idx="247">
                  <c:v>#N/A</c:v>
                </c:pt>
                <c:pt idx="248">
                  <c:v>#N/A</c:v>
                </c:pt>
                <c:pt idx="249">
                  <c:v>#N/A</c:v>
                </c:pt>
                <c:pt idx="250">
                  <c:v>6.999999999999992</c:v>
                </c:pt>
                <c:pt idx="251">
                  <c:v>#N/A</c:v>
                </c:pt>
                <c:pt idx="252">
                  <c:v>#N/A</c:v>
                </c:pt>
                <c:pt idx="253">
                  <c:v>#N/A</c:v>
                </c:pt>
                <c:pt idx="254">
                  <c:v>#N/A</c:v>
                </c:pt>
                <c:pt idx="255">
                  <c:v>#N/A</c:v>
                </c:pt>
                <c:pt idx="256">
                  <c:v>#N/A</c:v>
                </c:pt>
                <c:pt idx="257">
                  <c:v>#N/A</c:v>
                </c:pt>
                <c:pt idx="258">
                  <c:v>#N/A</c:v>
                </c:pt>
                <c:pt idx="259">
                  <c:v>#N/A</c:v>
                </c:pt>
                <c:pt idx="260">
                  <c:v>7.9999999999999885</c:v>
                </c:pt>
                <c:pt idx="261">
                  <c:v>#N/A</c:v>
                </c:pt>
                <c:pt idx="262">
                  <c:v>#N/A</c:v>
                </c:pt>
                <c:pt idx="263">
                  <c:v>#N/A</c:v>
                </c:pt>
                <c:pt idx="264">
                  <c:v>#N/A</c:v>
                </c:pt>
                <c:pt idx="265">
                  <c:v>#N/A</c:v>
                </c:pt>
                <c:pt idx="266">
                  <c:v>#N/A</c:v>
                </c:pt>
                <c:pt idx="267">
                  <c:v>#N/A</c:v>
                </c:pt>
                <c:pt idx="268">
                  <c:v>#N/A</c:v>
                </c:pt>
                <c:pt idx="269">
                  <c:v>#N/A</c:v>
                </c:pt>
                <c:pt idx="270">
                  <c:v>8.9999999999999858</c:v>
                </c:pt>
                <c:pt idx="271">
                  <c:v>#N/A</c:v>
                </c:pt>
                <c:pt idx="272">
                  <c:v>#N/A</c:v>
                </c:pt>
                <c:pt idx="273">
                  <c:v>#N/A</c:v>
                </c:pt>
                <c:pt idx="274">
                  <c:v>#N/A</c:v>
                </c:pt>
                <c:pt idx="275">
                  <c:v>#N/A</c:v>
                </c:pt>
                <c:pt idx="276">
                  <c:v>#N/A</c:v>
                </c:pt>
                <c:pt idx="277">
                  <c:v>#N/A</c:v>
                </c:pt>
                <c:pt idx="278">
                  <c:v>#N/A</c:v>
                </c:pt>
                <c:pt idx="279">
                  <c:v>#N/A</c:v>
                </c:pt>
                <c:pt idx="280">
                  <c:v>9.9999999999999822</c:v>
                </c:pt>
                <c:pt idx="281">
                  <c:v>#N/A</c:v>
                </c:pt>
                <c:pt idx="282">
                  <c:v>#N/A</c:v>
                </c:pt>
                <c:pt idx="283">
                  <c:v>#N/A</c:v>
                </c:pt>
                <c:pt idx="284">
                  <c:v>#N/A</c:v>
                </c:pt>
                <c:pt idx="285">
                  <c:v>#N/A</c:v>
                </c:pt>
                <c:pt idx="286">
                  <c:v>#N/A</c:v>
                </c:pt>
                <c:pt idx="287">
                  <c:v>#N/A</c:v>
                </c:pt>
                <c:pt idx="288">
                  <c:v>#N/A</c:v>
                </c:pt>
                <c:pt idx="289">
                  <c:v>#N/A</c:v>
                </c:pt>
                <c:pt idx="290">
                  <c:v>10.999999999999979</c:v>
                </c:pt>
                <c:pt idx="291">
                  <c:v>#N/A</c:v>
                </c:pt>
                <c:pt idx="292">
                  <c:v>#N/A</c:v>
                </c:pt>
                <c:pt idx="293">
                  <c:v>#N/A</c:v>
                </c:pt>
                <c:pt idx="294">
                  <c:v>#N/A</c:v>
                </c:pt>
                <c:pt idx="295">
                  <c:v>#N/A</c:v>
                </c:pt>
                <c:pt idx="296">
                  <c:v>#N/A</c:v>
                </c:pt>
                <c:pt idx="297">
                  <c:v>#N/A</c:v>
                </c:pt>
                <c:pt idx="298">
                  <c:v>#N/A</c:v>
                </c:pt>
                <c:pt idx="299">
                  <c:v>#N/A</c:v>
                </c:pt>
                <c:pt idx="300">
                  <c:v>11.999999999999975</c:v>
                </c:pt>
                <c:pt idx="301">
                  <c:v>#N/A</c:v>
                </c:pt>
                <c:pt idx="302">
                  <c:v>#N/A</c:v>
                </c:pt>
                <c:pt idx="303">
                  <c:v>#N/A</c:v>
                </c:pt>
                <c:pt idx="304">
                  <c:v>#N/A</c:v>
                </c:pt>
                <c:pt idx="305">
                  <c:v>#N/A</c:v>
                </c:pt>
                <c:pt idx="306">
                  <c:v>#N/A</c:v>
                </c:pt>
                <c:pt idx="307">
                  <c:v>#N/A</c:v>
                </c:pt>
                <c:pt idx="308">
                  <c:v>#N/A</c:v>
                </c:pt>
                <c:pt idx="309">
                  <c:v>#N/A</c:v>
                </c:pt>
                <c:pt idx="310">
                  <c:v>12.999999999999972</c:v>
                </c:pt>
                <c:pt idx="311">
                  <c:v>#N/A</c:v>
                </c:pt>
                <c:pt idx="312">
                  <c:v>#N/A</c:v>
                </c:pt>
                <c:pt idx="313">
                  <c:v>#N/A</c:v>
                </c:pt>
                <c:pt idx="314">
                  <c:v>#N/A</c:v>
                </c:pt>
                <c:pt idx="315">
                  <c:v>#N/A</c:v>
                </c:pt>
                <c:pt idx="316">
                  <c:v>#N/A</c:v>
                </c:pt>
                <c:pt idx="317">
                  <c:v>#N/A</c:v>
                </c:pt>
                <c:pt idx="318">
                  <c:v>#N/A</c:v>
                </c:pt>
                <c:pt idx="319">
                  <c:v>#N/A</c:v>
                </c:pt>
                <c:pt idx="320">
                  <c:v>13.999999999999968</c:v>
                </c:pt>
                <c:pt idx="321">
                  <c:v>#N/A</c:v>
                </c:pt>
                <c:pt idx="322">
                  <c:v>#N/A</c:v>
                </c:pt>
                <c:pt idx="323">
                  <c:v>#N/A</c:v>
                </c:pt>
                <c:pt idx="324">
                  <c:v>#N/A</c:v>
                </c:pt>
                <c:pt idx="325">
                  <c:v>#N/A</c:v>
                </c:pt>
                <c:pt idx="326">
                  <c:v>#N/A</c:v>
                </c:pt>
                <c:pt idx="327">
                  <c:v>#N/A</c:v>
                </c:pt>
                <c:pt idx="328">
                  <c:v>#N/A</c:v>
                </c:pt>
                <c:pt idx="329">
                  <c:v>#N/A</c:v>
                </c:pt>
                <c:pt idx="330">
                  <c:v>14.999999999999964</c:v>
                </c:pt>
                <c:pt idx="331">
                  <c:v>#N/A</c:v>
                </c:pt>
                <c:pt idx="332">
                  <c:v>#N/A</c:v>
                </c:pt>
                <c:pt idx="333">
                  <c:v>#N/A</c:v>
                </c:pt>
                <c:pt idx="334">
                  <c:v>#N/A</c:v>
                </c:pt>
                <c:pt idx="335">
                  <c:v>#N/A</c:v>
                </c:pt>
                <c:pt idx="336">
                  <c:v>#N/A</c:v>
                </c:pt>
                <c:pt idx="337">
                  <c:v>#N/A</c:v>
                </c:pt>
                <c:pt idx="338">
                  <c:v>#N/A</c:v>
                </c:pt>
                <c:pt idx="339">
                  <c:v>#N/A</c:v>
                </c:pt>
                <c:pt idx="340">
                  <c:v>15.999999999999961</c:v>
                </c:pt>
                <c:pt idx="341">
                  <c:v>#N/A</c:v>
                </c:pt>
                <c:pt idx="342">
                  <c:v>#N/A</c:v>
                </c:pt>
                <c:pt idx="343">
                  <c:v>#N/A</c:v>
                </c:pt>
                <c:pt idx="344">
                  <c:v>#N/A</c:v>
                </c:pt>
                <c:pt idx="345">
                  <c:v>#N/A</c:v>
                </c:pt>
                <c:pt idx="346">
                  <c:v>#N/A</c:v>
                </c:pt>
                <c:pt idx="347">
                  <c:v>#N/A</c:v>
                </c:pt>
                <c:pt idx="348">
                  <c:v>#N/A</c:v>
                </c:pt>
                <c:pt idx="349">
                  <c:v>#N/A</c:v>
                </c:pt>
                <c:pt idx="350">
                  <c:v>16.999999999999975</c:v>
                </c:pt>
                <c:pt idx="351">
                  <c:v>#N/A</c:v>
                </c:pt>
                <c:pt idx="352">
                  <c:v>#N/A</c:v>
                </c:pt>
                <c:pt idx="353">
                  <c:v>#N/A</c:v>
                </c:pt>
                <c:pt idx="354">
                  <c:v>#N/A</c:v>
                </c:pt>
                <c:pt idx="355">
                  <c:v>#N/A</c:v>
                </c:pt>
                <c:pt idx="356">
                  <c:v>#N/A</c:v>
                </c:pt>
                <c:pt idx="357">
                  <c:v>#N/A</c:v>
                </c:pt>
                <c:pt idx="358">
                  <c:v>#N/A</c:v>
                </c:pt>
                <c:pt idx="359">
                  <c:v>#N/A</c:v>
                </c:pt>
                <c:pt idx="360">
                  <c:v>17.999999999999989</c:v>
                </c:pt>
                <c:pt idx="361">
                  <c:v>#N/A</c:v>
                </c:pt>
                <c:pt idx="362">
                  <c:v>#N/A</c:v>
                </c:pt>
                <c:pt idx="363">
                  <c:v>#N/A</c:v>
                </c:pt>
                <c:pt idx="364">
                  <c:v>#N/A</c:v>
                </c:pt>
                <c:pt idx="365">
                  <c:v>#N/A</c:v>
                </c:pt>
                <c:pt idx="366">
                  <c:v>#N/A</c:v>
                </c:pt>
                <c:pt idx="367">
                  <c:v>#N/A</c:v>
                </c:pt>
                <c:pt idx="368">
                  <c:v>#N/A</c:v>
                </c:pt>
                <c:pt idx="369">
                  <c:v>#N/A</c:v>
                </c:pt>
                <c:pt idx="370">
                  <c:v>19.000000000000004</c:v>
                </c:pt>
                <c:pt idx="371">
                  <c:v>#N/A</c:v>
                </c:pt>
                <c:pt idx="372">
                  <c:v>#N/A</c:v>
                </c:pt>
                <c:pt idx="373">
                  <c:v>#N/A</c:v>
                </c:pt>
                <c:pt idx="374">
                  <c:v>#N/A</c:v>
                </c:pt>
                <c:pt idx="375">
                  <c:v>#N/A</c:v>
                </c:pt>
                <c:pt idx="376">
                  <c:v>#N/A</c:v>
                </c:pt>
                <c:pt idx="377">
                  <c:v>#N/A</c:v>
                </c:pt>
                <c:pt idx="378">
                  <c:v>#N/A</c:v>
                </c:pt>
                <c:pt idx="379">
                  <c:v>#N/A</c:v>
                </c:pt>
                <c:pt idx="380">
                  <c:v>20.000000000000018</c:v>
                </c:pt>
                <c:pt idx="381">
                  <c:v>#N/A</c:v>
                </c:pt>
                <c:pt idx="382">
                  <c:v>#N/A</c:v>
                </c:pt>
                <c:pt idx="383">
                  <c:v>#N/A</c:v>
                </c:pt>
                <c:pt idx="384">
                  <c:v>#N/A</c:v>
                </c:pt>
                <c:pt idx="385">
                  <c:v>#N/A</c:v>
                </c:pt>
                <c:pt idx="386">
                  <c:v>#N/A</c:v>
                </c:pt>
                <c:pt idx="387">
                  <c:v>#N/A</c:v>
                </c:pt>
                <c:pt idx="388">
                  <c:v>#N/A</c:v>
                </c:pt>
                <c:pt idx="389">
                  <c:v>#N/A</c:v>
                </c:pt>
                <c:pt idx="390">
                  <c:v>21.000000000000032</c:v>
                </c:pt>
                <c:pt idx="391">
                  <c:v>#N/A</c:v>
                </c:pt>
                <c:pt idx="392">
                  <c:v>#N/A</c:v>
                </c:pt>
                <c:pt idx="393">
                  <c:v>#N/A</c:v>
                </c:pt>
                <c:pt idx="394">
                  <c:v>#N/A</c:v>
                </c:pt>
                <c:pt idx="395">
                  <c:v>#N/A</c:v>
                </c:pt>
                <c:pt idx="396">
                  <c:v>#N/A</c:v>
                </c:pt>
                <c:pt idx="397">
                  <c:v>#N/A</c:v>
                </c:pt>
                <c:pt idx="398">
                  <c:v>#N/A</c:v>
                </c:pt>
                <c:pt idx="399">
                  <c:v>#N/A</c:v>
                </c:pt>
                <c:pt idx="400">
                  <c:v>22.000000000000046</c:v>
                </c:pt>
                <c:pt idx="401">
                  <c:v>#N/A</c:v>
                </c:pt>
                <c:pt idx="402">
                  <c:v>#N/A</c:v>
                </c:pt>
                <c:pt idx="403">
                  <c:v>#N/A</c:v>
                </c:pt>
                <c:pt idx="404">
                  <c:v>#N/A</c:v>
                </c:pt>
                <c:pt idx="405">
                  <c:v>#N/A</c:v>
                </c:pt>
                <c:pt idx="406">
                  <c:v>#N/A</c:v>
                </c:pt>
                <c:pt idx="407">
                  <c:v>#N/A</c:v>
                </c:pt>
                <c:pt idx="408">
                  <c:v>#N/A</c:v>
                </c:pt>
                <c:pt idx="409">
                  <c:v>#N/A</c:v>
                </c:pt>
                <c:pt idx="410">
                  <c:v>23.00000000000006</c:v>
                </c:pt>
                <c:pt idx="411">
                  <c:v>#N/A</c:v>
                </c:pt>
                <c:pt idx="412">
                  <c:v>#N/A</c:v>
                </c:pt>
                <c:pt idx="413">
                  <c:v>#N/A</c:v>
                </c:pt>
                <c:pt idx="414">
                  <c:v>#N/A</c:v>
                </c:pt>
                <c:pt idx="415">
                  <c:v>#N/A</c:v>
                </c:pt>
                <c:pt idx="416">
                  <c:v>#N/A</c:v>
                </c:pt>
                <c:pt idx="417">
                  <c:v>#N/A</c:v>
                </c:pt>
                <c:pt idx="418">
                  <c:v>#N/A</c:v>
                </c:pt>
                <c:pt idx="419">
                  <c:v>#N/A</c:v>
                </c:pt>
                <c:pt idx="420">
                  <c:v>24.000000000000075</c:v>
                </c:pt>
                <c:pt idx="421">
                  <c:v>#N/A</c:v>
                </c:pt>
                <c:pt idx="422">
                  <c:v>#N/A</c:v>
                </c:pt>
                <c:pt idx="423">
                  <c:v>#N/A</c:v>
                </c:pt>
                <c:pt idx="424">
                  <c:v>#N/A</c:v>
                </c:pt>
                <c:pt idx="425">
                  <c:v>#N/A</c:v>
                </c:pt>
                <c:pt idx="426">
                  <c:v>#N/A</c:v>
                </c:pt>
                <c:pt idx="427">
                  <c:v>#N/A</c:v>
                </c:pt>
                <c:pt idx="428">
                  <c:v>#N/A</c:v>
                </c:pt>
                <c:pt idx="429">
                  <c:v>#N/A</c:v>
                </c:pt>
                <c:pt idx="430">
                  <c:v>25.000000000000089</c:v>
                </c:pt>
                <c:pt idx="431">
                  <c:v>#N/A</c:v>
                </c:pt>
                <c:pt idx="432">
                  <c:v>#N/A</c:v>
                </c:pt>
                <c:pt idx="433">
                  <c:v>#N/A</c:v>
                </c:pt>
                <c:pt idx="434">
                  <c:v>#N/A</c:v>
                </c:pt>
                <c:pt idx="435">
                  <c:v>#N/A</c:v>
                </c:pt>
                <c:pt idx="436">
                  <c:v>#N/A</c:v>
                </c:pt>
                <c:pt idx="437">
                  <c:v>#N/A</c:v>
                </c:pt>
                <c:pt idx="438">
                  <c:v>#N/A</c:v>
                </c:pt>
                <c:pt idx="439">
                  <c:v>#N/A</c:v>
                </c:pt>
                <c:pt idx="440">
                  <c:v>26.000000000000103</c:v>
                </c:pt>
                <c:pt idx="441">
                  <c:v>#N/A</c:v>
                </c:pt>
                <c:pt idx="442">
                  <c:v>#N/A</c:v>
                </c:pt>
                <c:pt idx="443">
                  <c:v>#N/A</c:v>
                </c:pt>
                <c:pt idx="444">
                  <c:v>#N/A</c:v>
                </c:pt>
                <c:pt idx="445">
                  <c:v>#N/A</c:v>
                </c:pt>
                <c:pt idx="446">
                  <c:v>#N/A</c:v>
                </c:pt>
                <c:pt idx="447">
                  <c:v>#N/A</c:v>
                </c:pt>
                <c:pt idx="448">
                  <c:v>#N/A</c:v>
                </c:pt>
                <c:pt idx="449">
                  <c:v>#N/A</c:v>
                </c:pt>
                <c:pt idx="450">
                  <c:v>27.000000000000117</c:v>
                </c:pt>
                <c:pt idx="451">
                  <c:v>#N/A</c:v>
                </c:pt>
                <c:pt idx="452">
                  <c:v>#N/A</c:v>
                </c:pt>
                <c:pt idx="453">
                  <c:v>#N/A</c:v>
                </c:pt>
                <c:pt idx="454">
                  <c:v>#N/A</c:v>
                </c:pt>
                <c:pt idx="455">
                  <c:v>#N/A</c:v>
                </c:pt>
                <c:pt idx="456">
                  <c:v>#N/A</c:v>
                </c:pt>
                <c:pt idx="457">
                  <c:v>#N/A</c:v>
                </c:pt>
                <c:pt idx="458">
                  <c:v>#N/A</c:v>
                </c:pt>
                <c:pt idx="459">
                  <c:v>#N/A</c:v>
                </c:pt>
                <c:pt idx="460">
                  <c:v>28.000000000000131</c:v>
                </c:pt>
                <c:pt idx="461">
                  <c:v>#N/A</c:v>
                </c:pt>
                <c:pt idx="462">
                  <c:v>#N/A</c:v>
                </c:pt>
                <c:pt idx="463">
                  <c:v>#N/A</c:v>
                </c:pt>
                <c:pt idx="464">
                  <c:v>#N/A</c:v>
                </c:pt>
                <c:pt idx="465">
                  <c:v>#N/A</c:v>
                </c:pt>
                <c:pt idx="466">
                  <c:v>#N/A</c:v>
                </c:pt>
                <c:pt idx="467">
                  <c:v>#N/A</c:v>
                </c:pt>
                <c:pt idx="468">
                  <c:v>#N/A</c:v>
                </c:pt>
                <c:pt idx="469">
                  <c:v>#N/A</c:v>
                </c:pt>
                <c:pt idx="470">
                  <c:v>29.000000000000146</c:v>
                </c:pt>
                <c:pt idx="471">
                  <c:v>#N/A</c:v>
                </c:pt>
                <c:pt idx="472">
                  <c:v>#N/A</c:v>
                </c:pt>
                <c:pt idx="473">
                  <c:v>#N/A</c:v>
                </c:pt>
                <c:pt idx="474">
                  <c:v>#N/A</c:v>
                </c:pt>
                <c:pt idx="475">
                  <c:v>#N/A</c:v>
                </c:pt>
                <c:pt idx="476">
                  <c:v>#N/A</c:v>
                </c:pt>
                <c:pt idx="477">
                  <c:v>#N/A</c:v>
                </c:pt>
                <c:pt idx="478">
                  <c:v>#N/A</c:v>
                </c:pt>
                <c:pt idx="479">
                  <c:v>#N/A</c:v>
                </c:pt>
                <c:pt idx="480">
                  <c:v>30.00000000000016</c:v>
                </c:pt>
                <c:pt idx="481">
                  <c:v>#N/A</c:v>
                </c:pt>
                <c:pt idx="482">
                  <c:v>#N/A</c:v>
                </c:pt>
                <c:pt idx="483">
                  <c:v>#N/A</c:v>
                </c:pt>
                <c:pt idx="484">
                  <c:v>#N/A</c:v>
                </c:pt>
                <c:pt idx="485">
                  <c:v>#N/A</c:v>
                </c:pt>
                <c:pt idx="486">
                  <c:v>#N/A</c:v>
                </c:pt>
                <c:pt idx="487">
                  <c:v>#N/A</c:v>
                </c:pt>
                <c:pt idx="488">
                  <c:v>#N/A</c:v>
                </c:pt>
                <c:pt idx="489">
                  <c:v>#N/A</c:v>
                </c:pt>
                <c:pt idx="490">
                  <c:v>31.000000000000174</c:v>
                </c:pt>
                <c:pt idx="491">
                  <c:v>#N/A</c:v>
                </c:pt>
                <c:pt idx="492">
                  <c:v>#N/A</c:v>
                </c:pt>
                <c:pt idx="493">
                  <c:v>#N/A</c:v>
                </c:pt>
                <c:pt idx="494">
                  <c:v>#N/A</c:v>
                </c:pt>
                <c:pt idx="495">
                  <c:v>#N/A</c:v>
                </c:pt>
                <c:pt idx="496">
                  <c:v>#N/A</c:v>
                </c:pt>
                <c:pt idx="497">
                  <c:v>#N/A</c:v>
                </c:pt>
                <c:pt idx="498">
                  <c:v>#N/A</c:v>
                </c:pt>
                <c:pt idx="499">
                  <c:v>#N/A</c:v>
                </c:pt>
                <c:pt idx="500">
                  <c:v>32.000000000000185</c:v>
                </c:pt>
                <c:pt idx="501">
                  <c:v>#N/A</c:v>
                </c:pt>
                <c:pt idx="502">
                  <c:v>#N/A</c:v>
                </c:pt>
                <c:pt idx="503">
                  <c:v>#N/A</c:v>
                </c:pt>
                <c:pt idx="504">
                  <c:v>#N/A</c:v>
                </c:pt>
                <c:pt idx="505">
                  <c:v>#N/A</c:v>
                </c:pt>
                <c:pt idx="506">
                  <c:v>#N/A</c:v>
                </c:pt>
                <c:pt idx="507">
                  <c:v>#N/A</c:v>
                </c:pt>
                <c:pt idx="508">
                  <c:v>#N/A</c:v>
                </c:pt>
                <c:pt idx="509">
                  <c:v>#N/A</c:v>
                </c:pt>
                <c:pt idx="510">
                  <c:v>33.000000000000199</c:v>
                </c:pt>
                <c:pt idx="511">
                  <c:v>#N/A</c:v>
                </c:pt>
                <c:pt idx="512">
                  <c:v>#N/A</c:v>
                </c:pt>
                <c:pt idx="513">
                  <c:v>#N/A</c:v>
                </c:pt>
                <c:pt idx="514">
                  <c:v>#N/A</c:v>
                </c:pt>
                <c:pt idx="515">
                  <c:v>#N/A</c:v>
                </c:pt>
                <c:pt idx="516">
                  <c:v>#N/A</c:v>
                </c:pt>
                <c:pt idx="517">
                  <c:v>#N/A</c:v>
                </c:pt>
                <c:pt idx="518">
                  <c:v>#N/A</c:v>
                </c:pt>
                <c:pt idx="519">
                  <c:v>#N/A</c:v>
                </c:pt>
                <c:pt idx="520">
                  <c:v>34.000000000000213</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0</c:v>
                </c:pt>
                <c:pt idx="1">
                  <c:v>9.6179596057260972E-4</c:v>
                </c:pt>
                <c:pt idx="2">
                  <c:v>7.849334862307036E-3</c:v>
                </c:pt>
                <c:pt idx="3">
                  <c:v>2.7104036649354804E-2</c:v>
                </c:pt>
                <c:pt idx="4">
                  <c:v>6.0910676809744435E-2</c:v>
                </c:pt>
                <c:pt idx="5">
                  <c:v>0.10875959295515798</c:v>
                </c:pt>
                <c:pt idx="6">
                  <c:v>0.17029575024130772</c:v>
                </c:pt>
                <c:pt idx="7">
                  <c:v>0.24547517535961894</c:v>
                </c:pt>
                <c:pt idx="8">
                  <c:v>0.33440967855691439</c:v>
                </c:pt>
                <c:pt idx="9">
                  <c:v>0.43721111891433345</c:v>
                </c:pt>
                <c:pt idx="10">
                  <c:v>0.55399140167489291</c:v>
                </c:pt>
                <c:pt idx="11">
                  <c:v>0.68484628480212495</c:v>
                </c:pt>
                <c:pt idx="12">
                  <c:v>0.82983913846125701</c:v>
                </c:pt>
                <c:pt idx="13">
                  <c:v>0.989017063757757</c:v>
                </c:pt>
                <c:pt idx="14">
                  <c:v>1.1624270589549011</c:v>
                </c:pt>
                <c:pt idx="15">
                  <c:v>1.350116017579907</c:v>
                </c:pt>
                <c:pt idx="16">
                  <c:v>1.5521307265246203</c:v>
                </c:pt>
                <c:pt idx="17">
                  <c:v>1.7685178641409143</c:v>
                </c:pt>
                <c:pt idx="18">
                  <c:v>1.9993239983309685</c:v>
                </c:pt>
                <c:pt idx="19">
                  <c:v>2.244595584632592</c:v>
                </c:pt>
                <c:pt idx="20">
                  <c:v>2.5043789642997596</c:v>
                </c:pt>
                <c:pt idx="21">
                  <c:v>2.7787138599228545</c:v>
                </c:pt>
                <c:pt idx="22">
                  <c:v>3.0676268525810602</c:v>
                </c:pt>
                <c:pt idx="23">
                  <c:v>3.3711378558289589</c:v>
                </c:pt>
                <c:pt idx="24">
                  <c:v>3.6892666085400023</c:v>
                </c:pt>
                <c:pt idx="25">
                  <c:v>4.0220326737662697</c:v>
                </c:pt>
                <c:pt idx="26">
                  <c:v>4.3694406356516708</c:v>
                </c:pt>
                <c:pt idx="27">
                  <c:v>4.7314942593150162</c:v>
                </c:pt>
                <c:pt idx="28">
                  <c:v>5.1082113009258308</c:v>
                </c:pt>
                <c:pt idx="29">
                  <c:v>5.4996093651401523</c:v>
                </c:pt>
                <c:pt idx="30">
                  <c:v>5.9057059129793767</c:v>
                </c:pt>
                <c:pt idx="31">
                  <c:v>6.3265182582043593</c:v>
                </c:pt>
                <c:pt idx="32">
                  <c:v>6.7620635639505586</c:v>
                </c:pt>
                <c:pt idx="33">
                  <c:v>7.2123588395916514</c:v>
                </c:pt>
                <c:pt idx="34">
                  <c:v>7.6774209378041887</c:v>
                </c:pt>
                <c:pt idx="35">
                  <c:v>8.1572665518100607</c:v>
                </c:pt>
                <c:pt idx="36">
                  <c:v>8.6519122127770007</c:v>
                </c:pt>
                <c:pt idx="37">
                  <c:v>9.1613742873602018</c:v>
                </c:pt>
                <c:pt idx="38">
                  <c:v>9.6856689753705076</c:v>
                </c:pt>
                <c:pt idx="39">
                  <c:v>10.224812307556627</c:v>
                </c:pt>
                <c:pt idx="40">
                  <c:v>10.778820143490485</c:v>
                </c:pt>
                <c:pt idx="41">
                  <c:v>11.347703103481436</c:v>
                </c:pt>
                <c:pt idx="42">
                  <c:v>11.931461488123665</c:v>
                </c:pt>
                <c:pt idx="43">
                  <c:v>12.530090325394321</c:v>
                </c:pt>
                <c:pt idx="44">
                  <c:v>13.143584430641267</c:v>
                </c:pt>
                <c:pt idx="45">
                  <c:v>13.771938405601263</c:v>
                </c:pt>
                <c:pt idx="46">
                  <c:v>14.415146637491738</c:v>
                </c:pt>
                <c:pt idx="47">
                  <c:v>15.073203298170998</c:v>
                </c:pt>
                <c:pt idx="48">
                  <c:v>15.746102343362272</c:v>
                </c:pt>
                <c:pt idx="49">
                  <c:v>16.433837511937465</c:v>
                </c:pt>
                <c:pt idx="50">
                  <c:v>17.136402325256991</c:v>
                </c:pt>
                <c:pt idx="51">
                  <c:v>17.853790086562395</c:v>
                </c:pt>
                <c:pt idx="52">
                  <c:v>18.585993880418791</c:v>
                </c:pt>
                <c:pt idx="53">
                  <c:v>19.3330065722045</c:v>
                </c:pt>
                <c:pt idx="54">
                  <c:v>20.094820807645462</c:v>
                </c:pt>
                <c:pt idx="55">
                  <c:v>20.871429012392273</c:v>
                </c:pt>
                <c:pt idx="56">
                  <c:v>21.662823391637879</c:v>
                </c:pt>
                <c:pt idx="57">
                  <c:v>22.468995929774135</c:v>
                </c:pt>
                <c:pt idx="58">
                  <c:v>23.289938390085631</c:v>
                </c:pt>
                <c:pt idx="59">
                  <c:v>24.125642314479276</c:v>
                </c:pt>
                <c:pt idx="60">
                  <c:v>24.976099023248302</c:v>
                </c:pt>
                <c:pt idx="61">
                  <c:v>25.841299614869456</c:v>
                </c:pt>
                <c:pt idx="62">
                  <c:v>26.721234965832227</c:v>
                </c:pt>
                <c:pt idx="63">
                  <c:v>27.61589573049908</c:v>
                </c:pt>
                <c:pt idx="64">
                  <c:v>28.525272340995734</c:v>
                </c:pt>
                <c:pt idx="65">
                  <c:v>29.449355007130588</c:v>
                </c:pt>
                <c:pt idx="66">
                  <c:v>30.38813371634248</c:v>
                </c:pt>
                <c:pt idx="67">
                  <c:v>31.341598233676027</c:v>
                </c:pt>
                <c:pt idx="68">
                  <c:v>32.309738101783843</c:v>
                </c:pt>
                <c:pt idx="69">
                  <c:v>33.292542640954963</c:v>
                </c:pt>
                <c:pt idx="70">
                  <c:v>34.290000949168885</c:v>
                </c:pt>
                <c:pt idx="71">
                  <c:v>35.302101902174655</c:v>
                </c:pt>
                <c:pt idx="72">
                  <c:v>36.328834153594464</c:v>
                </c:pt>
                <c:pt idx="73">
                  <c:v>37.37018613505127</c:v>
                </c:pt>
                <c:pt idx="74">
                  <c:v>38.426146056319936</c:v>
                </c:pt>
                <c:pt idx="75">
                  <c:v>39.496701905501517</c:v>
                </c:pt>
                <c:pt idx="76">
                  <c:v>40.581841449220242</c:v>
                </c:pt>
                <c:pt idx="77">
                  <c:v>41.681552232842776</c:v>
                </c:pt>
                <c:pt idx="78">
                  <c:v>42.795821580719455</c:v>
                </c:pt>
                <c:pt idx="79">
                  <c:v>43.924636596447108</c:v>
                </c:pt>
                <c:pt idx="80">
                  <c:v>45.067984163153127</c:v>
                </c:pt>
                <c:pt idx="81">
                  <c:v>46.225845781003116</c:v>
                </c:pt>
                <c:pt idx="82">
                  <c:v>47.398192394880965</c:v>
                </c:pt>
                <c:pt idx="83">
                  <c:v>48.584989546199502</c:v>
                </c:pt>
                <c:pt idx="84">
                  <c:v>49.786202535078019</c:v>
                </c:pt>
                <c:pt idx="85">
                  <c:v>51.001796421726347</c:v>
                </c:pt>
                <c:pt idx="86">
                  <c:v>52.231736027850438</c:v>
                </c:pt>
                <c:pt idx="87">
                  <c:v>53.475985938079134</c:v>
                </c:pt>
                <c:pt idx="88">
                  <c:v>54.734510501411499</c:v>
                </c:pt>
                <c:pt idx="89">
                  <c:v>56.007273832684433</c:v>
                </c:pt>
                <c:pt idx="90">
                  <c:v>57.294239814060028</c:v>
                </c:pt>
                <c:pt idx="91">
                  <c:v>58.595369812979577</c:v>
                </c:pt>
                <c:pt idx="92">
                  <c:v>59.91062039623214</c:v>
                </c:pt>
                <c:pt idx="93">
                  <c:v>61.239945610924721</c:v>
                </c:pt>
                <c:pt idx="94">
                  <c:v>62.583299269615928</c:v>
                </c:pt>
                <c:pt idx="95">
                  <c:v>63.940634952377707</c:v>
                </c:pt>
                <c:pt idx="96">
                  <c:v>65.311906008874132</c:v>
                </c:pt>
                <c:pt idx="97">
                  <c:v>66.697065560456693</c:v>
                </c:pt>
                <c:pt idx="98">
                  <c:v>68.09606650227559</c:v>
                </c:pt>
                <c:pt idx="99">
                  <c:v>69.508861505406713</c:v>
                </c:pt>
                <c:pt idx="100">
                  <c:v>70.935403018993668</c:v>
                </c:pt>
                <c:pt idx="101">
                  <c:v>72.375642906752802</c:v>
                </c:pt>
                <c:pt idx="102">
                  <c:v>73.829532082945136</c:v>
                </c:pt>
                <c:pt idx="103">
                  <c:v>75.297020879700085</c:v>
                </c:pt>
                <c:pt idx="104">
                  <c:v>76.778059414939221</c:v>
                </c:pt>
                <c:pt idx="105">
                  <c:v>78.272597594666067</c:v>
                </c:pt>
                <c:pt idx="106">
                  <c:v>79.78058511526811</c:v>
                </c:pt>
                <c:pt idx="107">
                  <c:v>81.301971465830761</c:v>
                </c:pt>
                <c:pt idx="108">
                  <c:v>82.836705930462742</c:v>
                </c:pt>
                <c:pt idx="109">
                  <c:v>84.38473759063244</c:v>
                </c:pt>
                <c:pt idx="110">
                  <c:v>85.946015327514885</c:v>
                </c:pt>
                <c:pt idx="111">
                  <c:v>87.520492038896634</c:v>
                </c:pt>
                <c:pt idx="112">
                  <c:v>89.108128861514231</c:v>
                </c:pt>
                <c:pt idx="113">
                  <c:v>90.70889096313816</c:v>
                </c:pt>
                <c:pt idx="114">
                  <c:v>92.322743328813104</c:v>
                </c:pt>
                <c:pt idx="115">
                  <c:v>93.949650762395379</c:v>
                </c:pt>
                <c:pt idx="116">
                  <c:v>95.589577888100933</c:v>
                </c:pt>
                <c:pt idx="117">
                  <c:v>97.242489152063683</c:v>
                </c:pt>
                <c:pt idx="118">
                  <c:v>98.90834882390395</c:v>
                </c:pt>
                <c:pt idx="119">
                  <c:v>100.58712099830679</c:v>
                </c:pt>
                <c:pt idx="120">
                  <c:v>102.27876959660983</c:v>
                </c:pt>
                <c:pt idx="121">
                  <c:v>103.98325137047534</c:v>
                </c:pt>
                <c:pt idx="122">
                  <c:v>105.70050889783788</c:v>
                </c:pt>
                <c:pt idx="123">
                  <c:v>107.43047757786435</c:v>
                </c:pt>
                <c:pt idx="124">
                  <c:v>109.17309263438378</c:v>
                </c:pt>
                <c:pt idx="125">
                  <c:v>110.92828911897151</c:v>
                </c:pt>
                <c:pt idx="126">
                  <c:v>112.69600191403535</c:v>
                </c:pt>
                <c:pt idx="127">
                  <c:v>114.47616573590291</c:v>
                </c:pt>
                <c:pt idx="128">
                  <c:v>116.26871513790975</c:v>
                </c:pt>
                <c:pt idx="129">
                  <c:v>118.0735845134879</c:v>
                </c:pt>
                <c:pt idx="130">
                  <c:v>119.89070809925417</c:v>
                </c:pt>
                <c:pt idx="131">
                  <c:v>121.72001814405567</c:v>
                </c:pt>
                <c:pt idx="132">
                  <c:v>123.56144307643059</c:v>
                </c:pt>
                <c:pt idx="133">
                  <c:v>125.4149093413541</c:v>
                </c:pt>
                <c:pt idx="134">
                  <c:v>127.2803432387699</c:v>
                </c:pt>
                <c:pt idx="135">
                  <c:v>129.15767092707736</c:v>
                </c:pt>
                <c:pt idx="136">
                  <c:v>131.04681842661299</c:v>
                </c:pt>
                <c:pt idx="137">
                  <c:v>132.9477116231256</c:v>
                </c:pt>
                <c:pt idx="138">
                  <c:v>134.86027627124477</c:v>
                </c:pt>
                <c:pt idx="139">
                  <c:v>136.78443799794198</c:v>
                </c:pt>
                <c:pt idx="140">
                  <c:v>138.72012230598406</c:v>
                </c:pt>
                <c:pt idx="141">
                  <c:v>140.66723262541166</c:v>
                </c:pt>
                <c:pt idx="142">
                  <c:v>142.62562835189746</c:v>
                </c:pt>
                <c:pt idx="143">
                  <c:v>144.5951468083743</c:v>
                </c:pt>
                <c:pt idx="144">
                  <c:v>146.57562522272684</c:v>
                </c:pt>
                <c:pt idx="145">
                  <c:v>148.56690073709092</c:v>
                </c:pt>
                <c:pt idx="146">
                  <c:v>150.56881041707678</c:v>
                </c:pt>
                <c:pt idx="147">
                  <c:v>152.58119126091498</c:v>
                </c:pt>
                <c:pt idx="148">
                  <c:v>154.60388020852344</c:v>
                </c:pt>
                <c:pt idx="149">
                  <c:v>156.63671415049427</c:v>
                </c:pt>
                <c:pt idx="150">
                  <c:v>158.67952993699893</c:v>
                </c:pt>
                <c:pt idx="151">
                  <c:v>160.73216438661049</c:v>
                </c:pt>
                <c:pt idx="152">
                  <c:v>162.7944542950417</c:v>
                </c:pt>
                <c:pt idx="153">
                  <c:v>164.86623644379753</c:v>
                </c:pt>
                <c:pt idx="154">
                  <c:v>166.94734760874121</c:v>
                </c:pt>
                <c:pt idx="155">
                  <c:v>169.03762456857237</c:v>
                </c:pt>
                <c:pt idx="156">
                  <c:v>171.1368000095683</c:v>
                </c:pt>
                <c:pt idx="157">
                  <c:v>173.24439844360776</c:v>
                </c:pt>
                <c:pt idx="158">
                  <c:v>175.35984048309888</c:v>
                </c:pt>
                <c:pt idx="159">
                  <c:v>177.48254713009186</c:v>
                </c:pt>
                <c:pt idx="160">
                  <c:v>179.61193983905341</c:v>
                </c:pt>
                <c:pt idx="161">
                  <c:v>181.74730818534178</c:v>
                </c:pt>
                <c:pt idx="162">
                  <c:v>183.88767765804249</c:v>
                </c:pt>
                <c:pt idx="163">
                  <c:v>186.03195513165974</c:v>
                </c:pt>
                <c:pt idx="164">
                  <c:v>188.17907426060148</c:v>
                </c:pt>
                <c:pt idx="165">
                  <c:v>190.32810948210573</c:v>
                </c:pt>
                <c:pt idx="166">
                  <c:v>192.47838979734101</c:v>
                </c:pt>
                <c:pt idx="167">
                  <c:v>194.62927575410876</c:v>
                </c:pt>
                <c:pt idx="168">
                  <c:v>196.78000636097377</c:v>
                </c:pt>
                <c:pt idx="169">
                  <c:v>198.92959697059555</c:v>
                </c:pt>
                <c:pt idx="170">
                  <c:v>201.07680706074902</c:v>
                </c:pt>
                <c:pt idx="171">
                  <c:v>203.22076967694338</c:v>
                </c:pt>
                <c:pt idx="172">
                  <c:v>205.36127142489883</c:v>
                </c:pt>
                <c:pt idx="173">
                  <c:v>207.49832078974819</c:v>
                </c:pt>
                <c:pt idx="174">
                  <c:v>209.6319262199504</c:v>
                </c:pt>
                <c:pt idx="175">
                  <c:v>211.76209612750134</c:v>
                </c:pt>
                <c:pt idx="176">
                  <c:v>213.88883888814323</c:v>
                </c:pt>
                <c:pt idx="177">
                  <c:v>216.01216284157246</c:v>
                </c:pt>
                <c:pt idx="178">
                  <c:v>218.13207629164594</c:v>
                </c:pt>
                <c:pt idx="179">
                  <c:v>220.24858750658589</c:v>
                </c:pt>
                <c:pt idx="180">
                  <c:v>222.36170471918322</c:v>
                </c:pt>
                <c:pt idx="181">
                  <c:v>224.47143612699946</c:v>
                </c:pt>
                <c:pt idx="182">
                  <c:v>226.57778989256724</c:v>
                </c:pt>
                <c:pt idx="183">
                  <c:v>228.68077414358925</c:v>
                </c:pt>
                <c:pt idx="184">
                  <c:v>230.78039697313588</c:v>
                </c:pt>
                <c:pt idx="185">
                  <c:v>232.87666643984139</c:v>
                </c:pt>
                <c:pt idx="186">
                  <c:v>234.96959056809865</c:v>
                </c:pt>
                <c:pt idx="187">
                  <c:v>237.05917734825263</c:v>
                </c:pt>
                <c:pt idx="188">
                  <c:v>239.14543473679231</c:v>
                </c:pt>
                <c:pt idx="189">
                  <c:v>241.22837065654144</c:v>
                </c:pt>
                <c:pt idx="190">
                  <c:v>243.30799299684773</c:v>
                </c:pt>
                <c:pt idx="191">
                  <c:v>245.38430961377091</c:v>
                </c:pt>
                <c:pt idx="192">
                  <c:v>247.45732833026929</c:v>
                </c:pt>
                <c:pt idx="193">
                  <c:v>249.52705693638507</c:v>
                </c:pt>
                <c:pt idx="194">
                  <c:v>251.59350318942842</c:v>
                </c:pt>
                <c:pt idx="195">
                  <c:v>253.65667481416008</c:v>
                </c:pt>
                <c:pt idx="196">
                  <c:v>255.71657950297288</c:v>
                </c:pt>
                <c:pt idx="197">
                  <c:v>257.7732249160718</c:v>
                </c:pt>
                <c:pt idx="198">
                  <c:v>259.82661868165286</c:v>
                </c:pt>
                <c:pt idx="199">
                  <c:v>261.87676839608088</c:v>
                </c:pt>
                <c:pt idx="200">
                  <c:v>263.92368162406575</c:v>
                </c:pt>
                <c:pt idx="201">
                  <c:v>284.21539062170683</c:v>
                </c:pt>
                <c:pt idx="202">
                  <c:v>304.1882902910985</c:v>
                </c:pt>
                <c:pt idx="203">
                  <c:v>323.84964960680509</c:v>
                </c:pt>
                <c:pt idx="204">
                  <c:v>343.20644312949509</c:v>
                </c:pt>
                <c:pt idx="205">
                  <c:v>362.26536666916672</c:v>
                </c:pt>
                <c:pt idx="206">
                  <c:v>381.03285190816945</c:v>
                </c:pt>
                <c:pt idx="207">
                  <c:v>399.51508006624192</c:v>
                </c:pt>
                <c:pt idx="208">
                  <c:v>417.71799468226942</c:v>
                </c:pt>
                <c:pt idx="209">
                  <c:v>435.64731358072743</c:v>
                </c:pt>
                <c:pt idx="210">
                  <c:v>453.30854008472568</c:v>
                </c:pt>
                <c:pt idx="211">
                  <c:v>470.70697353212807</c:v>
                </c:pt>
                <c:pt idx="212">
                  <c:v>487.84771914632313</c:v>
                </c:pt>
                <c:pt idx="213">
                  <c:v>504.73569730880297</c:v>
                </c:pt>
                <c:pt idx="214">
                  <c:v>521.3756522767186</c:v>
                </c:pt>
                <c:pt idx="215">
                  <c:v>537.77216038497249</c:v>
                </c:pt>
                <c:pt idx="216">
                  <c:v>553.92963776914371</c:v>
                </c:pt>
                <c:pt idx="217">
                  <c:v>569.85234764258144</c:v>
                </c:pt>
                <c:pt idx="218">
                  <c:v>585.54440715831447</c:v>
                </c:pt>
                <c:pt idx="219">
                  <c:v>601.00979388398491</c:v>
                </c:pt>
                <c:pt idx="220">
                  <c:v>616.25235191579281</c:v>
                </c:pt>
                <c:pt idx="221">
                  <c:v>631.27579765541441</c:v>
                </c:pt>
                <c:pt idx="222">
                  <c:v>646.08372527201539</c:v>
                </c:pt>
                <c:pt idx="223">
                  <c:v>660.67961186979494</c:v>
                </c:pt>
                <c:pt idx="224">
                  <c:v>675.06682237995892</c:v>
                </c:pt>
                <c:pt idx="225">
                  <c:v>689.24861419461467</c:v>
                </c:pt>
                <c:pt idx="226">
                  <c:v>703.22814155879087</c:v>
                </c:pt>
                <c:pt idx="227">
                  <c:v>717.00845973560627</c:v>
                </c:pt>
                <c:pt idx="228">
                  <c:v>730.59252895852705</c:v>
                </c:pt>
                <c:pt idx="229">
                  <c:v>743.98321818366026</c:v>
                </c:pt>
                <c:pt idx="230">
                  <c:v>757.18330865411463</c:v>
                </c:pt>
                <c:pt idx="231">
                  <c:v>770.19549728762115</c:v>
                </c:pt>
                <c:pt idx="232">
                  <c:v>783.02239989783095</c:v>
                </c:pt>
                <c:pt idx="233">
                  <c:v>795.66655425899444</c:v>
                </c:pt>
                <c:pt idx="234">
                  <c:v>808.13042302306917</c:v>
                </c:pt>
                <c:pt idx="235">
                  <c:v>820.41639649769468</c:v>
                </c:pt>
                <c:pt idx="236">
                  <c:v>832.52679529291322</c:v>
                </c:pt>
                <c:pt idx="237">
                  <c:v>844.46387284399623</c:v>
                </c:pt>
                <c:pt idx="238">
                  <c:v>856.22981781725593</c:v>
                </c:pt>
                <c:pt idx="239">
                  <c:v>867.82675640527748</c:v>
                </c:pt>
                <c:pt idx="240">
                  <c:v>879.25675451759514</c:v>
                </c:pt>
                <c:pt idx="241">
                  <c:v>890.52181987245524</c:v>
                </c:pt>
                <c:pt idx="242">
                  <c:v>901.62390399495143</c:v>
                </c:pt>
                <c:pt idx="243">
                  <c:v>912.56490412649282</c:v>
                </c:pt>
                <c:pt idx="244">
                  <c:v>923.34666505025473</c:v>
                </c:pt>
                <c:pt idx="245">
                  <c:v>933.9709808369829</c:v>
                </c:pt>
                <c:pt idx="246">
                  <c:v>944.43959651525188</c:v>
                </c:pt>
                <c:pt idx="247">
                  <c:v>954.75420967003652</c:v>
                </c:pt>
                <c:pt idx="248">
                  <c:v>964.91647197322243</c:v>
                </c:pt>
                <c:pt idx="249">
                  <c:v>974.92799064946917</c:v>
                </c:pt>
                <c:pt idx="250">
                  <c:v>984.79032988063966</c:v>
                </c:pt>
                <c:pt idx="251">
                  <c:v>994.50501215182237</c:v>
                </c:pt>
                <c:pt idx="252">
                  <c:v>1004.0735195417992</c:v>
                </c:pt>
                <c:pt idx="253">
                  <c:v>1013.4972949606496</c:v>
                </c:pt>
                <c:pt idx="254">
                  <c:v>1022.7777433370275</c:v>
                </c:pt>
                <c:pt idx="255">
                  <c:v>1031.9162327575082</c:v>
                </c:pt>
                <c:pt idx="256">
                  <c:v>1040.9140955602661</c:v>
                </c:pt>
                <c:pt idx="257">
                  <c:v>1049.7726293852209</c:v>
                </c:pt>
                <c:pt idx="258">
                  <c:v>1058.4930981826724</c:v>
                </c:pt>
                <c:pt idx="259">
                  <c:v>1067.0767331823354</c:v>
                </c:pt>
                <c:pt idx="260">
                  <c:v>1075.5247338245815</c:v>
                </c:pt>
                <c:pt idx="261">
                  <c:v>1083.8382686555988</c:v>
                </c:pt>
                <c:pt idx="262">
                  <c:v>1092.0184761880914</c:v>
                </c:pt>
                <c:pt idx="263">
                  <c:v>1100.0664657290524</c:v>
                </c:pt>
                <c:pt idx="264">
                  <c:v>1107.9833181760675</c:v>
                </c:pt>
                <c:pt idx="265">
                  <c:v>1115.7700867835276</c:v>
                </c:pt>
                <c:pt idx="266">
                  <c:v>1123.4277979000617</c:v>
                </c:pt>
                <c:pt idx="267">
                  <c:v>1130.9574516784323</c:v>
                </c:pt>
                <c:pt idx="268">
                  <c:v>1138.3600227590732</c:v>
                </c:pt>
                <c:pt idx="269">
                  <c:v>1145.6364609283928</c:v>
                </c:pt>
                <c:pt idx="270">
                  <c:v>1152.7876917529068</c:v>
                </c:pt>
                <c:pt idx="271">
                  <c:v>1159.8146171902167</c:v>
                </c:pt>
                <c:pt idx="272">
                  <c:v>1166.718116177798</c:v>
                </c:pt>
                <c:pt idx="273">
                  <c:v>1173.4990452005156</c:v>
                </c:pt>
                <c:pt idx="274">
                  <c:v>1180.1582388377426</c:v>
                </c:pt>
                <c:pt idx="275">
                  <c:v>1186.6965102909173</c:v>
                </c:pt>
                <c:pt idx="276">
                  <c:v>1193.1146518923319</c:v>
                </c:pt>
                <c:pt idx="277">
                  <c:v>1199.4134355959143</c:v>
                </c:pt>
                <c:pt idx="278">
                  <c:v>1205.5936134507258</c:v>
                </c:pt>
                <c:pt idx="279">
                  <c:v>1211.6559180578704</c:v>
                </c:pt>
                <c:pt idx="280">
                  <c:v>1217.601063011477</c:v>
                </c:pt>
                <c:pt idx="281">
                  <c:v>1223.4297433243896</c:v>
                </c:pt>
                <c:pt idx="282">
                  <c:v>1229.1426358391752</c:v>
                </c:pt>
                <c:pt idx="283">
                  <c:v>1234.7403996250321</c:v>
                </c:pt>
                <c:pt idx="284">
                  <c:v>1240.2236763611609</c:v>
                </c:pt>
                <c:pt idx="285">
                  <c:v>1245.5930907071372</c:v>
                </c:pt>
                <c:pt idx="286">
                  <c:v>1250.8492506608072</c:v>
                </c:pt>
                <c:pt idx="287">
                  <c:v>1255.992747904208</c:v>
                </c:pt>
                <c:pt idx="288">
                  <c:v>1261.0241581379994</c:v>
                </c:pt>
                <c:pt idx="289">
                  <c:v>1265.9440414048775</c:v>
                </c:pt>
                <c:pt idx="290">
                  <c:v>1270.7529424024294</c:v>
                </c:pt>
                <c:pt idx="291">
                  <c:v>1275.451390785875</c:v>
                </c:pt>
                <c:pt idx="292">
                  <c:v>1280.0399014611323</c:v>
                </c:pt>
                <c:pt idx="293">
                  <c:v>1284.5189748686355</c:v>
                </c:pt>
                <c:pt idx="294">
                  <c:v>1288.8890972583281</c:v>
                </c:pt>
                <c:pt idx="295">
                  <c:v>1293.1507409562491</c:v>
                </c:pt>
                <c:pt idx="296">
                  <c:v>1297.3043646231281</c:v>
                </c:pt>
                <c:pt idx="297">
                  <c:v>1301.3504135054029</c:v>
                </c:pt>
                <c:pt idx="298">
                  <c:v>1305.2893196790806</c:v>
                </c:pt>
                <c:pt idx="299">
                  <c:v>1309.1215022868603</c:v>
                </c:pt>
                <c:pt idx="300">
                  <c:v>1312.8473677689501</c:v>
                </c:pt>
                <c:pt idx="301">
                  <c:v>1316.4673100880159</c:v>
                </c:pt>
                <c:pt idx="302">
                  <c:v>1319.9817109487149</c:v>
                </c:pt>
                <c:pt idx="303">
                  <c:v>1323.3909400122852</c:v>
                </c:pt>
                <c:pt idx="304">
                  <c:v>1326.6953551066824</c:v>
                </c:pt>
                <c:pt idx="305">
                  <c:v>1329.8953024327764</c:v>
                </c:pt>
                <c:pt idx="306">
                  <c:v>1332.9911167671578</c:v>
                </c:pt>
                <c:pt idx="307">
                  <c:v>1335.9831216621326</c:v>
                </c:pt>
                <c:pt idx="308">
                  <c:v>1338.871629643525</c:v>
                </c:pt>
                <c:pt idx="309">
                  <c:v>1341.6569424069583</c:v>
                </c:pt>
                <c:pt idx="310">
                  <c:v>1344.3393510133296</c:v>
                </c:pt>
                <c:pt idx="311">
                  <c:v>1346.9191360842628</c:v>
                </c:pt>
                <c:pt idx="312">
                  <c:v>1349.3965679983787</c:v>
                </c:pt>
                <c:pt idx="313">
                  <c:v>1351.7719070893074</c:v>
                </c:pt>
                <c:pt idx="314">
                  <c:v>1354.0454038464384</c:v>
                </c:pt>
                <c:pt idx="315">
                  <c:v>1356.2172991194973</c:v>
                </c:pt>
                <c:pt idx="316">
                  <c:v>1358.287824328128</c:v>
                </c:pt>
                <c:pt idx="317">
                  <c:v>1360.2572016777599</c:v>
                </c:pt>
                <c:pt idx="318">
                  <c:v>1362.1256443831371</c:v>
                </c:pt>
                <c:pt idx="319">
                  <c:v>1363.8933569009889</c:v>
                </c:pt>
                <c:pt idx="320">
                  <c:v>1365.5605351734173</c:v>
                </c:pt>
                <c:pt idx="321">
                  <c:v>1367.127366883662</c:v>
                </c:pt>
                <c:pt idx="322">
                  <c:v>1368.594031725976</c:v>
                </c:pt>
                <c:pt idx="323">
                  <c:v>1369.9607016913917</c:v>
                </c:pt>
                <c:pt idx="324">
                  <c:v>1371.2275413711684</c:v>
                </c:pt>
                <c:pt idx="325">
                  <c:v>1372.3947082796856</c:v>
                </c:pt>
                <c:pt idx="326">
                  <c:v>1373.462353198453</c:v>
                </c:pt>
                <c:pt idx="327">
                  <c:v>1374.4306205427579</c:v>
                </c:pt>
                <c:pt idx="328">
                  <c:v>1375.2996487522273</c:v>
                </c:pt>
                <c:pt idx="329">
                  <c:v>1376.0695707062632</c:v>
                </c:pt>
                <c:pt idx="330">
                  <c:v>1376.740514164881</c:v>
                </c:pt>
                <c:pt idx="331">
                  <c:v>1377.3126022349647</c:v>
                </c:pt>
                <c:pt idx="332">
                  <c:v>1377.7859538613468</c:v>
                </c:pt>
                <c:pt idx="333">
                  <c:v>1378.160684341434</c:v>
                </c:pt>
                <c:pt idx="334">
                  <c:v>1378.4369058613709</c:v>
                </c:pt>
                <c:pt idx="335">
                  <c:v>1378.6147280509867</c:v>
                </c:pt>
                <c:pt idx="336">
                  <c:v>1378.6942585540462</c:v>
                </c:pt>
                <c:pt idx="337">
                  <c:v>1378.6756036096754</c:v>
                </c:pt>
                <c:pt idx="338">
                  <c:v>1378.5588686402957</c:v>
                </c:pt>
                <c:pt idx="339">
                  <c:v>1378.3441588410212</c:v>
                </c:pt>
                <c:pt idx="340">
                  <c:v>1378.031579765274</c:v>
                </c:pt>
                <c:pt idx="341">
                  <c:v>1377.6212379013812</c:v>
                </c:pt>
                <c:pt idx="342">
                  <c:v>1377.1132412351203</c:v>
                </c:pt>
                <c:pt idx="343">
                  <c:v>1376.5076997935741</c:v>
                </c:pt>
                <c:pt idx="344">
                  <c:v>1375.8047261661948</c:v>
                </c:pt>
                <c:pt idx="345">
                  <c:v>1375.0044359996434</c:v>
                </c:pt>
                <c:pt idx="346">
                  <c:v>1374.1069484636939</c:v>
                </c:pt>
                <c:pt idx="347">
                  <c:v>1373.112386686247</c:v>
                </c:pt>
                <c:pt idx="348">
                  <c:v>1372.0208781562283</c:v>
                </c:pt>
                <c:pt idx="349">
                  <c:v>1370.8325550938339</c:v>
                </c:pt>
                <c:pt idx="350">
                  <c:v>1369.547554788187</c:v>
                </c:pt>
                <c:pt idx="351">
                  <c:v>1368.1660199029864</c:v>
                </c:pt>
                <c:pt idx="352">
                  <c:v>1366.6880987511424</c:v>
                </c:pt>
                <c:pt idx="353">
                  <c:v>1365.1139455397163</c:v>
                </c:pt>
                <c:pt idx="354">
                  <c:v>1363.4437205867027</c:v>
                </c:pt>
                <c:pt idx="355">
                  <c:v>1361.6775905113459</c:v>
                </c:pt>
                <c:pt idx="356">
                  <c:v>1359.8157283997532</c:v>
                </c:pt>
                <c:pt idx="357">
                  <c:v>1357.8583139475918</c:v>
                </c:pt>
                <c:pt idx="358">
                  <c:v>1355.8055335816312</c:v>
                </c:pt>
                <c:pt idx="359">
                  <c:v>1353.6575805618347</c:v>
                </c:pt>
                <c:pt idx="360">
                  <c:v>1351.4146550656244</c:v>
                </c:pt>
                <c:pt idx="361">
                  <c:v>1349.0769642558444</c:v>
                </c:pt>
                <c:pt idx="362">
                  <c:v>1346.6447223338478</c:v>
                </c:pt>
                <c:pt idx="363">
                  <c:v>1344.1181505790164</c:v>
                </c:pt>
                <c:pt idx="364">
                  <c:v>1341.4974773759209</c:v>
                </c:pt>
                <c:pt idx="365">
                  <c:v>1338.7829382302175</c:v>
                </c:pt>
                <c:pt idx="366">
                  <c:v>1335.9747757742812</c:v>
                </c:pt>
                <c:pt idx="367">
                  <c:v>1333.0732397634774</c:v>
                </c:pt>
                <c:pt idx="368">
                  <c:v>1330.0785870638895</c:v>
                </c:pt>
                <c:pt idx="369">
                  <c:v>1326.9910816322358</c:v>
                </c:pt>
                <c:pt idx="370">
                  <c:v>1323.8109944886403</c:v>
                </c:pt>
                <c:pt idx="371">
                  <c:v>1320.5386036828513</c:v>
                </c:pt>
                <c:pt idx="372">
                  <c:v>1317.174194254445</c:v>
                </c:pt>
                <c:pt idx="373">
                  <c:v>1313.7180581874952</c:v>
                </c:pt>
                <c:pt idx="374">
                  <c:v>1310.1704943601476</c:v>
                </c:pt>
                <c:pt idx="375">
                  <c:v>1306.5318084894848</c:v>
                </c:pt>
                <c:pt idx="376">
                  <c:v>1302.8023130720426</c:v>
                </c:pt>
                <c:pt idx="377">
                  <c:v>1298.9823273202937</c:v>
                </c:pt>
                <c:pt idx="378">
                  <c:v>1295.0721770953919</c:v>
                </c:pt>
                <c:pt idx="379">
                  <c:v>1291.072194836441</c:v>
                </c:pt>
                <c:pt idx="380">
                  <c:v>1286.9827194865288</c:v>
                </c:pt>
                <c:pt idx="381">
                  <c:v>1282.8040964157485</c:v>
                </c:pt>
                <c:pt idx="382">
                  <c:v>1278.5366773414075</c:v>
                </c:pt>
                <c:pt idx="383">
                  <c:v>1274.1808202456125</c:v>
                </c:pt>
                <c:pt idx="384">
                  <c:v>1269.7368892903996</c:v>
                </c:pt>
                <c:pt idx="385">
                  <c:v>1265.2052547305734</c:v>
                </c:pt>
                <c:pt idx="386">
                  <c:v>1260.586292824398</c:v>
                </c:pt>
                <c:pt idx="387">
                  <c:v>1255.8803857422815</c:v>
                </c:pt>
                <c:pt idx="388">
                  <c:v>1251.0879214735833</c:v>
                </c:pt>
                <c:pt idx="389">
                  <c:v>1246.2092937316645</c:v>
                </c:pt>
                <c:pt idx="390">
                  <c:v>1241.2449018572963</c:v>
                </c:pt>
                <c:pt idx="391">
                  <c:v>1236.1951507205365</c:v>
                </c:pt>
                <c:pt idx="392">
                  <c:v>1231.0604506211741</c:v>
                </c:pt>
                <c:pt idx="393">
                  <c:v>1225.8412171878426</c:v>
                </c:pt>
                <c:pt idx="394">
                  <c:v>1220.5378712758943</c:v>
                </c:pt>
                <c:pt idx="395">
                  <c:v>1215.1508388641246</c:v>
                </c:pt>
                <c:pt idx="396">
                  <c:v>1209.6805509504329</c:v>
                </c:pt>
                <c:pt idx="397">
                  <c:v>1204.1274434465022</c:v>
                </c:pt>
                <c:pt idx="398">
                  <c:v>1198.4919570715767</c:v>
                </c:pt>
                <c:pt idx="399">
                  <c:v>1192.7745372454156</c:v>
                </c:pt>
                <c:pt idx="400">
                  <c:v>1186.9756339804937</c:v>
                </c:pt>
                <c:pt idx="401">
                  <c:v>1181.0957017735263</c:v>
                </c:pt>
                <c:pt idx="402">
                  <c:v>1175.1351994963829</c:v>
                </c:pt>
                <c:pt idx="403">
                  <c:v>1169.0945902864605</c:v>
                </c:pt>
                <c:pt idx="404">
                  <c:v>1162.9743414365821</c:v>
                </c:pt>
                <c:pt idx="405">
                  <c:v>1156.7749242844839</c:v>
                </c:pt>
                <c:pt idx="406">
                  <c:v>1150.496814101954</c:v>
                </c:pt>
                <c:pt idx="407">
                  <c:v>1144.1404899836848</c:v>
                </c:pt>
                <c:pt idx="408">
                  <c:v>1137.7064347358967</c:v>
                </c:pt>
                <c:pt idx="409">
                  <c:v>1131.195134764793</c:v>
                </c:pt>
                <c:pt idx="410">
                  <c:v>1124.6070799649017</c:v>
                </c:pt>
                <c:pt idx="411">
                  <c:v>1117.9427636073603</c:v>
                </c:pt>
                <c:pt idx="412">
                  <c:v>1111.2026822281978</c:v>
                </c:pt>
                <c:pt idx="413">
                  <c:v>1104.3873355166666</c:v>
                </c:pt>
                <c:pt idx="414">
                  <c:v>1097.4972262036761</c:v>
                </c:pt>
                <c:pt idx="415">
                  <c:v>1090.5328599503787</c:v>
                </c:pt>
                <c:pt idx="416">
                  <c:v>1083.4947452369581</c:v>
                </c:pt>
                <c:pt idx="417">
                  <c:v>1076.3833932516677</c:v>
                </c:pt>
                <c:pt idx="418">
                  <c:v>1069.1993177801653</c:v>
                </c:pt>
                <c:pt idx="419">
                  <c:v>1061.9430350951932</c:v>
                </c:pt>
                <c:pt idx="420">
                  <c:v>1054.6150638466449</c:v>
                </c:pt>
                <c:pt idx="421">
                  <c:v>1047.2159249520651</c:v>
                </c:pt>
                <c:pt idx="422">
                  <c:v>1039.7461414876241</c:v>
                </c:pt>
                <c:pt idx="423">
                  <c:v>1032.2062385796098</c:v>
                </c:pt>
                <c:pt idx="424">
                  <c:v>1024.596743296476</c:v>
                </c:pt>
                <c:pt idx="425">
                  <c:v>1016.9181845414884</c:v>
                </c:pt>
                <c:pt idx="426">
                  <c:v>1009.1710929460057</c:v>
                </c:pt>
                <c:pt idx="427">
                  <c:v>1001.3560007634338</c:v>
                </c:pt>
                <c:pt idx="428">
                  <c:v>993.47344176388856</c:v>
                </c:pt>
                <c:pt idx="429">
                  <c:v>985.52395112960335</c:v>
                </c:pt>
                <c:pt idx="430">
                  <c:v>977.50806535111542</c:v>
                </c:pt>
                <c:pt idx="431">
                  <c:v>969.42632212426395</c:v>
                </c:pt>
                <c:pt idx="432">
                  <c:v>961.27926024803173</c:v>
                </c:pt>
                <c:pt idx="433">
                  <c:v>953.06741952326252</c:v>
                </c:pt>
                <c:pt idx="434">
                  <c:v>944.79134065228288</c:v>
                </c:pt>
                <c:pt idx="435">
                  <c:v>936.45156513945813</c:v>
                </c:pt>
                <c:pt idx="436">
                  <c:v>928.04863519271055</c:v>
                </c:pt>
                <c:pt idx="437">
                  <c:v>919.58309362602586</c:v>
                </c:pt>
                <c:pt idx="438">
                  <c:v>911.05548376297486</c:v>
                </c:pt>
                <c:pt idx="439">
                  <c:v>902.46634934127428</c:v>
                </c:pt>
                <c:pt idx="440">
                  <c:v>893.81623441841111</c:v>
                </c:pt>
                <c:pt idx="441">
                  <c:v>885.10568327835301</c:v>
                </c:pt>
                <c:pt idx="442">
                  <c:v>876.33524033936635</c:v>
                </c:pt>
                <c:pt idx="443">
                  <c:v>867.50545006296329</c:v>
                </c:pt>
                <c:pt idx="444">
                  <c:v>858.61685686399699</c:v>
                </c:pt>
                <c:pt idx="445">
                  <c:v>849.67000502192411</c:v>
                </c:pt>
                <c:pt idx="446">
                  <c:v>840.66543859325247</c:v>
                </c:pt>
                <c:pt idx="447">
                  <c:v>831.60370132519017</c:v>
                </c:pt>
                <c:pt idx="448">
                  <c:v>822.4853365705128</c:v>
                </c:pt>
                <c:pt idx="449">
                  <c:v>813.31088720366313</c:v>
                </c:pt>
                <c:pt idx="450">
                  <c:v>804.08089553809702</c:v>
                </c:pt>
                <c:pt idx="451">
                  <c:v>794.7959032448897</c:v>
                </c:pt>
                <c:pt idx="452">
                  <c:v>785.45645127261309</c:v>
                </c:pt>
                <c:pt idx="453">
                  <c:v>776.06307976849632</c:v>
                </c:pt>
                <c:pt idx="454">
                  <c:v>766.61632800087943</c:v>
                </c:pt>
                <c:pt idx="455">
                  <c:v>757.11673428296956</c:v>
                </c:pt>
                <c:pt idx="456">
                  <c:v>747.56483589790867</c:v>
                </c:pt>
                <c:pt idx="457">
                  <c:v>737.96116902515973</c:v>
                </c:pt>
                <c:pt idx="458">
                  <c:v>728.3062686682191</c:v>
                </c:pt>
                <c:pt idx="459">
                  <c:v>718.60066858365985</c:v>
                </c:pt>
                <c:pt idx="460">
                  <c:v>708.84490121151271</c:v>
                </c:pt>
                <c:pt idx="461">
                  <c:v>699.03949760698754</c:v>
                </c:pt>
                <c:pt idx="462">
                  <c:v>689.18498737354071</c:v>
                </c:pt>
                <c:pt idx="463">
                  <c:v>679.28189859728877</c:v>
                </c:pt>
                <c:pt idx="464">
                  <c:v>669.33075778277293</c:v>
                </c:pt>
                <c:pt idx="465">
                  <c:v>659.33208979007418</c:v>
                </c:pt>
                <c:pt idx="466">
                  <c:v>649.28641777327982</c:v>
                </c:pt>
                <c:pt idx="467">
                  <c:v>639.1942631203018</c:v>
                </c:pt>
                <c:pt idx="468">
                  <c:v>629.05614539404553</c:v>
                </c:pt>
                <c:pt idx="469">
                  <c:v>618.87258227492794</c:v>
                </c:pt>
                <c:pt idx="470">
                  <c:v>608.64408950474251</c:v>
                </c:pt>
                <c:pt idx="471">
                  <c:v>598.37118083186863</c:v>
                </c:pt>
                <c:pt idx="472">
                  <c:v>588.05436795782134</c:v>
                </c:pt>
                <c:pt idx="473">
                  <c:v>577.69416048513824</c:v>
                </c:pt>
                <c:pt idx="474">
                  <c:v>567.29106586659827</c:v>
                </c:pt>
                <c:pt idx="475">
                  <c:v>556.84558935576729</c:v>
                </c:pt>
                <c:pt idx="476">
                  <c:v>546.35823395886462</c:v>
                </c:pt>
                <c:pt idx="477">
                  <c:v>535.82950038794479</c:v>
                </c:pt>
                <c:pt idx="478">
                  <c:v>525.25988701538665</c:v>
                </c:pt>
                <c:pt idx="479">
                  <c:v>514.64988982968316</c:v>
                </c:pt>
                <c:pt idx="480">
                  <c:v>504.00000239252415</c:v>
                </c:pt>
                <c:pt idx="481">
                  <c:v>493.3107157971628</c:v>
                </c:pt>
                <c:pt idx="482">
                  <c:v>482.58251862805832</c:v>
                </c:pt>
                <c:pt idx="483">
                  <c:v>471.81589692178449</c:v>
                </c:pt>
                <c:pt idx="484">
                  <c:v>461.01133412919495</c:v>
                </c:pt>
                <c:pt idx="485">
                  <c:v>450.16931107883505</c:v>
                </c:pt>
                <c:pt idx="486">
                  <c:v>439.29030594158996</c:v>
                </c:pt>
                <c:pt idx="487">
                  <c:v>428.37479419655767</c:v>
                </c:pt>
                <c:pt idx="488">
                  <c:v>417.42324859813641</c:v>
                </c:pt>
                <c:pt idx="489">
                  <c:v>406.43613914431438</c:v>
                </c:pt>
                <c:pt idx="490">
                  <c:v>395.41393304615013</c:v>
                </c:pt>
                <c:pt idx="491">
                  <c:v>384.35709469843147</c:v>
                </c:pt>
                <c:pt idx="492">
                  <c:v>373.26608565150013</c:v>
                </c:pt>
                <c:pt idx="493">
                  <c:v>362.14136458422973</c:v>
                </c:pt>
                <c:pt idx="494">
                  <c:v>350.98338727814388</c:v>
                </c:pt>
                <c:pt idx="495">
                  <c:v>339.792606592661</c:v>
                </c:pt>
                <c:pt idx="496">
                  <c:v>328.56947244145266</c:v>
                </c:pt>
                <c:pt idx="497">
                  <c:v>317.31443176990132</c:v>
                </c:pt>
                <c:pt idx="498">
                  <c:v>306.02792853364349</c:v>
                </c:pt>
                <c:pt idx="499">
                  <c:v>294.71040367818483</c:v>
                </c:pt>
                <c:pt idx="500">
                  <c:v>283.36229511957185</c:v>
                </c:pt>
                <c:pt idx="501">
                  <c:v>271.98403772610629</c:v>
                </c:pt>
                <c:pt idx="502">
                  <c:v>260.57606330108763</c:v>
                </c:pt>
                <c:pt idx="503">
                  <c:v>249.13880056656848</c:v>
                </c:pt>
                <c:pt idx="504">
                  <c:v>237.67267514810825</c:v>
                </c:pt>
                <c:pt idx="505">
                  <c:v>226.17810956050997</c:v>
                </c:pt>
                <c:pt idx="506">
                  <c:v>214.65552319452487</c:v>
                </c:pt>
                <c:pt idx="507">
                  <c:v>203.10533230450991</c:v>
                </c:pt>
                <c:pt idx="508">
                  <c:v>191.52794999702257</c:v>
                </c:pt>
                <c:pt idx="509">
                  <c:v>179.92378622033755</c:v>
                </c:pt>
                <c:pt idx="510">
                  <c:v>168.29324775487009</c:v>
                </c:pt>
                <c:pt idx="511">
                  <c:v>156.63673820449023</c:v>
                </c:pt>
                <c:pt idx="512">
                  <c:v>144.95465798871246</c:v>
                </c:pt>
                <c:pt idx="513">
                  <c:v>133.24740433574539</c:v>
                </c:pt>
                <c:pt idx="514">
                  <c:v>121.51537127638554</c:v>
                </c:pt>
                <c:pt idx="515">
                  <c:v>109.75894963873985</c:v>
                </c:pt>
                <c:pt idx="516">
                  <c:v>97.978527043761261</c:v>
                </c:pt>
                <c:pt idx="517">
                  <c:v>86.174487901581813</c:v>
                </c:pt>
                <c:pt idx="518">
                  <c:v>74.347213408627553</c:v>
                </c:pt>
                <c:pt idx="519">
                  <c:v>62.497081545499888</c:v>
                </c:pt>
                <c:pt idx="520">
                  <c:v>50.62446707560774</c:v>
                </c:pt>
                <c:pt idx="521">
                  <c:v>38.729741544535074</c:v>
                </c:pt>
                <c:pt idx="522">
                  <c:v>26.813273280128442</c:v>
                </c:pt>
                <c:pt idx="523">
                  <c:v>14.875427393289083</c:v>
                </c:pt>
                <c:pt idx="524">
                  <c:v>2.9165657794543893</c:v>
                </c:pt>
                <c:pt idx="525">
                  <c:v>-9.0629528792465539</c:v>
                </c:pt>
                <c:pt idx="526">
                  <c:v>-9.0749426472209826</c:v>
                </c:pt>
                <c:pt idx="527">
                  <c:v>-9.086932435319877</c:v>
                </c:pt>
                <c:pt idx="528">
                  <c:v>-9.0989222435428854</c:v>
                </c:pt>
                <c:pt idx="529">
                  <c:v>-9.1109120718896595</c:v>
                </c:pt>
                <c:pt idx="530">
                  <c:v>-9.1229019203598476</c:v>
                </c:pt>
                <c:pt idx="531">
                  <c:v>-9.1348917889530998</c:v>
                </c:pt>
                <c:pt idx="532">
                  <c:v>-9.146881677669068</c:v>
                </c:pt>
                <c:pt idx="533">
                  <c:v>-9.1588715865074004</c:v>
                </c:pt>
                <c:pt idx="534">
                  <c:v>-9.1708615154677471</c:v>
                </c:pt>
                <c:pt idx="535">
                  <c:v>-9.1828514645497599</c:v>
                </c:pt>
                <c:pt idx="536">
                  <c:v>-9.194841433753087</c:v>
                </c:pt>
                <c:pt idx="537">
                  <c:v>-9.2068314230773787</c:v>
                </c:pt>
                <c:pt idx="538">
                  <c:v>-9.2188214325222866</c:v>
                </c:pt>
                <c:pt idx="539">
                  <c:v>-9.2308114620874591</c:v>
                </c:pt>
                <c:pt idx="540">
                  <c:v>-9.2428015117725462</c:v>
                </c:pt>
                <c:pt idx="541">
                  <c:v>-9.2547915815771979</c:v>
                </c:pt>
                <c:pt idx="542">
                  <c:v>-9.2667816715010662</c:v>
                </c:pt>
                <c:pt idx="543">
                  <c:v>-9.2787717815437993</c:v>
                </c:pt>
                <c:pt idx="544">
                  <c:v>-9.2907619117050473</c:v>
                </c:pt>
                <c:pt idx="545">
                  <c:v>-9.3027520619844601</c:v>
                </c:pt>
                <c:pt idx="546">
                  <c:v>-9.3147422323816897</c:v>
                </c:pt>
                <c:pt idx="547">
                  <c:v>-9.3267324228963844</c:v>
                </c:pt>
                <c:pt idx="548">
                  <c:v>-9.3387226335281941</c:v>
                </c:pt>
                <c:pt idx="549">
                  <c:v>-9.350712864276769</c:v>
                </c:pt>
                <c:pt idx="550">
                  <c:v>-9.3627031151417608</c:v>
                </c:pt>
                <c:pt idx="551">
                  <c:v>-9.3746933861228179</c:v>
                </c:pt>
                <c:pt idx="552">
                  <c:v>-9.3866836772195921</c:v>
                </c:pt>
                <c:pt idx="553">
                  <c:v>-9.3986739884317316</c:v>
                </c:pt>
                <c:pt idx="554">
                  <c:v>-9.4106643197588866</c:v>
                </c:pt>
                <c:pt idx="555">
                  <c:v>-9.4226546712007089</c:v>
                </c:pt>
                <c:pt idx="556">
                  <c:v>-9.4346450427568467</c:v>
                </c:pt>
                <c:pt idx="557">
                  <c:v>-9.4466354344269519</c:v>
                </c:pt>
                <c:pt idx="558">
                  <c:v>-9.4586258462106727</c:v>
                </c:pt>
                <c:pt idx="559">
                  <c:v>-9.470616278107661</c:v>
                </c:pt>
                <c:pt idx="560">
                  <c:v>-9.4826067301175652</c:v>
                </c:pt>
                <c:pt idx="561">
                  <c:v>-9.4945972022400369</c:v>
                </c:pt>
                <c:pt idx="562">
                  <c:v>-9.5065876944747245</c:v>
                </c:pt>
                <c:pt idx="563">
                  <c:v>-9.5185782068212799</c:v>
                </c:pt>
                <c:pt idx="564">
                  <c:v>-9.530568739279353</c:v>
                </c:pt>
                <c:pt idx="565">
                  <c:v>-9.542559291848594</c:v>
                </c:pt>
                <c:pt idx="566">
                  <c:v>-9.5545498645286511</c:v>
                </c:pt>
                <c:pt idx="567">
                  <c:v>-9.5665404573191761</c:v>
                </c:pt>
                <c:pt idx="568">
                  <c:v>-9.5785310702198192</c:v>
                </c:pt>
                <c:pt idx="569">
                  <c:v>-9.5905217032302303</c:v>
                </c:pt>
                <c:pt idx="570">
                  <c:v>-9.6025123563500596</c:v>
                </c:pt>
                <c:pt idx="571">
                  <c:v>-9.6145030295789571</c:v>
                </c:pt>
                <c:pt idx="572">
                  <c:v>-9.6264937229165728</c:v>
                </c:pt>
                <c:pt idx="573">
                  <c:v>-9.6384844363625568</c:v>
                </c:pt>
                <c:pt idx="574">
                  <c:v>-9.650475169916561</c:v>
                </c:pt>
                <c:pt idx="575">
                  <c:v>-9.6624659235782335</c:v>
                </c:pt>
                <c:pt idx="576">
                  <c:v>-9.6744566973472246</c:v>
                </c:pt>
                <c:pt idx="577">
                  <c:v>-9.6864474912231859</c:v>
                </c:pt>
                <c:pt idx="578">
                  <c:v>-9.6984383052057659</c:v>
                </c:pt>
                <c:pt idx="579">
                  <c:v>-9.7104291392946163</c:v>
                </c:pt>
                <c:pt idx="580">
                  <c:v>-9.7224199934893853</c:v>
                </c:pt>
                <c:pt idx="581">
                  <c:v>-9.734410867789725</c:v>
                </c:pt>
                <c:pt idx="582">
                  <c:v>-9.7464017621952852</c:v>
                </c:pt>
                <c:pt idx="583">
                  <c:v>-9.7583926767057143</c:v>
                </c:pt>
                <c:pt idx="584">
                  <c:v>-9.7703836113206641</c:v>
                </c:pt>
                <c:pt idx="585">
                  <c:v>-9.7823745660397847</c:v>
                </c:pt>
                <c:pt idx="586">
                  <c:v>-9.7943655408627261</c:v>
                </c:pt>
                <c:pt idx="587">
                  <c:v>-9.8063565357891385</c:v>
                </c:pt>
                <c:pt idx="588">
                  <c:v>-9.8183475508186735</c:v>
                </c:pt>
                <c:pt idx="589">
                  <c:v>-9.8303385859509795</c:v>
                </c:pt>
                <c:pt idx="590">
                  <c:v>-9.8423296411857066</c:v>
                </c:pt>
                <c:pt idx="591">
                  <c:v>-9.8543207165225066</c:v>
                </c:pt>
                <c:pt idx="592">
                  <c:v>-9.8663118119610278</c:v>
                </c:pt>
                <c:pt idx="593">
                  <c:v>-9.878302927500922</c:v>
                </c:pt>
                <c:pt idx="594">
                  <c:v>-9.8902940631418392</c:v>
                </c:pt>
                <c:pt idx="595">
                  <c:v>-9.9022852188834278</c:v>
                </c:pt>
                <c:pt idx="596">
                  <c:v>-9.9142763947253396</c:v>
                </c:pt>
                <c:pt idx="597">
                  <c:v>-9.9262675906672246</c:v>
                </c:pt>
                <c:pt idx="598">
                  <c:v>-9.9382588067087347</c:v>
                </c:pt>
                <c:pt idx="599">
                  <c:v>-9.9502500428495182</c:v>
                </c:pt>
                <c:pt idx="600">
                  <c:v>-9.9622412990892251</c:v>
                </c:pt>
                <c:pt idx="601">
                  <c:v>-9.9742325754275072</c:v>
                </c:pt>
                <c:pt idx="602">
                  <c:v>-9.9862238718640128</c:v>
                </c:pt>
                <c:pt idx="603">
                  <c:v>-9.9982151883983938</c:v>
                </c:pt>
                <c:pt idx="604">
                  <c:v>-10.010206525030299</c:v>
                </c:pt>
                <c:pt idx="605">
                  <c:v>-10.022197881759379</c:v>
                </c:pt>
                <c:pt idx="606">
                  <c:v>-10.034189258585284</c:v>
                </c:pt>
                <c:pt idx="607">
                  <c:v>-10.046180655507666</c:v>
                </c:pt>
                <c:pt idx="608">
                  <c:v>-10.058172072526174</c:v>
                </c:pt>
                <c:pt idx="609">
                  <c:v>-10.070163509640459</c:v>
                </c:pt>
                <c:pt idx="610">
                  <c:v>-10.082154966850169</c:v>
                </c:pt>
                <c:pt idx="611">
                  <c:v>-10.094146444154957</c:v>
                </c:pt>
                <c:pt idx="612">
                  <c:v>-10.106137941554472</c:v>
                </c:pt>
                <c:pt idx="613">
                  <c:v>-10.118129459048365</c:v>
                </c:pt>
                <c:pt idx="614">
                  <c:v>-10.130120996636286</c:v>
                </c:pt>
                <c:pt idx="615">
                  <c:v>-10.142112554317885</c:v>
                </c:pt>
                <c:pt idx="616">
                  <c:v>-10.154104132092812</c:v>
                </c:pt>
                <c:pt idx="617">
                  <c:v>-10.166095729960716</c:v>
                </c:pt>
                <c:pt idx="618">
                  <c:v>-10.178087347921251</c:v>
                </c:pt>
                <c:pt idx="619">
                  <c:v>-10.190078985974063</c:v>
                </c:pt>
                <c:pt idx="620">
                  <c:v>-10.202070644118805</c:v>
                </c:pt>
                <c:pt idx="621">
                  <c:v>-10.214062322355128</c:v>
                </c:pt>
                <c:pt idx="622">
                  <c:v>-10.22605402068268</c:v>
                </c:pt>
                <c:pt idx="623">
                  <c:v>-10.238045739101112</c:v>
                </c:pt>
                <c:pt idx="624">
                  <c:v>-10.250037477610077</c:v>
                </c:pt>
                <c:pt idx="625">
                  <c:v>-10.262029236209221</c:v>
                </c:pt>
                <c:pt idx="626">
                  <c:v>-10.274021014898198</c:v>
                </c:pt>
                <c:pt idx="627">
                  <c:v>-10.286012813676656</c:v>
                </c:pt>
                <c:pt idx="628">
                  <c:v>-10.298004632544247</c:v>
                </c:pt>
                <c:pt idx="629">
                  <c:v>-10.30999647150062</c:v>
                </c:pt>
                <c:pt idx="630">
                  <c:v>-10.321988330545425</c:v>
                </c:pt>
                <c:pt idx="631">
                  <c:v>-10.333980209678314</c:v>
                </c:pt>
                <c:pt idx="632">
                  <c:v>-10.345972108898936</c:v>
                </c:pt>
                <c:pt idx="633">
                  <c:v>-10.357964028206942</c:v>
                </c:pt>
                <c:pt idx="634">
                  <c:v>-10.369955967601982</c:v>
                </c:pt>
                <c:pt idx="635">
                  <c:v>-10.381947927083706</c:v>
                </c:pt>
                <c:pt idx="636">
                  <c:v>-10.393939906651765</c:v>
                </c:pt>
                <c:pt idx="637">
                  <c:v>-10.40593190630581</c:v>
                </c:pt>
                <c:pt idx="638">
                  <c:v>-10.417923926045489</c:v>
                </c:pt>
                <c:pt idx="639">
                  <c:v>-10.429915965870455</c:v>
                </c:pt>
                <c:pt idx="640">
                  <c:v>-10.441908025780357</c:v>
                </c:pt>
                <c:pt idx="641">
                  <c:v>-10.453900105774846</c:v>
                </c:pt>
                <c:pt idx="642">
                  <c:v>-10.465892205853571</c:v>
                </c:pt>
                <c:pt idx="643">
                  <c:v>-10.477884326016184</c:v>
                </c:pt>
                <c:pt idx="644">
                  <c:v>-10.489876466262336</c:v>
                </c:pt>
                <c:pt idx="645">
                  <c:v>-10.501868626591675</c:v>
                </c:pt>
                <c:pt idx="646">
                  <c:v>-10.513860807003852</c:v>
                </c:pt>
                <c:pt idx="647">
                  <c:v>-10.525853007498519</c:v>
                </c:pt>
                <c:pt idx="648">
                  <c:v>-10.537845228075325</c:v>
                </c:pt>
                <c:pt idx="649">
                  <c:v>-10.549837468733921</c:v>
                </c:pt>
                <c:pt idx="650">
                  <c:v>-10.561829729473956</c:v>
                </c:pt>
                <c:pt idx="651">
                  <c:v>-10.573822010295082</c:v>
                </c:pt>
                <c:pt idx="652">
                  <c:v>-10.58581431119695</c:v>
                </c:pt>
                <c:pt idx="653">
                  <c:v>-10.597806632179209</c:v>
                </c:pt>
                <c:pt idx="654">
                  <c:v>-10.60979897324151</c:v>
                </c:pt>
                <c:pt idx="655">
                  <c:v>-10.621791334383502</c:v>
                </c:pt>
                <c:pt idx="656">
                  <c:v>-10.633783715604837</c:v>
                </c:pt>
                <c:pt idx="657">
                  <c:v>-10.645776116905166</c:v>
                </c:pt>
                <c:pt idx="658">
                  <c:v>-10.657768538284138</c:v>
                </c:pt>
                <c:pt idx="659">
                  <c:v>-10.669760979741405</c:v>
                </c:pt>
                <c:pt idx="660">
                  <c:v>-10.681753441276614</c:v>
                </c:pt>
                <c:pt idx="661">
                  <c:v>-10.69374592288942</c:v>
                </c:pt>
                <c:pt idx="662">
                  <c:v>-10.70573842457947</c:v>
                </c:pt>
                <c:pt idx="663">
                  <c:v>-10.717730946346416</c:v>
                </c:pt>
                <c:pt idx="664">
                  <c:v>-10.729723488189908</c:v>
                </c:pt>
                <c:pt idx="665">
                  <c:v>-10.741716050109597</c:v>
                </c:pt>
                <c:pt idx="666">
                  <c:v>-10.753708632105132</c:v>
                </c:pt>
                <c:pt idx="667">
                  <c:v>-10.765701234176165</c:v>
                </c:pt>
                <c:pt idx="668">
                  <c:v>-10.777693856322346</c:v>
                </c:pt>
                <c:pt idx="669">
                  <c:v>-10.789686498543325</c:v>
                </c:pt>
                <c:pt idx="670">
                  <c:v>-10.801679160838754</c:v>
                </c:pt>
                <c:pt idx="671">
                  <c:v>-10.813671843208281</c:v>
                </c:pt>
                <c:pt idx="672">
                  <c:v>-10.825664545651559</c:v>
                </c:pt>
                <c:pt idx="673">
                  <c:v>-10.837657268168236</c:v>
                </c:pt>
                <c:pt idx="674">
                  <c:v>-10.849650010757964</c:v>
                </c:pt>
                <c:pt idx="675">
                  <c:v>-10.861642773420392</c:v>
                </c:pt>
                <c:pt idx="676">
                  <c:v>-10.873635556155174</c:v>
                </c:pt>
                <c:pt idx="677">
                  <c:v>-10.885628358961958</c:v>
                </c:pt>
                <c:pt idx="678">
                  <c:v>-10.897621181840393</c:v>
                </c:pt>
                <c:pt idx="679">
                  <c:v>-10.909614024790132</c:v>
                </c:pt>
                <c:pt idx="680">
                  <c:v>-10.921606887810825</c:v>
                </c:pt>
                <c:pt idx="681">
                  <c:v>-10.933599770902122</c:v>
                </c:pt>
                <c:pt idx="682">
                  <c:v>-10.945592674063674</c:v>
                </c:pt>
                <c:pt idx="683">
                  <c:v>-10.957585597295131</c:v>
                </c:pt>
                <c:pt idx="684">
                  <c:v>-10.969578540596142</c:v>
                </c:pt>
                <c:pt idx="685">
                  <c:v>-10.981571503966361</c:v>
                </c:pt>
                <c:pt idx="686">
                  <c:v>-10.993564487405436</c:v>
                </c:pt>
                <c:pt idx="687">
                  <c:v>-11.005557490913018</c:v>
                </c:pt>
                <c:pt idx="688">
                  <c:v>-11.017550514488759</c:v>
                </c:pt>
                <c:pt idx="689">
                  <c:v>-11.029543558132307</c:v>
                </c:pt>
                <c:pt idx="690">
                  <c:v>-11.041536621843314</c:v>
                </c:pt>
                <c:pt idx="691">
                  <c:v>-11.053529705621429</c:v>
                </c:pt>
                <c:pt idx="692">
                  <c:v>-11.065522809466305</c:v>
                </c:pt>
                <c:pt idx="693">
                  <c:v>-11.077515933377592</c:v>
                </c:pt>
                <c:pt idx="694">
                  <c:v>-11.08950907735494</c:v>
                </c:pt>
                <c:pt idx="695">
                  <c:v>-11.101502241397998</c:v>
                </c:pt>
                <c:pt idx="696">
                  <c:v>-11.11349542550642</c:v>
                </c:pt>
                <c:pt idx="697">
                  <c:v>-11.125488629679854</c:v>
                </c:pt>
                <c:pt idx="698">
                  <c:v>-11.137481853917951</c:v>
                </c:pt>
                <c:pt idx="699">
                  <c:v>-11.149475098220361</c:v>
                </c:pt>
                <c:pt idx="700">
                  <c:v>-11.161468362586735</c:v>
                </c:pt>
                <c:pt idx="701">
                  <c:v>-11.173461647016724</c:v>
                </c:pt>
                <c:pt idx="702">
                  <c:v>-11.185454951509978</c:v>
                </c:pt>
                <c:pt idx="703">
                  <c:v>-11.197448276066149</c:v>
                </c:pt>
                <c:pt idx="704">
                  <c:v>-11.209441620684887</c:v>
                </c:pt>
                <c:pt idx="705">
                  <c:v>-11.221434985365841</c:v>
                </c:pt>
                <c:pt idx="706">
                  <c:v>-11.233428370108662</c:v>
                </c:pt>
                <c:pt idx="707">
                  <c:v>-11.245421774913002</c:v>
                </c:pt>
                <c:pt idx="708">
                  <c:v>-11.25741519977851</c:v>
                </c:pt>
                <c:pt idx="709">
                  <c:v>-11.269408644704839</c:v>
                </c:pt>
                <c:pt idx="710">
                  <c:v>-11.281402109691637</c:v>
                </c:pt>
                <c:pt idx="711">
                  <c:v>-11.293395594738556</c:v>
                </c:pt>
                <c:pt idx="712">
                  <c:v>-11.305389099845245</c:v>
                </c:pt>
                <c:pt idx="713">
                  <c:v>-11.317382625011357</c:v>
                </c:pt>
                <c:pt idx="714">
                  <c:v>-11.329376170236541</c:v>
                </c:pt>
                <c:pt idx="715">
                  <c:v>-11.341369735520448</c:v>
                </c:pt>
                <c:pt idx="716">
                  <c:v>-11.353363320862728</c:v>
                </c:pt>
                <c:pt idx="717">
                  <c:v>-11.365356926263033</c:v>
                </c:pt>
                <c:pt idx="718">
                  <c:v>-11.377350551721012</c:v>
                </c:pt>
                <c:pt idx="719">
                  <c:v>-11.389344197236317</c:v>
                </c:pt>
                <c:pt idx="720">
                  <c:v>-11.4013378628086</c:v>
                </c:pt>
                <c:pt idx="721">
                  <c:v>-11.413331548437508</c:v>
                </c:pt>
                <c:pt idx="722">
                  <c:v>-11.425325254122694</c:v>
                </c:pt>
                <c:pt idx="723">
                  <c:v>-11.437318979863807</c:v>
                </c:pt>
                <c:pt idx="724">
                  <c:v>-11.4493127256605</c:v>
                </c:pt>
                <c:pt idx="725">
                  <c:v>-11.461306491512421</c:v>
                </c:pt>
                <c:pt idx="726">
                  <c:v>-11.473300277419222</c:v>
                </c:pt>
                <c:pt idx="727">
                  <c:v>-11.485294083380554</c:v>
                </c:pt>
                <c:pt idx="728">
                  <c:v>-11.497287909396066</c:v>
                </c:pt>
                <c:pt idx="729">
                  <c:v>-11.509281755465411</c:v>
                </c:pt>
                <c:pt idx="730">
                  <c:v>-11.521275621588238</c:v>
                </c:pt>
                <c:pt idx="731">
                  <c:v>-11.533269507764198</c:v>
                </c:pt>
                <c:pt idx="732">
                  <c:v>-11.545263413992942</c:v>
                </c:pt>
                <c:pt idx="733">
                  <c:v>-11.55725734027412</c:v>
                </c:pt>
                <c:pt idx="734">
                  <c:v>-11.569251286607383</c:v>
                </c:pt>
                <c:pt idx="735">
                  <c:v>-11.581245252992382</c:v>
                </c:pt>
                <c:pt idx="736">
                  <c:v>-11.593239239428767</c:v>
                </c:pt>
                <c:pt idx="737">
                  <c:v>-11.605233245916191</c:v>
                </c:pt>
                <c:pt idx="738">
                  <c:v>-11.617227272454301</c:v>
                </c:pt>
                <c:pt idx="739">
                  <c:v>-11.629221319042751</c:v>
                </c:pt>
                <c:pt idx="740">
                  <c:v>-11.641215385681189</c:v>
                </c:pt>
                <c:pt idx="741">
                  <c:v>-11.653209472369268</c:v>
                </c:pt>
                <c:pt idx="742">
                  <c:v>-11.665203579106636</c:v>
                </c:pt>
                <c:pt idx="743">
                  <c:v>-11.677197705892947</c:v>
                </c:pt>
                <c:pt idx="744">
                  <c:v>-11.689191852727848</c:v>
                </c:pt>
                <c:pt idx="745">
                  <c:v>-11.701186019610994</c:v>
                </c:pt>
                <c:pt idx="746">
                  <c:v>-11.713180206542031</c:v>
                </c:pt>
                <c:pt idx="747">
                  <c:v>-11.725174413520612</c:v>
                </c:pt>
                <c:pt idx="748">
                  <c:v>-11.73716864054639</c:v>
                </c:pt>
                <c:pt idx="749">
                  <c:v>-11.749162887619013</c:v>
                </c:pt>
                <c:pt idx="750">
                  <c:v>-11.761157154738132</c:v>
                </c:pt>
                <c:pt idx="751">
                  <c:v>-11.773151441903398</c:v>
                </c:pt>
                <c:pt idx="752">
                  <c:v>-11.785145749114461</c:v>
                </c:pt>
                <c:pt idx="753">
                  <c:v>-11.797140076370972</c:v>
                </c:pt>
                <c:pt idx="754">
                  <c:v>-11.809134423672583</c:v>
                </c:pt>
                <c:pt idx="755">
                  <c:v>-11.821128791018944</c:v>
                </c:pt>
                <c:pt idx="756">
                  <c:v>-11.833123178409705</c:v>
                </c:pt>
                <c:pt idx="757">
                  <c:v>-11.845117585844518</c:v>
                </c:pt>
                <c:pt idx="758">
                  <c:v>-11.857112013323032</c:v>
                </c:pt>
                <c:pt idx="759">
                  <c:v>-11.8691064608449</c:v>
                </c:pt>
                <c:pt idx="760">
                  <c:v>-11.881100928409772</c:v>
                </c:pt>
                <c:pt idx="761">
                  <c:v>-11.893095416017298</c:v>
                </c:pt>
                <c:pt idx="762">
                  <c:v>-11.905089923667129</c:v>
                </c:pt>
                <c:pt idx="763">
                  <c:v>-11.917084451358916</c:v>
                </c:pt>
                <c:pt idx="764">
                  <c:v>-11.929078999092308</c:v>
                </c:pt>
                <c:pt idx="765">
                  <c:v>-11.941073566866958</c:v>
                </c:pt>
                <c:pt idx="766">
                  <c:v>-11.953068154682516</c:v>
                </c:pt>
                <c:pt idx="767">
                  <c:v>-11.965062762538633</c:v>
                </c:pt>
                <c:pt idx="768">
                  <c:v>-11.977057390434959</c:v>
                </c:pt>
                <c:pt idx="769">
                  <c:v>-11.989052038371147</c:v>
                </c:pt>
                <c:pt idx="770">
                  <c:v>-12.001046706346846</c:v>
                </c:pt>
                <c:pt idx="771">
                  <c:v>-12.013041394361707</c:v>
                </c:pt>
                <c:pt idx="772">
                  <c:v>-12.025036102415381</c:v>
                </c:pt>
                <c:pt idx="773">
                  <c:v>-12.037030830507518</c:v>
                </c:pt>
                <c:pt idx="774">
                  <c:v>-12.049025578637769</c:v>
                </c:pt>
                <c:pt idx="775">
                  <c:v>-12.061020346805785</c:v>
                </c:pt>
                <c:pt idx="776">
                  <c:v>-12.073015135011218</c:v>
                </c:pt>
                <c:pt idx="777">
                  <c:v>-12.085009943253718</c:v>
                </c:pt>
                <c:pt idx="778">
                  <c:v>-12.097004771532935</c:v>
                </c:pt>
                <c:pt idx="779">
                  <c:v>-12.108999619848522</c:v>
                </c:pt>
                <c:pt idx="780">
                  <c:v>-12.120994488200127</c:v>
                </c:pt>
                <c:pt idx="781">
                  <c:v>-12.132989376587402</c:v>
                </c:pt>
                <c:pt idx="782">
                  <c:v>-12.144984285009997</c:v>
                </c:pt>
                <c:pt idx="783">
                  <c:v>-12.156979213467563</c:v>
                </c:pt>
                <c:pt idx="784">
                  <c:v>-12.168974161959753</c:v>
                </c:pt>
                <c:pt idx="785">
                  <c:v>-12.180969130486215</c:v>
                </c:pt>
                <c:pt idx="786">
                  <c:v>-12.192964119046602</c:v>
                </c:pt>
                <c:pt idx="787">
                  <c:v>-12.204959127640564</c:v>
                </c:pt>
                <c:pt idx="788">
                  <c:v>-12.216954156267752</c:v>
                </c:pt>
                <c:pt idx="789">
                  <c:v>-12.228949204927817</c:v>
                </c:pt>
                <c:pt idx="790">
                  <c:v>-12.240944273620409</c:v>
                </c:pt>
                <c:pt idx="791">
                  <c:v>-12.252939362345179</c:v>
                </c:pt>
                <c:pt idx="792">
                  <c:v>-12.264934471101778</c:v>
                </c:pt>
                <c:pt idx="793">
                  <c:v>-12.276929599889858</c:v>
                </c:pt>
                <c:pt idx="794">
                  <c:v>-12.288924748709068</c:v>
                </c:pt>
                <c:pt idx="795">
                  <c:v>-12.30091991755906</c:v>
                </c:pt>
                <c:pt idx="796">
                  <c:v>-12.312915106439485</c:v>
                </c:pt>
                <c:pt idx="797">
                  <c:v>-12.324910315349994</c:v>
                </c:pt>
                <c:pt idx="798">
                  <c:v>-12.336905544290238</c:v>
                </c:pt>
                <c:pt idx="799">
                  <c:v>-12.348900793259865</c:v>
                </c:pt>
                <c:pt idx="800">
                  <c:v>-12.360896062258529</c:v>
                </c:pt>
                <c:pt idx="801">
                  <c:v>-12.372891351285881</c:v>
                </c:pt>
                <c:pt idx="802">
                  <c:v>-12.384886660341571</c:v>
                </c:pt>
                <c:pt idx="803">
                  <c:v>-12.39688198942525</c:v>
                </c:pt>
                <c:pt idx="804">
                  <c:v>-12.408877338536568</c:v>
                </c:pt>
                <c:pt idx="805">
                  <c:v>-12.420872707675176</c:v>
                </c:pt>
                <c:pt idx="806">
                  <c:v>-12.432868096840727</c:v>
                </c:pt>
                <c:pt idx="807">
                  <c:v>-12.444863506032869</c:v>
                </c:pt>
                <c:pt idx="808">
                  <c:v>-12.456858935251255</c:v>
                </c:pt>
                <c:pt idx="809">
                  <c:v>-12.468854384495534</c:v>
                </c:pt>
                <c:pt idx="810">
                  <c:v>-12.48084985376536</c:v>
                </c:pt>
                <c:pt idx="811">
                  <c:v>-12.492845343060381</c:v>
                </c:pt>
                <c:pt idx="812">
                  <c:v>-12.504840852380248</c:v>
                </c:pt>
                <c:pt idx="813">
                  <c:v>-12.516836381724614</c:v>
                </c:pt>
                <c:pt idx="814">
                  <c:v>-12.528831931093128</c:v>
                </c:pt>
                <c:pt idx="815">
                  <c:v>-12.540827500485442</c:v>
                </c:pt>
                <c:pt idx="816">
                  <c:v>-12.552823089901207</c:v>
                </c:pt>
                <c:pt idx="817">
                  <c:v>-12.564818699340073</c:v>
                </c:pt>
                <c:pt idx="818">
                  <c:v>-12.57681432880169</c:v>
                </c:pt>
                <c:pt idx="819">
                  <c:v>-12.588809978285713</c:v>
                </c:pt>
                <c:pt idx="820">
                  <c:v>-12.600805647791789</c:v>
                </c:pt>
                <c:pt idx="821">
                  <c:v>-12.612801337319571</c:v>
                </c:pt>
                <c:pt idx="822">
                  <c:v>-12.624797046868709</c:v>
                </c:pt>
                <c:pt idx="823">
                  <c:v>-12.636792776438854</c:v>
                </c:pt>
                <c:pt idx="824">
                  <c:v>-12.648788526029657</c:v>
                </c:pt>
                <c:pt idx="825">
                  <c:v>-12.660784295640768</c:v>
                </c:pt>
                <c:pt idx="826">
                  <c:v>-12.672780085271841</c:v>
                </c:pt>
                <c:pt idx="827">
                  <c:v>-12.684775894922524</c:v>
                </c:pt>
                <c:pt idx="828">
                  <c:v>-12.69677172459247</c:v>
                </c:pt>
                <c:pt idx="829">
                  <c:v>-12.708767574281328</c:v>
                </c:pt>
                <c:pt idx="830">
                  <c:v>-12.72076344398875</c:v>
                </c:pt>
                <c:pt idx="831">
                  <c:v>-12.732759333714386</c:v>
                </c:pt>
                <c:pt idx="832">
                  <c:v>-12.744755243457888</c:v>
                </c:pt>
                <c:pt idx="833">
                  <c:v>-12.756751173218907</c:v>
                </c:pt>
                <c:pt idx="834">
                  <c:v>-12.768747122997095</c:v>
                </c:pt>
                <c:pt idx="835">
                  <c:v>-12.7807430927921</c:v>
                </c:pt>
                <c:pt idx="836">
                  <c:v>-12.792739082603577</c:v>
                </c:pt>
                <c:pt idx="837">
                  <c:v>-12.804735092431173</c:v>
                </c:pt>
                <c:pt idx="838">
                  <c:v>-12.816731122274541</c:v>
                </c:pt>
                <c:pt idx="839">
                  <c:v>-12.828727172133332</c:v>
                </c:pt>
                <c:pt idx="840">
                  <c:v>-12.840723242007197</c:v>
                </c:pt>
                <c:pt idx="841">
                  <c:v>-12.852719331895786</c:v>
                </c:pt>
                <c:pt idx="842">
                  <c:v>-12.864715441798751</c:v>
                </c:pt>
                <c:pt idx="843">
                  <c:v>-12.876711571715743</c:v>
                </c:pt>
                <c:pt idx="844">
                  <c:v>-12.888707721646414</c:v>
                </c:pt>
                <c:pt idx="845">
                  <c:v>-12.900703891590412</c:v>
                </c:pt>
                <c:pt idx="846">
                  <c:v>-12.91270008154739</c:v>
                </c:pt>
                <c:pt idx="847">
                  <c:v>-12.924696291517</c:v>
                </c:pt>
                <c:pt idx="848">
                  <c:v>-12.936692521498891</c:v>
                </c:pt>
                <c:pt idx="849">
                  <c:v>-12.948688771492716</c:v>
                </c:pt>
                <c:pt idx="850">
                  <c:v>-12.960685041498124</c:v>
                </c:pt>
                <c:pt idx="851">
                  <c:v>-12.972681331514767</c:v>
                </c:pt>
                <c:pt idx="852">
                  <c:v>-12.984677641542296</c:v>
                </c:pt>
                <c:pt idx="853">
                  <c:v>-12.996673971580362</c:v>
                </c:pt>
                <c:pt idx="854">
                  <c:v>-13.008670321628617</c:v>
                </c:pt>
                <c:pt idx="855">
                  <c:v>-13.020666691686712</c:v>
                </c:pt>
                <c:pt idx="856">
                  <c:v>-13.032663081754295</c:v>
                </c:pt>
                <c:pt idx="857">
                  <c:v>-13.044659491831021</c:v>
                </c:pt>
                <c:pt idx="858">
                  <c:v>-13.056655921916539</c:v>
                </c:pt>
                <c:pt idx="859">
                  <c:v>-13.068652372010501</c:v>
                </c:pt>
                <c:pt idx="860">
                  <c:v>-13.080648842112556</c:v>
                </c:pt>
                <c:pt idx="861">
                  <c:v>-13.092645332222357</c:v>
                </c:pt>
                <c:pt idx="862">
                  <c:v>-13.104641842339555</c:v>
                </c:pt>
                <c:pt idx="863">
                  <c:v>-13.1166383724638</c:v>
                </c:pt>
                <c:pt idx="864">
                  <c:v>-13.128634922594745</c:v>
                </c:pt>
                <c:pt idx="865">
                  <c:v>-13.140631492732039</c:v>
                </c:pt>
                <c:pt idx="866">
                  <c:v>-13.152628082875335</c:v>
                </c:pt>
                <c:pt idx="867">
                  <c:v>-13.164624693024283</c:v>
                </c:pt>
                <c:pt idx="868">
                  <c:v>-13.176621323178534</c:v>
                </c:pt>
                <c:pt idx="869">
                  <c:v>-13.188617973337738</c:v>
                </c:pt>
                <c:pt idx="870">
                  <c:v>-13.200614643501549</c:v>
                </c:pt>
                <c:pt idx="871">
                  <c:v>-13.212611333669615</c:v>
                </c:pt>
                <c:pt idx="872">
                  <c:v>-13.22460804384159</c:v>
                </c:pt>
                <c:pt idx="873">
                  <c:v>-13.236604774017122</c:v>
                </c:pt>
                <c:pt idx="874">
                  <c:v>-13.248601524195864</c:v>
                </c:pt>
                <c:pt idx="875">
                  <c:v>-13.260598294377468</c:v>
                </c:pt>
                <c:pt idx="876">
                  <c:v>-13.272595084561583</c:v>
                </c:pt>
                <c:pt idx="877">
                  <c:v>-13.284591894747862</c:v>
                </c:pt>
                <c:pt idx="878">
                  <c:v>-13.296588724935955</c:v>
                </c:pt>
                <c:pt idx="879">
                  <c:v>-13.308585575125512</c:v>
                </c:pt>
                <c:pt idx="880">
                  <c:v>-13.320582445316187</c:v>
                </c:pt>
                <c:pt idx="881">
                  <c:v>-13.33257933550763</c:v>
                </c:pt>
                <c:pt idx="882">
                  <c:v>-13.344576245699491</c:v>
                </c:pt>
                <c:pt idx="883">
                  <c:v>-13.356573175891421</c:v>
                </c:pt>
                <c:pt idx="884">
                  <c:v>-13.368570126083073</c:v>
                </c:pt>
                <c:pt idx="885">
                  <c:v>-13.380567096274097</c:v>
                </c:pt>
                <c:pt idx="886">
                  <c:v>-13.392564086464144</c:v>
                </c:pt>
                <c:pt idx="887">
                  <c:v>-13.404561096652866</c:v>
                </c:pt>
                <c:pt idx="888">
                  <c:v>-13.416558126839913</c:v>
                </c:pt>
                <c:pt idx="889">
                  <c:v>-13.428555177024936</c:v>
                </c:pt>
                <c:pt idx="890">
                  <c:v>-13.440552247207588</c:v>
                </c:pt>
                <c:pt idx="891">
                  <c:v>-13.452549337387518</c:v>
                </c:pt>
                <c:pt idx="892">
                  <c:v>-13.464546447564379</c:v>
                </c:pt>
                <c:pt idx="893">
                  <c:v>-13.476543577737822</c:v>
                </c:pt>
                <c:pt idx="894">
                  <c:v>-13.488540727907496</c:v>
                </c:pt>
                <c:pt idx="895">
                  <c:v>-13.500537898073055</c:v>
                </c:pt>
                <c:pt idx="896">
                  <c:v>-13.51253508823415</c:v>
                </c:pt>
                <c:pt idx="897">
                  <c:v>-13.524532298390431</c:v>
                </c:pt>
                <c:pt idx="898">
                  <c:v>-13.536529528541548</c:v>
                </c:pt>
                <c:pt idx="899">
                  <c:v>-13.548526778687155</c:v>
                </c:pt>
                <c:pt idx="900">
                  <c:v>-13.560524048826901</c:v>
                </c:pt>
                <c:pt idx="901">
                  <c:v>-13.572521338960438</c:v>
                </c:pt>
                <c:pt idx="902">
                  <c:v>-13.584518649087418</c:v>
                </c:pt>
                <c:pt idx="903">
                  <c:v>-13.59651597920749</c:v>
                </c:pt>
                <c:pt idx="904">
                  <c:v>-13.608513329320306</c:v>
                </c:pt>
                <c:pt idx="905">
                  <c:v>-13.62051069942552</c:v>
                </c:pt>
                <c:pt idx="906">
                  <c:v>-13.63250808952278</c:v>
                </c:pt>
                <c:pt idx="907">
                  <c:v>-13.644505499611737</c:v>
                </c:pt>
                <c:pt idx="908">
                  <c:v>-13.656502929692044</c:v>
                </c:pt>
                <c:pt idx="909">
                  <c:v>-13.668500379763351</c:v>
                </c:pt>
                <c:pt idx="910">
                  <c:v>-13.680497849825311</c:v>
                </c:pt>
                <c:pt idx="911">
                  <c:v>-13.692495339877574</c:v>
                </c:pt>
                <c:pt idx="912">
                  <c:v>-13.704492849919792</c:v>
                </c:pt>
                <c:pt idx="913">
                  <c:v>-13.716490379951614</c:v>
                </c:pt>
                <c:pt idx="914">
                  <c:v>-13.728487929972692</c:v>
                </c:pt>
                <c:pt idx="915">
                  <c:v>-13.740485499982679</c:v>
                </c:pt>
                <c:pt idx="916">
                  <c:v>-13.752483089981226</c:v>
                </c:pt>
                <c:pt idx="917">
                  <c:v>-13.764480699967983</c:v>
                </c:pt>
                <c:pt idx="918">
                  <c:v>-13.776478329942602</c:v>
                </c:pt>
                <c:pt idx="919">
                  <c:v>-13.788475979904733</c:v>
                </c:pt>
                <c:pt idx="920">
                  <c:v>-13.800473649854029</c:v>
                </c:pt>
                <c:pt idx="921">
                  <c:v>-13.81247133979014</c:v>
                </c:pt>
                <c:pt idx="922">
                  <c:v>-13.824469049712718</c:v>
                </c:pt>
                <c:pt idx="923">
                  <c:v>-13.836466779621414</c:v>
                </c:pt>
                <c:pt idx="924">
                  <c:v>-13.84846452951588</c:v>
                </c:pt>
                <c:pt idx="925">
                  <c:v>-13.860462299395767</c:v>
                </c:pt>
                <c:pt idx="926">
                  <c:v>-13.872460089260725</c:v>
                </c:pt>
                <c:pt idx="927">
                  <c:v>-13.884457899110407</c:v>
                </c:pt>
                <c:pt idx="928">
                  <c:v>-13.896455728944462</c:v>
                </c:pt>
                <c:pt idx="929">
                  <c:v>-13.908453578762543</c:v>
                </c:pt>
                <c:pt idx="930">
                  <c:v>-13.920451448564302</c:v>
                </c:pt>
                <c:pt idx="931">
                  <c:v>-13.932449338349389</c:v>
                </c:pt>
                <c:pt idx="932">
                  <c:v>-13.944447248117456</c:v>
                </c:pt>
                <c:pt idx="933">
                  <c:v>-13.956445177868153</c:v>
                </c:pt>
                <c:pt idx="934">
                  <c:v>-13.968443127601132</c:v>
                </c:pt>
                <c:pt idx="935">
                  <c:v>-13.980441097316044</c:v>
                </c:pt>
                <c:pt idx="936">
                  <c:v>-13.992439087012542</c:v>
                </c:pt>
                <c:pt idx="937">
                  <c:v>-14.004437096690276</c:v>
                </c:pt>
                <c:pt idx="938">
                  <c:v>-14.016435126348897</c:v>
                </c:pt>
                <c:pt idx="939">
                  <c:v>-14.028433175988058</c:v>
                </c:pt>
                <c:pt idx="940">
                  <c:v>-14.040431245607408</c:v>
                </c:pt>
                <c:pt idx="941">
                  <c:v>-14.052429335206599</c:v>
                </c:pt>
                <c:pt idx="942">
                  <c:v>-14.064427444785283</c:v>
                </c:pt>
                <c:pt idx="943">
                  <c:v>-14.07642557434311</c:v>
                </c:pt>
                <c:pt idx="944">
                  <c:v>-14.088423723879734</c:v>
                </c:pt>
                <c:pt idx="945">
                  <c:v>-14.100421893394804</c:v>
                </c:pt>
                <c:pt idx="946">
                  <c:v>-14.112420082887972</c:v>
                </c:pt>
                <c:pt idx="947">
                  <c:v>-14.124418292358889</c:v>
                </c:pt>
                <c:pt idx="948">
                  <c:v>-14.136416521807208</c:v>
                </c:pt>
                <c:pt idx="949">
                  <c:v>-14.148414771232577</c:v>
                </c:pt>
                <c:pt idx="950">
                  <c:v>-14.160413040634651</c:v>
                </c:pt>
                <c:pt idx="951">
                  <c:v>-14.17241133001308</c:v>
                </c:pt>
                <c:pt idx="952">
                  <c:v>-14.184409639367514</c:v>
                </c:pt>
                <c:pt idx="953">
                  <c:v>-14.196407968697606</c:v>
                </c:pt>
                <c:pt idx="954">
                  <c:v>-14.208406318003007</c:v>
                </c:pt>
                <c:pt idx="955">
                  <c:v>-14.220404687283368</c:v>
                </c:pt>
                <c:pt idx="956">
                  <c:v>-14.232403076538342</c:v>
                </c:pt>
                <c:pt idx="957">
                  <c:v>-14.244401485767577</c:v>
                </c:pt>
                <c:pt idx="958">
                  <c:v>-14.256399914970727</c:v>
                </c:pt>
                <c:pt idx="959">
                  <c:v>-14.268398364147442</c:v>
                </c:pt>
                <c:pt idx="960">
                  <c:v>-14.280396833297376</c:v>
                </c:pt>
                <c:pt idx="961">
                  <c:v>-14.292395322420177</c:v>
                </c:pt>
                <c:pt idx="962">
                  <c:v>-14.304393831515497</c:v>
                </c:pt>
                <c:pt idx="963">
                  <c:v>-14.31639236058299</c:v>
                </c:pt>
                <c:pt idx="964">
                  <c:v>-14.328390909622305</c:v>
                </c:pt>
                <c:pt idx="965">
                  <c:v>-14.340389478633094</c:v>
                </c:pt>
                <c:pt idx="966">
                  <c:v>-14.352388067615008</c:v>
                </c:pt>
                <c:pt idx="967">
                  <c:v>-14.364386676567699</c:v>
                </c:pt>
                <c:pt idx="968">
                  <c:v>-14.376385305490819</c:v>
                </c:pt>
                <c:pt idx="969">
                  <c:v>-14.388383954384018</c:v>
                </c:pt>
                <c:pt idx="970">
                  <c:v>-14.400382623246948</c:v>
                </c:pt>
                <c:pt idx="971">
                  <c:v>-14.41238131207926</c:v>
                </c:pt>
                <c:pt idx="972">
                  <c:v>-14.424380020880607</c:v>
                </c:pt>
                <c:pt idx="973">
                  <c:v>-14.43637874965064</c:v>
                </c:pt>
                <c:pt idx="974">
                  <c:v>-14.448377498389009</c:v>
                </c:pt>
                <c:pt idx="975">
                  <c:v>-14.460376267095366</c:v>
                </c:pt>
                <c:pt idx="976">
                  <c:v>-14.472375055769364</c:v>
                </c:pt>
                <c:pt idx="977">
                  <c:v>-14.484373864410651</c:v>
                </c:pt>
                <c:pt idx="978">
                  <c:v>-14.496372693018882</c:v>
                </c:pt>
                <c:pt idx="979">
                  <c:v>-14.508371541593707</c:v>
                </c:pt>
                <c:pt idx="980">
                  <c:v>-14.520370410134777</c:v>
                </c:pt>
                <c:pt idx="981">
                  <c:v>-14.532369298641743</c:v>
                </c:pt>
                <c:pt idx="982">
                  <c:v>-14.544368207114259</c:v>
                </c:pt>
                <c:pt idx="983">
                  <c:v>-14.556367135551973</c:v>
                </c:pt>
                <c:pt idx="984">
                  <c:v>-14.568366083954539</c:v>
                </c:pt>
                <c:pt idx="985">
                  <c:v>-14.580365052321607</c:v>
                </c:pt>
                <c:pt idx="986">
                  <c:v>-14.59236404065283</c:v>
                </c:pt>
                <c:pt idx="987">
                  <c:v>-14.604363048947858</c:v>
                </c:pt>
                <c:pt idx="988">
                  <c:v>-14.616362077206343</c:v>
                </c:pt>
                <c:pt idx="989">
                  <c:v>-14.628361125427938</c:v>
                </c:pt>
                <c:pt idx="990">
                  <c:v>-14.640360193612292</c:v>
                </c:pt>
                <c:pt idx="991">
                  <c:v>-14.652359281759058</c:v>
                </c:pt>
                <c:pt idx="992">
                  <c:v>-14.664358389867886</c:v>
                </c:pt>
                <c:pt idx="993">
                  <c:v>-14.676357517938429</c:v>
                </c:pt>
                <c:pt idx="994">
                  <c:v>-14.688356665970339</c:v>
                </c:pt>
                <c:pt idx="995">
                  <c:v>-14.700355833963267</c:v>
                </c:pt>
                <c:pt idx="996">
                  <c:v>-14.712355021916862</c:v>
                </c:pt>
                <c:pt idx="997">
                  <c:v>-14.724354229830778</c:v>
                </c:pt>
                <c:pt idx="998">
                  <c:v>-14.736353457704666</c:v>
                </c:pt>
                <c:pt idx="999">
                  <c:v>-14.748352705538178</c:v>
                </c:pt>
                <c:pt idx="1000">
                  <c:v>-14.760351973330964</c:v>
                </c:pt>
              </c:numCache>
            </c:numRef>
          </c:yVal>
          <c:smooth val="1"/>
          <c:extLst>
            <c:ext xmlns:c16="http://schemas.microsoft.com/office/drawing/2014/chart" uri="{C3380CC4-5D6E-409C-BE32-E72D297353CC}">
              <c16:uniqueId val="{00000001-4C7F-469F-ADED-1B0B28F452E1}"/>
            </c:ext>
          </c:extLst>
        </c:ser>
        <c:ser>
          <c:idx val="1"/>
          <c:order val="2"/>
          <c:tx>
            <c:strRef>
              <c:f>Trajecto!$B$108</c:f>
              <c:strCache>
                <c:ptCount val="1"/>
                <c:pt idx="0">
                  <c:v>Descente balistique</c:v>
                </c:pt>
              </c:strCache>
            </c:strRef>
          </c:tx>
          <c:spPr>
            <a:ln w="12700">
              <a:solidFill>
                <a:srgbClr val="808080"/>
              </a:solidFill>
              <a:prstDash val="sysDash"/>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34.500100000000224</c:v>
                </c:pt>
                <c:pt idx="527">
                  <c:v>34.500200000000227</c:v>
                </c:pt>
                <c:pt idx="528">
                  <c:v>34.50030000000023</c:v>
                </c:pt>
                <c:pt idx="529">
                  <c:v>34.500400000000234</c:v>
                </c:pt>
                <c:pt idx="530">
                  <c:v>34.500500000000237</c:v>
                </c:pt>
                <c:pt idx="531">
                  <c:v>34.50060000000024</c:v>
                </c:pt>
                <c:pt idx="532">
                  <c:v>34.500700000000244</c:v>
                </c:pt>
                <c:pt idx="533">
                  <c:v>34.500800000000247</c:v>
                </c:pt>
                <c:pt idx="534">
                  <c:v>34.50090000000025</c:v>
                </c:pt>
                <c:pt idx="535">
                  <c:v>34.501000000000253</c:v>
                </c:pt>
                <c:pt idx="536">
                  <c:v>34.501100000000257</c:v>
                </c:pt>
                <c:pt idx="537">
                  <c:v>34.50120000000026</c:v>
                </c:pt>
                <c:pt idx="538">
                  <c:v>34.501300000000263</c:v>
                </c:pt>
                <c:pt idx="539">
                  <c:v>34.501400000000267</c:v>
                </c:pt>
                <c:pt idx="540">
                  <c:v>34.50150000000027</c:v>
                </c:pt>
                <c:pt idx="541">
                  <c:v>34.501600000000273</c:v>
                </c:pt>
                <c:pt idx="542">
                  <c:v>34.501700000000277</c:v>
                </c:pt>
                <c:pt idx="543">
                  <c:v>34.50180000000028</c:v>
                </c:pt>
                <c:pt idx="544">
                  <c:v>34.501900000000283</c:v>
                </c:pt>
                <c:pt idx="545">
                  <c:v>34.502000000000287</c:v>
                </c:pt>
                <c:pt idx="546">
                  <c:v>34.50210000000029</c:v>
                </c:pt>
                <c:pt idx="547">
                  <c:v>34.502200000000293</c:v>
                </c:pt>
                <c:pt idx="548">
                  <c:v>34.502300000000297</c:v>
                </c:pt>
                <c:pt idx="549">
                  <c:v>34.5024000000003</c:v>
                </c:pt>
                <c:pt idx="550">
                  <c:v>34.502500000000303</c:v>
                </c:pt>
                <c:pt idx="551">
                  <c:v>34.502600000000307</c:v>
                </c:pt>
                <c:pt idx="552">
                  <c:v>34.50270000000031</c:v>
                </c:pt>
                <c:pt idx="553">
                  <c:v>34.502800000000313</c:v>
                </c:pt>
                <c:pt idx="554">
                  <c:v>34.502900000000317</c:v>
                </c:pt>
                <c:pt idx="555">
                  <c:v>34.50300000000032</c:v>
                </c:pt>
                <c:pt idx="556">
                  <c:v>34.503100000000323</c:v>
                </c:pt>
                <c:pt idx="557">
                  <c:v>34.503200000000326</c:v>
                </c:pt>
                <c:pt idx="558">
                  <c:v>34.50330000000033</c:v>
                </c:pt>
                <c:pt idx="559">
                  <c:v>34.503400000000333</c:v>
                </c:pt>
                <c:pt idx="560">
                  <c:v>34.503500000000336</c:v>
                </c:pt>
                <c:pt idx="561">
                  <c:v>34.50360000000034</c:v>
                </c:pt>
                <c:pt idx="562">
                  <c:v>34.503700000000343</c:v>
                </c:pt>
                <c:pt idx="563">
                  <c:v>34.503800000000346</c:v>
                </c:pt>
                <c:pt idx="564">
                  <c:v>34.50390000000035</c:v>
                </c:pt>
                <c:pt idx="565">
                  <c:v>34.504000000000353</c:v>
                </c:pt>
                <c:pt idx="566">
                  <c:v>34.504100000000356</c:v>
                </c:pt>
                <c:pt idx="567">
                  <c:v>34.50420000000036</c:v>
                </c:pt>
                <c:pt idx="568">
                  <c:v>34.504300000000363</c:v>
                </c:pt>
                <c:pt idx="569">
                  <c:v>34.504400000000366</c:v>
                </c:pt>
                <c:pt idx="570">
                  <c:v>34.50450000000037</c:v>
                </c:pt>
                <c:pt idx="571">
                  <c:v>34.504600000000373</c:v>
                </c:pt>
                <c:pt idx="572">
                  <c:v>34.504700000000376</c:v>
                </c:pt>
                <c:pt idx="573">
                  <c:v>34.50480000000038</c:v>
                </c:pt>
                <c:pt idx="574">
                  <c:v>34.504900000000383</c:v>
                </c:pt>
                <c:pt idx="575">
                  <c:v>34.505000000000386</c:v>
                </c:pt>
                <c:pt idx="576">
                  <c:v>34.50510000000039</c:v>
                </c:pt>
                <c:pt idx="577">
                  <c:v>34.505200000000393</c:v>
                </c:pt>
                <c:pt idx="578">
                  <c:v>34.505300000000396</c:v>
                </c:pt>
                <c:pt idx="579">
                  <c:v>34.5054000000004</c:v>
                </c:pt>
                <c:pt idx="580">
                  <c:v>34.505500000000403</c:v>
                </c:pt>
                <c:pt idx="581">
                  <c:v>34.505600000000406</c:v>
                </c:pt>
                <c:pt idx="582">
                  <c:v>34.505700000000409</c:v>
                </c:pt>
                <c:pt idx="583">
                  <c:v>34.505800000000413</c:v>
                </c:pt>
                <c:pt idx="584">
                  <c:v>34.505900000000416</c:v>
                </c:pt>
                <c:pt idx="585">
                  <c:v>34.506000000000419</c:v>
                </c:pt>
                <c:pt idx="586">
                  <c:v>34.506100000000423</c:v>
                </c:pt>
                <c:pt idx="587">
                  <c:v>34.506200000000426</c:v>
                </c:pt>
                <c:pt idx="588">
                  <c:v>34.506300000000429</c:v>
                </c:pt>
                <c:pt idx="589">
                  <c:v>34.506400000000433</c:v>
                </c:pt>
                <c:pt idx="590">
                  <c:v>34.506500000000436</c:v>
                </c:pt>
                <c:pt idx="591">
                  <c:v>34.506600000000439</c:v>
                </c:pt>
                <c:pt idx="592">
                  <c:v>34.506700000000443</c:v>
                </c:pt>
                <c:pt idx="593">
                  <c:v>34.506800000000446</c:v>
                </c:pt>
                <c:pt idx="594">
                  <c:v>34.506900000000449</c:v>
                </c:pt>
                <c:pt idx="595">
                  <c:v>34.507000000000453</c:v>
                </c:pt>
                <c:pt idx="596">
                  <c:v>34.507100000000456</c:v>
                </c:pt>
                <c:pt idx="597">
                  <c:v>34.507200000000459</c:v>
                </c:pt>
                <c:pt idx="598">
                  <c:v>34.507300000000463</c:v>
                </c:pt>
                <c:pt idx="599">
                  <c:v>34.507400000000466</c:v>
                </c:pt>
                <c:pt idx="600">
                  <c:v>34.507500000000469</c:v>
                </c:pt>
                <c:pt idx="601">
                  <c:v>34.507600000000473</c:v>
                </c:pt>
                <c:pt idx="602">
                  <c:v>34.507700000000476</c:v>
                </c:pt>
                <c:pt idx="603">
                  <c:v>34.507800000000479</c:v>
                </c:pt>
                <c:pt idx="604">
                  <c:v>34.507900000000483</c:v>
                </c:pt>
                <c:pt idx="605">
                  <c:v>34.508000000000486</c:v>
                </c:pt>
                <c:pt idx="606">
                  <c:v>34.508100000000489</c:v>
                </c:pt>
                <c:pt idx="607">
                  <c:v>34.508200000000492</c:v>
                </c:pt>
                <c:pt idx="608">
                  <c:v>34.508300000000496</c:v>
                </c:pt>
                <c:pt idx="609">
                  <c:v>34.508400000000499</c:v>
                </c:pt>
                <c:pt idx="610">
                  <c:v>34.508500000000502</c:v>
                </c:pt>
                <c:pt idx="611">
                  <c:v>34.508600000000506</c:v>
                </c:pt>
                <c:pt idx="612">
                  <c:v>34.508700000000509</c:v>
                </c:pt>
                <c:pt idx="613">
                  <c:v>34.508800000000512</c:v>
                </c:pt>
                <c:pt idx="614">
                  <c:v>34.508900000000516</c:v>
                </c:pt>
                <c:pt idx="615">
                  <c:v>34.509000000000519</c:v>
                </c:pt>
                <c:pt idx="616">
                  <c:v>34.509100000000522</c:v>
                </c:pt>
                <c:pt idx="617">
                  <c:v>34.509200000000526</c:v>
                </c:pt>
                <c:pt idx="618">
                  <c:v>34.509300000000529</c:v>
                </c:pt>
                <c:pt idx="619">
                  <c:v>34.509400000000532</c:v>
                </c:pt>
                <c:pt idx="620">
                  <c:v>34.509500000000536</c:v>
                </c:pt>
                <c:pt idx="621">
                  <c:v>34.509600000000539</c:v>
                </c:pt>
                <c:pt idx="622">
                  <c:v>34.509700000000542</c:v>
                </c:pt>
                <c:pt idx="623">
                  <c:v>34.509800000000546</c:v>
                </c:pt>
                <c:pt idx="624">
                  <c:v>34.509900000000549</c:v>
                </c:pt>
                <c:pt idx="625">
                  <c:v>34.510000000000552</c:v>
                </c:pt>
                <c:pt idx="626">
                  <c:v>34.510100000000556</c:v>
                </c:pt>
                <c:pt idx="627">
                  <c:v>34.510200000000559</c:v>
                </c:pt>
                <c:pt idx="628">
                  <c:v>34.510300000000562</c:v>
                </c:pt>
                <c:pt idx="629">
                  <c:v>34.510400000000566</c:v>
                </c:pt>
                <c:pt idx="630">
                  <c:v>34.510500000000569</c:v>
                </c:pt>
                <c:pt idx="631">
                  <c:v>34.510600000000572</c:v>
                </c:pt>
                <c:pt idx="632">
                  <c:v>34.510700000000575</c:v>
                </c:pt>
                <c:pt idx="633">
                  <c:v>34.510800000000579</c:v>
                </c:pt>
                <c:pt idx="634">
                  <c:v>34.510900000000582</c:v>
                </c:pt>
                <c:pt idx="635">
                  <c:v>34.511000000000585</c:v>
                </c:pt>
                <c:pt idx="636">
                  <c:v>34.511100000000589</c:v>
                </c:pt>
                <c:pt idx="637">
                  <c:v>34.511200000000592</c:v>
                </c:pt>
                <c:pt idx="638">
                  <c:v>34.511300000000595</c:v>
                </c:pt>
                <c:pt idx="639">
                  <c:v>34.511400000000599</c:v>
                </c:pt>
                <c:pt idx="640">
                  <c:v>34.511500000000602</c:v>
                </c:pt>
                <c:pt idx="641">
                  <c:v>34.511600000000605</c:v>
                </c:pt>
                <c:pt idx="642">
                  <c:v>34.511700000000609</c:v>
                </c:pt>
                <c:pt idx="643">
                  <c:v>34.511800000000612</c:v>
                </c:pt>
                <c:pt idx="644">
                  <c:v>34.511900000000615</c:v>
                </c:pt>
                <c:pt idx="645">
                  <c:v>34.512000000000619</c:v>
                </c:pt>
                <c:pt idx="646">
                  <c:v>34.512100000000622</c:v>
                </c:pt>
                <c:pt idx="647">
                  <c:v>34.512200000000625</c:v>
                </c:pt>
                <c:pt idx="648">
                  <c:v>34.512300000000629</c:v>
                </c:pt>
                <c:pt idx="649">
                  <c:v>34.512400000000632</c:v>
                </c:pt>
                <c:pt idx="650">
                  <c:v>34.512500000000635</c:v>
                </c:pt>
                <c:pt idx="651">
                  <c:v>34.512600000000639</c:v>
                </c:pt>
                <c:pt idx="652">
                  <c:v>34.512700000000642</c:v>
                </c:pt>
                <c:pt idx="653">
                  <c:v>34.512800000000645</c:v>
                </c:pt>
                <c:pt idx="654">
                  <c:v>34.512900000000649</c:v>
                </c:pt>
                <c:pt idx="655">
                  <c:v>34.513000000000652</c:v>
                </c:pt>
                <c:pt idx="656">
                  <c:v>34.513100000000655</c:v>
                </c:pt>
                <c:pt idx="657">
                  <c:v>34.513200000000658</c:v>
                </c:pt>
                <c:pt idx="658">
                  <c:v>34.513300000000662</c:v>
                </c:pt>
                <c:pt idx="659">
                  <c:v>34.513400000000665</c:v>
                </c:pt>
                <c:pt idx="660">
                  <c:v>34.513500000000668</c:v>
                </c:pt>
                <c:pt idx="661">
                  <c:v>34.513600000000672</c:v>
                </c:pt>
                <c:pt idx="662">
                  <c:v>34.513700000000675</c:v>
                </c:pt>
                <c:pt idx="663">
                  <c:v>34.513800000000678</c:v>
                </c:pt>
                <c:pt idx="664">
                  <c:v>34.513900000000682</c:v>
                </c:pt>
                <c:pt idx="665">
                  <c:v>34.514000000000685</c:v>
                </c:pt>
                <c:pt idx="666">
                  <c:v>34.514100000000688</c:v>
                </c:pt>
                <c:pt idx="667">
                  <c:v>34.514200000000692</c:v>
                </c:pt>
                <c:pt idx="668">
                  <c:v>34.514300000000695</c:v>
                </c:pt>
                <c:pt idx="669">
                  <c:v>34.514400000000698</c:v>
                </c:pt>
                <c:pt idx="670">
                  <c:v>34.514500000000702</c:v>
                </c:pt>
                <c:pt idx="671">
                  <c:v>34.514600000000705</c:v>
                </c:pt>
                <c:pt idx="672">
                  <c:v>34.514700000000708</c:v>
                </c:pt>
                <c:pt idx="673">
                  <c:v>34.514800000000712</c:v>
                </c:pt>
                <c:pt idx="674">
                  <c:v>34.514900000000715</c:v>
                </c:pt>
                <c:pt idx="675">
                  <c:v>34.515000000000718</c:v>
                </c:pt>
                <c:pt idx="676">
                  <c:v>34.515100000000722</c:v>
                </c:pt>
                <c:pt idx="677">
                  <c:v>34.515200000000725</c:v>
                </c:pt>
                <c:pt idx="678">
                  <c:v>34.515300000000728</c:v>
                </c:pt>
                <c:pt idx="679">
                  <c:v>34.515400000000731</c:v>
                </c:pt>
                <c:pt idx="680">
                  <c:v>34.515500000000735</c:v>
                </c:pt>
                <c:pt idx="681">
                  <c:v>34.515600000000738</c:v>
                </c:pt>
                <c:pt idx="682">
                  <c:v>34.515700000000741</c:v>
                </c:pt>
                <c:pt idx="683">
                  <c:v>34.515800000000745</c:v>
                </c:pt>
                <c:pt idx="684">
                  <c:v>34.515900000000748</c:v>
                </c:pt>
                <c:pt idx="685">
                  <c:v>34.516000000000751</c:v>
                </c:pt>
                <c:pt idx="686">
                  <c:v>34.516100000000755</c:v>
                </c:pt>
                <c:pt idx="687">
                  <c:v>34.516200000000758</c:v>
                </c:pt>
                <c:pt idx="688">
                  <c:v>34.516300000000761</c:v>
                </c:pt>
                <c:pt idx="689">
                  <c:v>34.516400000000765</c:v>
                </c:pt>
                <c:pt idx="690">
                  <c:v>34.516500000000768</c:v>
                </c:pt>
                <c:pt idx="691">
                  <c:v>34.516600000000771</c:v>
                </c:pt>
                <c:pt idx="692">
                  <c:v>34.516700000000775</c:v>
                </c:pt>
                <c:pt idx="693">
                  <c:v>34.516800000000778</c:v>
                </c:pt>
                <c:pt idx="694">
                  <c:v>34.516900000000781</c:v>
                </c:pt>
                <c:pt idx="695">
                  <c:v>34.517000000000785</c:v>
                </c:pt>
                <c:pt idx="696">
                  <c:v>34.517100000000788</c:v>
                </c:pt>
                <c:pt idx="697">
                  <c:v>34.517200000000791</c:v>
                </c:pt>
                <c:pt idx="698">
                  <c:v>34.517300000000795</c:v>
                </c:pt>
                <c:pt idx="699">
                  <c:v>34.517400000000798</c:v>
                </c:pt>
                <c:pt idx="700">
                  <c:v>34.517500000000801</c:v>
                </c:pt>
                <c:pt idx="701">
                  <c:v>34.517600000000805</c:v>
                </c:pt>
                <c:pt idx="702">
                  <c:v>34.517700000000808</c:v>
                </c:pt>
                <c:pt idx="703">
                  <c:v>34.517800000000811</c:v>
                </c:pt>
                <c:pt idx="704">
                  <c:v>34.517900000000814</c:v>
                </c:pt>
                <c:pt idx="705">
                  <c:v>34.518000000000818</c:v>
                </c:pt>
                <c:pt idx="706">
                  <c:v>34.518100000000821</c:v>
                </c:pt>
                <c:pt idx="707">
                  <c:v>34.518200000000824</c:v>
                </c:pt>
                <c:pt idx="708">
                  <c:v>34.518300000000828</c:v>
                </c:pt>
                <c:pt idx="709">
                  <c:v>34.518400000000831</c:v>
                </c:pt>
                <c:pt idx="710">
                  <c:v>34.518500000000834</c:v>
                </c:pt>
                <c:pt idx="711">
                  <c:v>34.518600000000838</c:v>
                </c:pt>
                <c:pt idx="712">
                  <c:v>34.518700000000841</c:v>
                </c:pt>
                <c:pt idx="713">
                  <c:v>34.518800000000844</c:v>
                </c:pt>
                <c:pt idx="714">
                  <c:v>34.518900000000848</c:v>
                </c:pt>
                <c:pt idx="715">
                  <c:v>34.519000000000851</c:v>
                </c:pt>
                <c:pt idx="716">
                  <c:v>34.519100000000854</c:v>
                </c:pt>
                <c:pt idx="717">
                  <c:v>34.519200000000858</c:v>
                </c:pt>
                <c:pt idx="718">
                  <c:v>34.519300000000861</c:v>
                </c:pt>
                <c:pt idx="719">
                  <c:v>34.519400000000864</c:v>
                </c:pt>
                <c:pt idx="720">
                  <c:v>34.519500000000868</c:v>
                </c:pt>
                <c:pt idx="721">
                  <c:v>34.519600000000871</c:v>
                </c:pt>
                <c:pt idx="722">
                  <c:v>34.519700000000874</c:v>
                </c:pt>
                <c:pt idx="723">
                  <c:v>34.519800000000878</c:v>
                </c:pt>
                <c:pt idx="724">
                  <c:v>34.519900000000881</c:v>
                </c:pt>
                <c:pt idx="725">
                  <c:v>34.520000000000884</c:v>
                </c:pt>
                <c:pt idx="726">
                  <c:v>34.520100000000888</c:v>
                </c:pt>
                <c:pt idx="727">
                  <c:v>34.520200000000891</c:v>
                </c:pt>
                <c:pt idx="728">
                  <c:v>34.520300000000894</c:v>
                </c:pt>
                <c:pt idx="729">
                  <c:v>34.520400000000897</c:v>
                </c:pt>
                <c:pt idx="730">
                  <c:v>34.520500000000901</c:v>
                </c:pt>
                <c:pt idx="731">
                  <c:v>34.520600000000904</c:v>
                </c:pt>
                <c:pt idx="732">
                  <c:v>34.520700000000907</c:v>
                </c:pt>
                <c:pt idx="733">
                  <c:v>34.520800000000911</c:v>
                </c:pt>
                <c:pt idx="734">
                  <c:v>34.520900000000914</c:v>
                </c:pt>
                <c:pt idx="735">
                  <c:v>34.521000000000917</c:v>
                </c:pt>
                <c:pt idx="736">
                  <c:v>34.521100000000921</c:v>
                </c:pt>
                <c:pt idx="737">
                  <c:v>34.521200000000924</c:v>
                </c:pt>
                <c:pt idx="738">
                  <c:v>34.521300000000927</c:v>
                </c:pt>
                <c:pt idx="739">
                  <c:v>34.521400000000931</c:v>
                </c:pt>
                <c:pt idx="740">
                  <c:v>34.521500000000934</c:v>
                </c:pt>
                <c:pt idx="741">
                  <c:v>34.521600000000937</c:v>
                </c:pt>
                <c:pt idx="742">
                  <c:v>34.521700000000941</c:v>
                </c:pt>
                <c:pt idx="743">
                  <c:v>34.521800000000944</c:v>
                </c:pt>
                <c:pt idx="744">
                  <c:v>34.521900000000947</c:v>
                </c:pt>
                <c:pt idx="745">
                  <c:v>34.522000000000951</c:v>
                </c:pt>
                <c:pt idx="746">
                  <c:v>34.522100000000954</c:v>
                </c:pt>
                <c:pt idx="747">
                  <c:v>34.522200000000957</c:v>
                </c:pt>
                <c:pt idx="748">
                  <c:v>34.522300000000961</c:v>
                </c:pt>
                <c:pt idx="749">
                  <c:v>34.522400000000964</c:v>
                </c:pt>
                <c:pt idx="750">
                  <c:v>34.522500000000967</c:v>
                </c:pt>
                <c:pt idx="751">
                  <c:v>34.522600000000971</c:v>
                </c:pt>
                <c:pt idx="752">
                  <c:v>34.522700000000974</c:v>
                </c:pt>
                <c:pt idx="753">
                  <c:v>34.522800000000977</c:v>
                </c:pt>
                <c:pt idx="754">
                  <c:v>34.52290000000098</c:v>
                </c:pt>
                <c:pt idx="755">
                  <c:v>34.523000000000984</c:v>
                </c:pt>
                <c:pt idx="756">
                  <c:v>34.523100000000987</c:v>
                </c:pt>
                <c:pt idx="757">
                  <c:v>34.52320000000099</c:v>
                </c:pt>
                <c:pt idx="758">
                  <c:v>34.523300000000994</c:v>
                </c:pt>
                <c:pt idx="759">
                  <c:v>34.523400000000997</c:v>
                </c:pt>
                <c:pt idx="760">
                  <c:v>34.523500000001</c:v>
                </c:pt>
                <c:pt idx="761">
                  <c:v>34.523600000001004</c:v>
                </c:pt>
                <c:pt idx="762">
                  <c:v>34.523700000001007</c:v>
                </c:pt>
                <c:pt idx="763">
                  <c:v>34.52380000000101</c:v>
                </c:pt>
                <c:pt idx="764">
                  <c:v>34.523900000001014</c:v>
                </c:pt>
                <c:pt idx="765">
                  <c:v>34.524000000001017</c:v>
                </c:pt>
                <c:pt idx="766">
                  <c:v>34.52410000000102</c:v>
                </c:pt>
                <c:pt idx="767">
                  <c:v>34.524200000001024</c:v>
                </c:pt>
                <c:pt idx="768">
                  <c:v>34.524300000001027</c:v>
                </c:pt>
                <c:pt idx="769">
                  <c:v>34.52440000000103</c:v>
                </c:pt>
                <c:pt idx="770">
                  <c:v>34.524500000001034</c:v>
                </c:pt>
                <c:pt idx="771">
                  <c:v>34.524600000001037</c:v>
                </c:pt>
                <c:pt idx="772">
                  <c:v>34.52470000000104</c:v>
                </c:pt>
                <c:pt idx="773">
                  <c:v>34.524800000001044</c:v>
                </c:pt>
                <c:pt idx="774">
                  <c:v>34.524900000001047</c:v>
                </c:pt>
                <c:pt idx="775">
                  <c:v>34.52500000000105</c:v>
                </c:pt>
                <c:pt idx="776">
                  <c:v>34.525100000001054</c:v>
                </c:pt>
                <c:pt idx="777">
                  <c:v>34.525200000001057</c:v>
                </c:pt>
                <c:pt idx="778">
                  <c:v>34.52530000000106</c:v>
                </c:pt>
                <c:pt idx="779">
                  <c:v>34.525400000001063</c:v>
                </c:pt>
                <c:pt idx="780">
                  <c:v>34.525500000001067</c:v>
                </c:pt>
                <c:pt idx="781">
                  <c:v>34.52560000000107</c:v>
                </c:pt>
                <c:pt idx="782">
                  <c:v>34.525700000001073</c:v>
                </c:pt>
                <c:pt idx="783">
                  <c:v>34.525800000001077</c:v>
                </c:pt>
                <c:pt idx="784">
                  <c:v>34.52590000000108</c:v>
                </c:pt>
                <c:pt idx="785">
                  <c:v>34.526000000001083</c:v>
                </c:pt>
                <c:pt idx="786">
                  <c:v>34.526100000001087</c:v>
                </c:pt>
                <c:pt idx="787">
                  <c:v>34.52620000000109</c:v>
                </c:pt>
                <c:pt idx="788">
                  <c:v>34.526300000001093</c:v>
                </c:pt>
                <c:pt idx="789">
                  <c:v>34.526400000001097</c:v>
                </c:pt>
                <c:pt idx="790">
                  <c:v>34.5265000000011</c:v>
                </c:pt>
                <c:pt idx="791">
                  <c:v>34.526600000001103</c:v>
                </c:pt>
                <c:pt idx="792">
                  <c:v>34.526700000001107</c:v>
                </c:pt>
                <c:pt idx="793">
                  <c:v>34.52680000000111</c:v>
                </c:pt>
                <c:pt idx="794">
                  <c:v>34.526900000001113</c:v>
                </c:pt>
                <c:pt idx="795">
                  <c:v>34.527000000001117</c:v>
                </c:pt>
                <c:pt idx="796">
                  <c:v>34.52710000000112</c:v>
                </c:pt>
                <c:pt idx="797">
                  <c:v>34.527200000001123</c:v>
                </c:pt>
                <c:pt idx="798">
                  <c:v>34.527300000001127</c:v>
                </c:pt>
                <c:pt idx="799">
                  <c:v>34.52740000000113</c:v>
                </c:pt>
                <c:pt idx="800">
                  <c:v>34.527500000001133</c:v>
                </c:pt>
                <c:pt idx="801">
                  <c:v>34.527600000001136</c:v>
                </c:pt>
                <c:pt idx="802">
                  <c:v>34.52770000000114</c:v>
                </c:pt>
                <c:pt idx="803">
                  <c:v>34.527800000001143</c:v>
                </c:pt>
                <c:pt idx="804">
                  <c:v>34.527900000001146</c:v>
                </c:pt>
                <c:pt idx="805">
                  <c:v>34.52800000000115</c:v>
                </c:pt>
                <c:pt idx="806">
                  <c:v>34.528100000001153</c:v>
                </c:pt>
                <c:pt idx="807">
                  <c:v>34.528200000001156</c:v>
                </c:pt>
                <c:pt idx="808">
                  <c:v>34.52830000000116</c:v>
                </c:pt>
                <c:pt idx="809">
                  <c:v>34.528400000001163</c:v>
                </c:pt>
                <c:pt idx="810">
                  <c:v>34.528500000001166</c:v>
                </c:pt>
                <c:pt idx="811">
                  <c:v>34.52860000000117</c:v>
                </c:pt>
                <c:pt idx="812">
                  <c:v>34.528700000001173</c:v>
                </c:pt>
                <c:pt idx="813">
                  <c:v>34.528800000001176</c:v>
                </c:pt>
                <c:pt idx="814">
                  <c:v>34.52890000000118</c:v>
                </c:pt>
                <c:pt idx="815">
                  <c:v>34.529000000001183</c:v>
                </c:pt>
                <c:pt idx="816">
                  <c:v>34.529100000001186</c:v>
                </c:pt>
                <c:pt idx="817">
                  <c:v>34.52920000000119</c:v>
                </c:pt>
                <c:pt idx="818">
                  <c:v>34.529300000001193</c:v>
                </c:pt>
                <c:pt idx="819">
                  <c:v>34.529400000001196</c:v>
                </c:pt>
                <c:pt idx="820">
                  <c:v>34.5295000000012</c:v>
                </c:pt>
                <c:pt idx="821">
                  <c:v>34.529600000001203</c:v>
                </c:pt>
                <c:pt idx="822">
                  <c:v>34.529700000001206</c:v>
                </c:pt>
                <c:pt idx="823">
                  <c:v>34.52980000000121</c:v>
                </c:pt>
                <c:pt idx="824">
                  <c:v>34.529900000001213</c:v>
                </c:pt>
                <c:pt idx="825">
                  <c:v>34.530000000001216</c:v>
                </c:pt>
                <c:pt idx="826">
                  <c:v>34.530100000001219</c:v>
                </c:pt>
                <c:pt idx="827">
                  <c:v>34.530200000001223</c:v>
                </c:pt>
                <c:pt idx="828">
                  <c:v>34.530300000001226</c:v>
                </c:pt>
                <c:pt idx="829">
                  <c:v>34.530400000001229</c:v>
                </c:pt>
                <c:pt idx="830">
                  <c:v>34.530500000001233</c:v>
                </c:pt>
                <c:pt idx="831">
                  <c:v>34.530600000001236</c:v>
                </c:pt>
                <c:pt idx="832">
                  <c:v>34.530700000001239</c:v>
                </c:pt>
                <c:pt idx="833">
                  <c:v>34.530800000001243</c:v>
                </c:pt>
                <c:pt idx="834">
                  <c:v>34.530900000001246</c:v>
                </c:pt>
                <c:pt idx="835">
                  <c:v>34.531000000001249</c:v>
                </c:pt>
                <c:pt idx="836">
                  <c:v>34.531100000001253</c:v>
                </c:pt>
                <c:pt idx="837">
                  <c:v>34.531200000001256</c:v>
                </c:pt>
                <c:pt idx="838">
                  <c:v>34.531300000001259</c:v>
                </c:pt>
                <c:pt idx="839">
                  <c:v>34.531400000001263</c:v>
                </c:pt>
                <c:pt idx="840">
                  <c:v>34.531500000001266</c:v>
                </c:pt>
                <c:pt idx="841">
                  <c:v>34.531600000001269</c:v>
                </c:pt>
                <c:pt idx="842">
                  <c:v>34.531700000001273</c:v>
                </c:pt>
                <c:pt idx="843">
                  <c:v>34.531800000001276</c:v>
                </c:pt>
                <c:pt idx="844">
                  <c:v>34.531900000001279</c:v>
                </c:pt>
                <c:pt idx="845">
                  <c:v>34.532000000001283</c:v>
                </c:pt>
                <c:pt idx="846">
                  <c:v>34.532100000001286</c:v>
                </c:pt>
                <c:pt idx="847">
                  <c:v>34.532200000001289</c:v>
                </c:pt>
                <c:pt idx="848">
                  <c:v>34.532300000001293</c:v>
                </c:pt>
                <c:pt idx="849">
                  <c:v>34.532400000001296</c:v>
                </c:pt>
                <c:pt idx="850">
                  <c:v>34.532500000001299</c:v>
                </c:pt>
                <c:pt idx="851">
                  <c:v>34.532600000001302</c:v>
                </c:pt>
                <c:pt idx="852">
                  <c:v>34.532700000001306</c:v>
                </c:pt>
                <c:pt idx="853">
                  <c:v>34.532800000001309</c:v>
                </c:pt>
                <c:pt idx="854">
                  <c:v>34.532900000001312</c:v>
                </c:pt>
                <c:pt idx="855">
                  <c:v>34.533000000001316</c:v>
                </c:pt>
                <c:pt idx="856">
                  <c:v>34.533100000001319</c:v>
                </c:pt>
                <c:pt idx="857">
                  <c:v>34.533200000001322</c:v>
                </c:pt>
                <c:pt idx="858">
                  <c:v>34.533300000001326</c:v>
                </c:pt>
                <c:pt idx="859">
                  <c:v>34.533400000001329</c:v>
                </c:pt>
                <c:pt idx="860">
                  <c:v>34.533500000001332</c:v>
                </c:pt>
                <c:pt idx="861">
                  <c:v>34.533600000001336</c:v>
                </c:pt>
                <c:pt idx="862">
                  <c:v>34.533700000001339</c:v>
                </c:pt>
                <c:pt idx="863">
                  <c:v>34.533800000001342</c:v>
                </c:pt>
                <c:pt idx="864">
                  <c:v>34.533900000001346</c:v>
                </c:pt>
                <c:pt idx="865">
                  <c:v>34.534000000001349</c:v>
                </c:pt>
                <c:pt idx="866">
                  <c:v>34.534100000001352</c:v>
                </c:pt>
                <c:pt idx="867">
                  <c:v>34.534200000001356</c:v>
                </c:pt>
                <c:pt idx="868">
                  <c:v>34.534300000001359</c:v>
                </c:pt>
                <c:pt idx="869">
                  <c:v>34.534400000001362</c:v>
                </c:pt>
                <c:pt idx="870">
                  <c:v>34.534500000001366</c:v>
                </c:pt>
                <c:pt idx="871">
                  <c:v>34.534600000001369</c:v>
                </c:pt>
                <c:pt idx="872">
                  <c:v>34.534700000001372</c:v>
                </c:pt>
                <c:pt idx="873">
                  <c:v>34.534800000001376</c:v>
                </c:pt>
                <c:pt idx="874">
                  <c:v>34.534900000001379</c:v>
                </c:pt>
                <c:pt idx="875">
                  <c:v>34.535000000001382</c:v>
                </c:pt>
                <c:pt idx="876">
                  <c:v>34.535100000001385</c:v>
                </c:pt>
                <c:pt idx="877">
                  <c:v>34.535200000001389</c:v>
                </c:pt>
                <c:pt idx="878">
                  <c:v>34.535300000001392</c:v>
                </c:pt>
                <c:pt idx="879">
                  <c:v>34.535400000001395</c:v>
                </c:pt>
                <c:pt idx="880">
                  <c:v>34.535500000001399</c:v>
                </c:pt>
                <c:pt idx="881">
                  <c:v>34.535600000001402</c:v>
                </c:pt>
                <c:pt idx="882">
                  <c:v>34.535700000001405</c:v>
                </c:pt>
                <c:pt idx="883">
                  <c:v>34.535800000001409</c:v>
                </c:pt>
                <c:pt idx="884">
                  <c:v>34.535900000001412</c:v>
                </c:pt>
                <c:pt idx="885">
                  <c:v>34.536000000001415</c:v>
                </c:pt>
                <c:pt idx="886">
                  <c:v>34.536100000001419</c:v>
                </c:pt>
                <c:pt idx="887">
                  <c:v>34.536200000001422</c:v>
                </c:pt>
                <c:pt idx="888">
                  <c:v>34.536300000001425</c:v>
                </c:pt>
                <c:pt idx="889">
                  <c:v>34.536400000001429</c:v>
                </c:pt>
                <c:pt idx="890">
                  <c:v>34.536500000001432</c:v>
                </c:pt>
                <c:pt idx="891">
                  <c:v>34.536600000001435</c:v>
                </c:pt>
                <c:pt idx="892">
                  <c:v>34.536700000001439</c:v>
                </c:pt>
                <c:pt idx="893">
                  <c:v>34.536800000001442</c:v>
                </c:pt>
                <c:pt idx="894">
                  <c:v>34.536900000001445</c:v>
                </c:pt>
                <c:pt idx="895">
                  <c:v>34.537000000001449</c:v>
                </c:pt>
                <c:pt idx="896">
                  <c:v>34.537100000001452</c:v>
                </c:pt>
                <c:pt idx="897">
                  <c:v>34.537200000001455</c:v>
                </c:pt>
                <c:pt idx="898">
                  <c:v>34.537300000001458</c:v>
                </c:pt>
                <c:pt idx="899">
                  <c:v>34.537400000001462</c:v>
                </c:pt>
                <c:pt idx="900">
                  <c:v>34.537500000001465</c:v>
                </c:pt>
                <c:pt idx="901">
                  <c:v>34.537600000001468</c:v>
                </c:pt>
                <c:pt idx="902">
                  <c:v>34.537700000001472</c:v>
                </c:pt>
                <c:pt idx="903">
                  <c:v>34.537800000001475</c:v>
                </c:pt>
                <c:pt idx="904">
                  <c:v>34.537900000001478</c:v>
                </c:pt>
                <c:pt idx="905">
                  <c:v>34.538000000001482</c:v>
                </c:pt>
                <c:pt idx="906">
                  <c:v>34.538100000001485</c:v>
                </c:pt>
                <c:pt idx="907">
                  <c:v>34.538200000001488</c:v>
                </c:pt>
                <c:pt idx="908">
                  <c:v>34.538300000001492</c:v>
                </c:pt>
                <c:pt idx="909">
                  <c:v>34.538400000001495</c:v>
                </c:pt>
                <c:pt idx="910">
                  <c:v>34.538500000001498</c:v>
                </c:pt>
                <c:pt idx="911">
                  <c:v>34.538600000001502</c:v>
                </c:pt>
                <c:pt idx="912">
                  <c:v>34.538700000001505</c:v>
                </c:pt>
                <c:pt idx="913">
                  <c:v>34.538800000001508</c:v>
                </c:pt>
                <c:pt idx="914">
                  <c:v>34.538900000001512</c:v>
                </c:pt>
                <c:pt idx="915">
                  <c:v>34.539000000001515</c:v>
                </c:pt>
                <c:pt idx="916">
                  <c:v>34.539100000001518</c:v>
                </c:pt>
                <c:pt idx="917">
                  <c:v>34.539200000001522</c:v>
                </c:pt>
                <c:pt idx="918">
                  <c:v>34.539300000001525</c:v>
                </c:pt>
                <c:pt idx="919">
                  <c:v>34.539400000001528</c:v>
                </c:pt>
                <c:pt idx="920">
                  <c:v>34.539500000001532</c:v>
                </c:pt>
                <c:pt idx="921">
                  <c:v>34.539600000001535</c:v>
                </c:pt>
                <c:pt idx="922">
                  <c:v>34.539700000001538</c:v>
                </c:pt>
                <c:pt idx="923">
                  <c:v>34.539800000001541</c:v>
                </c:pt>
                <c:pt idx="924">
                  <c:v>34.539900000001545</c:v>
                </c:pt>
                <c:pt idx="925">
                  <c:v>34.540000000001548</c:v>
                </c:pt>
                <c:pt idx="926">
                  <c:v>34.540100000001551</c:v>
                </c:pt>
                <c:pt idx="927">
                  <c:v>34.540200000001555</c:v>
                </c:pt>
                <c:pt idx="928">
                  <c:v>34.540300000001558</c:v>
                </c:pt>
                <c:pt idx="929">
                  <c:v>34.540400000001561</c:v>
                </c:pt>
                <c:pt idx="930">
                  <c:v>34.540500000001565</c:v>
                </c:pt>
                <c:pt idx="931">
                  <c:v>34.540600000001568</c:v>
                </c:pt>
                <c:pt idx="932">
                  <c:v>34.540700000001571</c:v>
                </c:pt>
                <c:pt idx="933">
                  <c:v>34.540800000001575</c:v>
                </c:pt>
                <c:pt idx="934">
                  <c:v>34.540900000001578</c:v>
                </c:pt>
                <c:pt idx="935">
                  <c:v>34.541000000001581</c:v>
                </c:pt>
                <c:pt idx="936">
                  <c:v>34.541100000001585</c:v>
                </c:pt>
                <c:pt idx="937">
                  <c:v>34.541200000001588</c:v>
                </c:pt>
                <c:pt idx="938">
                  <c:v>34.541300000001591</c:v>
                </c:pt>
                <c:pt idx="939">
                  <c:v>34.541400000001595</c:v>
                </c:pt>
                <c:pt idx="940">
                  <c:v>34.541500000001598</c:v>
                </c:pt>
                <c:pt idx="941">
                  <c:v>34.541600000001601</c:v>
                </c:pt>
                <c:pt idx="942">
                  <c:v>34.541700000001605</c:v>
                </c:pt>
                <c:pt idx="943">
                  <c:v>34.541800000001608</c:v>
                </c:pt>
                <c:pt idx="944">
                  <c:v>34.541900000001611</c:v>
                </c:pt>
                <c:pt idx="945">
                  <c:v>34.542000000001615</c:v>
                </c:pt>
                <c:pt idx="946">
                  <c:v>34.542100000001618</c:v>
                </c:pt>
                <c:pt idx="947">
                  <c:v>34.542200000001621</c:v>
                </c:pt>
                <c:pt idx="948">
                  <c:v>34.542300000001624</c:v>
                </c:pt>
                <c:pt idx="949">
                  <c:v>34.542400000001628</c:v>
                </c:pt>
                <c:pt idx="950">
                  <c:v>34.542500000001631</c:v>
                </c:pt>
                <c:pt idx="951">
                  <c:v>34.542600000001634</c:v>
                </c:pt>
                <c:pt idx="952">
                  <c:v>34.542700000001638</c:v>
                </c:pt>
                <c:pt idx="953">
                  <c:v>34.542800000001641</c:v>
                </c:pt>
                <c:pt idx="954">
                  <c:v>34.542900000001644</c:v>
                </c:pt>
                <c:pt idx="955">
                  <c:v>34.543000000001648</c:v>
                </c:pt>
                <c:pt idx="956">
                  <c:v>34.543100000001651</c:v>
                </c:pt>
                <c:pt idx="957">
                  <c:v>34.543200000001654</c:v>
                </c:pt>
                <c:pt idx="958">
                  <c:v>34.543300000001658</c:v>
                </c:pt>
                <c:pt idx="959">
                  <c:v>34.543400000001661</c:v>
                </c:pt>
                <c:pt idx="960">
                  <c:v>34.543500000001664</c:v>
                </c:pt>
                <c:pt idx="961">
                  <c:v>34.543600000001668</c:v>
                </c:pt>
                <c:pt idx="962">
                  <c:v>34.543700000001671</c:v>
                </c:pt>
                <c:pt idx="963">
                  <c:v>34.543800000001674</c:v>
                </c:pt>
                <c:pt idx="964">
                  <c:v>34.543900000001678</c:v>
                </c:pt>
                <c:pt idx="965">
                  <c:v>34.544000000001681</c:v>
                </c:pt>
                <c:pt idx="966">
                  <c:v>34.544100000001684</c:v>
                </c:pt>
                <c:pt idx="967">
                  <c:v>34.544200000001688</c:v>
                </c:pt>
                <c:pt idx="968">
                  <c:v>34.544300000001691</c:v>
                </c:pt>
                <c:pt idx="969">
                  <c:v>34.544400000001694</c:v>
                </c:pt>
                <c:pt idx="970">
                  <c:v>34.544500000001698</c:v>
                </c:pt>
                <c:pt idx="971">
                  <c:v>34.544600000001701</c:v>
                </c:pt>
                <c:pt idx="972">
                  <c:v>34.544700000001704</c:v>
                </c:pt>
                <c:pt idx="973">
                  <c:v>34.544800000001707</c:v>
                </c:pt>
                <c:pt idx="974">
                  <c:v>34.544900000001711</c:v>
                </c:pt>
                <c:pt idx="975">
                  <c:v>34.545000000001714</c:v>
                </c:pt>
                <c:pt idx="976">
                  <c:v>34.545100000001717</c:v>
                </c:pt>
                <c:pt idx="977">
                  <c:v>34.545200000001721</c:v>
                </c:pt>
                <c:pt idx="978">
                  <c:v>34.545300000001724</c:v>
                </c:pt>
                <c:pt idx="979">
                  <c:v>34.545400000001727</c:v>
                </c:pt>
                <c:pt idx="980">
                  <c:v>34.545500000001731</c:v>
                </c:pt>
                <c:pt idx="981">
                  <c:v>34.545600000001734</c:v>
                </c:pt>
                <c:pt idx="982">
                  <c:v>34.545700000001737</c:v>
                </c:pt>
                <c:pt idx="983">
                  <c:v>34.545800000001741</c:v>
                </c:pt>
                <c:pt idx="984">
                  <c:v>34.545900000001744</c:v>
                </c:pt>
                <c:pt idx="985">
                  <c:v>34.546000000001747</c:v>
                </c:pt>
                <c:pt idx="986">
                  <c:v>34.546100000001751</c:v>
                </c:pt>
                <c:pt idx="987">
                  <c:v>34.546200000001754</c:v>
                </c:pt>
                <c:pt idx="988">
                  <c:v>34.546300000001757</c:v>
                </c:pt>
                <c:pt idx="989">
                  <c:v>34.546400000001761</c:v>
                </c:pt>
                <c:pt idx="990">
                  <c:v>34.546500000001764</c:v>
                </c:pt>
                <c:pt idx="991">
                  <c:v>34.546600000001767</c:v>
                </c:pt>
                <c:pt idx="992">
                  <c:v>34.546700000001771</c:v>
                </c:pt>
                <c:pt idx="993">
                  <c:v>34.546800000001774</c:v>
                </c:pt>
                <c:pt idx="994">
                  <c:v>34.546900000001777</c:v>
                </c:pt>
                <c:pt idx="995">
                  <c:v>34.547000000001781</c:v>
                </c:pt>
                <c:pt idx="996">
                  <c:v>34.547100000001784</c:v>
                </c:pt>
                <c:pt idx="997">
                  <c:v>34.547200000001787</c:v>
                </c:pt>
                <c:pt idx="998">
                  <c:v>34.54730000000179</c:v>
                </c:pt>
                <c:pt idx="999">
                  <c:v>34.547400000001794</c:v>
                </c:pt>
                <c:pt idx="1000">
                  <c:v>34.547500000001797</c:v>
                </c:pt>
              </c:numCache>
            </c:numRef>
          </c:xVal>
          <c:yVal>
            <c:numRef>
              <c:f>Calculs!$K$4:$K$1004</c:f>
              <c:numCache>
                <c:formatCode>0.00</c:formatCode>
                <c:ptCount val="1001"/>
                <c:pt idx="0">
                  <c:v>0</c:v>
                </c:pt>
                <c:pt idx="1">
                  <c:v>9.6179596057260972E-4</c:v>
                </c:pt>
                <c:pt idx="2">
                  <c:v>7.849334862307036E-3</c:v>
                </c:pt>
                <c:pt idx="3">
                  <c:v>2.7104036649354804E-2</c:v>
                </c:pt>
                <c:pt idx="4">
                  <c:v>6.0910676809744435E-2</c:v>
                </c:pt>
                <c:pt idx="5">
                  <c:v>0.10875959295515798</c:v>
                </c:pt>
                <c:pt idx="6">
                  <c:v>0.17029575024130772</c:v>
                </c:pt>
                <c:pt idx="7">
                  <c:v>0.24547517535961894</c:v>
                </c:pt>
                <c:pt idx="8">
                  <c:v>0.33440967855691439</c:v>
                </c:pt>
                <c:pt idx="9">
                  <c:v>0.43721111891433345</c:v>
                </c:pt>
                <c:pt idx="10">
                  <c:v>0.55399140167489291</c:v>
                </c:pt>
                <c:pt idx="11">
                  <c:v>0.68484628480212495</c:v>
                </c:pt>
                <c:pt idx="12">
                  <c:v>0.82983913846125701</c:v>
                </c:pt>
                <c:pt idx="13">
                  <c:v>0.989017063757757</c:v>
                </c:pt>
                <c:pt idx="14">
                  <c:v>1.1624270589549011</c:v>
                </c:pt>
                <c:pt idx="15">
                  <c:v>1.350116017579907</c:v>
                </c:pt>
                <c:pt idx="16">
                  <c:v>1.5521307265246203</c:v>
                </c:pt>
                <c:pt idx="17">
                  <c:v>1.7685178641409143</c:v>
                </c:pt>
                <c:pt idx="18">
                  <c:v>1.9993239983309685</c:v>
                </c:pt>
                <c:pt idx="19">
                  <c:v>2.244595584632592</c:v>
                </c:pt>
                <c:pt idx="20">
                  <c:v>2.5043789642997596</c:v>
                </c:pt>
                <c:pt idx="21">
                  <c:v>2.7787138599228545</c:v>
                </c:pt>
                <c:pt idx="22">
                  <c:v>3.0676268525810602</c:v>
                </c:pt>
                <c:pt idx="23">
                  <c:v>3.3711378558289589</c:v>
                </c:pt>
                <c:pt idx="24">
                  <c:v>3.6892666085400023</c:v>
                </c:pt>
                <c:pt idx="25">
                  <c:v>4.0220326737662697</c:v>
                </c:pt>
                <c:pt idx="26">
                  <c:v>4.3694406356516708</c:v>
                </c:pt>
                <c:pt idx="27">
                  <c:v>4.7314942593150162</c:v>
                </c:pt>
                <c:pt idx="28">
                  <c:v>5.1082113009258308</c:v>
                </c:pt>
                <c:pt idx="29">
                  <c:v>5.4996093651401523</c:v>
                </c:pt>
                <c:pt idx="30">
                  <c:v>5.9057059129793767</c:v>
                </c:pt>
                <c:pt idx="31">
                  <c:v>6.3265182582043593</c:v>
                </c:pt>
                <c:pt idx="32">
                  <c:v>6.7620635639505586</c:v>
                </c:pt>
                <c:pt idx="33">
                  <c:v>7.2123588395916514</c:v>
                </c:pt>
                <c:pt idx="34">
                  <c:v>7.6774209378041887</c:v>
                </c:pt>
                <c:pt idx="35">
                  <c:v>8.1572665518100607</c:v>
                </c:pt>
                <c:pt idx="36">
                  <c:v>8.6519122127770007</c:v>
                </c:pt>
                <c:pt idx="37">
                  <c:v>9.1613742873602018</c:v>
                </c:pt>
                <c:pt idx="38">
                  <c:v>9.6856689753705076</c:v>
                </c:pt>
                <c:pt idx="39">
                  <c:v>10.224812307556627</c:v>
                </c:pt>
                <c:pt idx="40">
                  <c:v>10.778820143490485</c:v>
                </c:pt>
                <c:pt idx="41">
                  <c:v>11.347703103481436</c:v>
                </c:pt>
                <c:pt idx="42">
                  <c:v>11.931461488123665</c:v>
                </c:pt>
                <c:pt idx="43">
                  <c:v>12.530090325394321</c:v>
                </c:pt>
                <c:pt idx="44">
                  <c:v>13.143584430641267</c:v>
                </c:pt>
                <c:pt idx="45">
                  <c:v>13.771938405601263</c:v>
                </c:pt>
                <c:pt idx="46">
                  <c:v>14.415146637491738</c:v>
                </c:pt>
                <c:pt idx="47">
                  <c:v>15.073203298170998</c:v>
                </c:pt>
                <c:pt idx="48">
                  <c:v>15.746102343362272</c:v>
                </c:pt>
                <c:pt idx="49">
                  <c:v>16.433837511937465</c:v>
                </c:pt>
                <c:pt idx="50">
                  <c:v>17.136402325256991</c:v>
                </c:pt>
                <c:pt idx="51">
                  <c:v>17.853790086562395</c:v>
                </c:pt>
                <c:pt idx="52">
                  <c:v>18.585993880418791</c:v>
                </c:pt>
                <c:pt idx="53">
                  <c:v>19.3330065722045</c:v>
                </c:pt>
                <c:pt idx="54">
                  <c:v>20.094820807645462</c:v>
                </c:pt>
                <c:pt idx="55">
                  <c:v>20.871429012392273</c:v>
                </c:pt>
                <c:pt idx="56">
                  <c:v>21.662823391637879</c:v>
                </c:pt>
                <c:pt idx="57">
                  <c:v>22.468995929774135</c:v>
                </c:pt>
                <c:pt idx="58">
                  <c:v>23.289938390085631</c:v>
                </c:pt>
                <c:pt idx="59">
                  <c:v>24.125642314479276</c:v>
                </c:pt>
                <c:pt idx="60">
                  <c:v>24.976099023248302</c:v>
                </c:pt>
                <c:pt idx="61">
                  <c:v>25.841299614869456</c:v>
                </c:pt>
                <c:pt idx="62">
                  <c:v>26.721234965832227</c:v>
                </c:pt>
                <c:pt idx="63">
                  <c:v>27.61589573049908</c:v>
                </c:pt>
                <c:pt idx="64">
                  <c:v>28.525272340995734</c:v>
                </c:pt>
                <c:pt idx="65">
                  <c:v>29.449355007130588</c:v>
                </c:pt>
                <c:pt idx="66">
                  <c:v>30.38813371634248</c:v>
                </c:pt>
                <c:pt idx="67">
                  <c:v>31.341598233676027</c:v>
                </c:pt>
                <c:pt idx="68">
                  <c:v>32.309738101783843</c:v>
                </c:pt>
                <c:pt idx="69">
                  <c:v>33.292542640954963</c:v>
                </c:pt>
                <c:pt idx="70">
                  <c:v>34.290000949168885</c:v>
                </c:pt>
                <c:pt idx="71">
                  <c:v>35.302101902174655</c:v>
                </c:pt>
                <c:pt idx="72">
                  <c:v>36.328834153594464</c:v>
                </c:pt>
                <c:pt idx="73">
                  <c:v>37.37018613505127</c:v>
                </c:pt>
                <c:pt idx="74">
                  <c:v>38.426146056319936</c:v>
                </c:pt>
                <c:pt idx="75">
                  <c:v>39.496701905501517</c:v>
                </c:pt>
                <c:pt idx="76">
                  <c:v>40.581841449220242</c:v>
                </c:pt>
                <c:pt idx="77">
                  <c:v>41.681552232842776</c:v>
                </c:pt>
                <c:pt idx="78">
                  <c:v>42.795821580719455</c:v>
                </c:pt>
                <c:pt idx="79">
                  <c:v>43.924636596447108</c:v>
                </c:pt>
                <c:pt idx="80">
                  <c:v>45.067984163153127</c:v>
                </c:pt>
                <c:pt idx="81">
                  <c:v>46.225845781003116</c:v>
                </c:pt>
                <c:pt idx="82">
                  <c:v>47.398192394880965</c:v>
                </c:pt>
                <c:pt idx="83">
                  <c:v>48.584989546199502</c:v>
                </c:pt>
                <c:pt idx="84">
                  <c:v>49.786202535078019</c:v>
                </c:pt>
                <c:pt idx="85">
                  <c:v>51.001796421726347</c:v>
                </c:pt>
                <c:pt idx="86">
                  <c:v>52.231736027850438</c:v>
                </c:pt>
                <c:pt idx="87">
                  <c:v>53.475985938079134</c:v>
                </c:pt>
                <c:pt idx="88">
                  <c:v>54.734510501411499</c:v>
                </c:pt>
                <c:pt idx="89">
                  <c:v>56.007273832684433</c:v>
                </c:pt>
                <c:pt idx="90">
                  <c:v>57.294239814060028</c:v>
                </c:pt>
                <c:pt idx="91">
                  <c:v>58.595369812979577</c:v>
                </c:pt>
                <c:pt idx="92">
                  <c:v>59.91062039623214</c:v>
                </c:pt>
                <c:pt idx="93">
                  <c:v>61.239945610924721</c:v>
                </c:pt>
                <c:pt idx="94">
                  <c:v>62.583299269615928</c:v>
                </c:pt>
                <c:pt idx="95">
                  <c:v>63.940634952377707</c:v>
                </c:pt>
                <c:pt idx="96">
                  <c:v>65.311906008874132</c:v>
                </c:pt>
                <c:pt idx="97">
                  <c:v>66.697065560456693</c:v>
                </c:pt>
                <c:pt idx="98">
                  <c:v>68.09606650227559</c:v>
                </c:pt>
                <c:pt idx="99">
                  <c:v>69.508861505406713</c:v>
                </c:pt>
                <c:pt idx="100">
                  <c:v>70.935403018993668</c:v>
                </c:pt>
                <c:pt idx="101">
                  <c:v>72.375642906752802</c:v>
                </c:pt>
                <c:pt idx="102">
                  <c:v>73.829532082945136</c:v>
                </c:pt>
                <c:pt idx="103">
                  <c:v>75.297020879700085</c:v>
                </c:pt>
                <c:pt idx="104">
                  <c:v>76.778059414939221</c:v>
                </c:pt>
                <c:pt idx="105">
                  <c:v>78.272597594666067</c:v>
                </c:pt>
                <c:pt idx="106">
                  <c:v>79.78058511526811</c:v>
                </c:pt>
                <c:pt idx="107">
                  <c:v>81.301971465830761</c:v>
                </c:pt>
                <c:pt idx="108">
                  <c:v>82.836705930462742</c:v>
                </c:pt>
                <c:pt idx="109">
                  <c:v>84.38473759063244</c:v>
                </c:pt>
                <c:pt idx="110">
                  <c:v>85.946015327514885</c:v>
                </c:pt>
                <c:pt idx="111">
                  <c:v>87.520492038896634</c:v>
                </c:pt>
                <c:pt idx="112">
                  <c:v>89.108128861514231</c:v>
                </c:pt>
                <c:pt idx="113">
                  <c:v>90.70889096313816</c:v>
                </c:pt>
                <c:pt idx="114">
                  <c:v>92.322743328813104</c:v>
                </c:pt>
                <c:pt idx="115">
                  <c:v>93.949650762395379</c:v>
                </c:pt>
                <c:pt idx="116">
                  <c:v>95.589577888100933</c:v>
                </c:pt>
                <c:pt idx="117">
                  <c:v>97.242489152063683</c:v>
                </c:pt>
                <c:pt idx="118">
                  <c:v>98.90834882390395</c:v>
                </c:pt>
                <c:pt idx="119">
                  <c:v>100.58712099830679</c:v>
                </c:pt>
                <c:pt idx="120">
                  <c:v>102.27876959660983</c:v>
                </c:pt>
                <c:pt idx="121">
                  <c:v>103.98325137047534</c:v>
                </c:pt>
                <c:pt idx="122">
                  <c:v>105.70050889783788</c:v>
                </c:pt>
                <c:pt idx="123">
                  <c:v>107.43047757786435</c:v>
                </c:pt>
                <c:pt idx="124">
                  <c:v>109.17309263438378</c:v>
                </c:pt>
                <c:pt idx="125">
                  <c:v>110.92828911897151</c:v>
                </c:pt>
                <c:pt idx="126">
                  <c:v>112.69600191403535</c:v>
                </c:pt>
                <c:pt idx="127">
                  <c:v>114.47616573590291</c:v>
                </c:pt>
                <c:pt idx="128">
                  <c:v>116.26871513790975</c:v>
                </c:pt>
                <c:pt idx="129">
                  <c:v>118.0735845134879</c:v>
                </c:pt>
                <c:pt idx="130">
                  <c:v>119.89070809925417</c:v>
                </c:pt>
                <c:pt idx="131">
                  <c:v>121.72001814405567</c:v>
                </c:pt>
                <c:pt idx="132">
                  <c:v>123.56144307643059</c:v>
                </c:pt>
                <c:pt idx="133">
                  <c:v>125.4149093413541</c:v>
                </c:pt>
                <c:pt idx="134">
                  <c:v>127.2803432387699</c:v>
                </c:pt>
                <c:pt idx="135">
                  <c:v>129.15767092707736</c:v>
                </c:pt>
                <c:pt idx="136">
                  <c:v>131.04681842661299</c:v>
                </c:pt>
                <c:pt idx="137">
                  <c:v>132.9477116231256</c:v>
                </c:pt>
                <c:pt idx="138">
                  <c:v>134.86027627124477</c:v>
                </c:pt>
                <c:pt idx="139">
                  <c:v>136.78443799794198</c:v>
                </c:pt>
                <c:pt idx="140">
                  <c:v>138.72012230598406</c:v>
                </c:pt>
                <c:pt idx="141">
                  <c:v>140.66723262541166</c:v>
                </c:pt>
                <c:pt idx="142">
                  <c:v>142.62562835189746</c:v>
                </c:pt>
                <c:pt idx="143">
                  <c:v>144.5951468083743</c:v>
                </c:pt>
                <c:pt idx="144">
                  <c:v>146.57562522272684</c:v>
                </c:pt>
                <c:pt idx="145">
                  <c:v>148.56690073709092</c:v>
                </c:pt>
                <c:pt idx="146">
                  <c:v>150.56881041707678</c:v>
                </c:pt>
                <c:pt idx="147">
                  <c:v>152.58119126091498</c:v>
                </c:pt>
                <c:pt idx="148">
                  <c:v>154.60388020852344</c:v>
                </c:pt>
                <c:pt idx="149">
                  <c:v>156.63671415049427</c:v>
                </c:pt>
                <c:pt idx="150">
                  <c:v>158.67952993699893</c:v>
                </c:pt>
                <c:pt idx="151">
                  <c:v>160.73216438661049</c:v>
                </c:pt>
                <c:pt idx="152">
                  <c:v>162.7944542950417</c:v>
                </c:pt>
                <c:pt idx="153">
                  <c:v>164.86623644379753</c:v>
                </c:pt>
                <c:pt idx="154">
                  <c:v>166.94734760874121</c:v>
                </c:pt>
                <c:pt idx="155">
                  <c:v>169.03762456857237</c:v>
                </c:pt>
                <c:pt idx="156">
                  <c:v>171.1368000095683</c:v>
                </c:pt>
                <c:pt idx="157">
                  <c:v>173.24439844360776</c:v>
                </c:pt>
                <c:pt idx="158">
                  <c:v>175.35984048309888</c:v>
                </c:pt>
                <c:pt idx="159">
                  <c:v>177.48254713009186</c:v>
                </c:pt>
                <c:pt idx="160">
                  <c:v>179.61193983905341</c:v>
                </c:pt>
                <c:pt idx="161">
                  <c:v>181.74730818534178</c:v>
                </c:pt>
                <c:pt idx="162">
                  <c:v>183.88767765804249</c:v>
                </c:pt>
                <c:pt idx="163">
                  <c:v>186.03195513165974</c:v>
                </c:pt>
                <c:pt idx="164">
                  <c:v>188.17907426060148</c:v>
                </c:pt>
                <c:pt idx="165">
                  <c:v>190.32810948210573</c:v>
                </c:pt>
                <c:pt idx="166">
                  <c:v>192.47838979734101</c:v>
                </c:pt>
                <c:pt idx="167">
                  <c:v>194.62927575410876</c:v>
                </c:pt>
                <c:pt idx="168">
                  <c:v>196.78000636097377</c:v>
                </c:pt>
                <c:pt idx="169">
                  <c:v>198.92959697059555</c:v>
                </c:pt>
                <c:pt idx="170">
                  <c:v>201.07680706074902</c:v>
                </c:pt>
                <c:pt idx="171">
                  <c:v>203.22076967694338</c:v>
                </c:pt>
                <c:pt idx="172">
                  <c:v>205.36127142489883</c:v>
                </c:pt>
                <c:pt idx="173">
                  <c:v>207.49832078974819</c:v>
                </c:pt>
                <c:pt idx="174">
                  <c:v>209.6319262199504</c:v>
                </c:pt>
                <c:pt idx="175">
                  <c:v>211.76209612750134</c:v>
                </c:pt>
                <c:pt idx="176">
                  <c:v>213.88883888814323</c:v>
                </c:pt>
                <c:pt idx="177">
                  <c:v>216.01216284157246</c:v>
                </c:pt>
                <c:pt idx="178">
                  <c:v>218.13207629164594</c:v>
                </c:pt>
                <c:pt idx="179">
                  <c:v>220.24858750658589</c:v>
                </c:pt>
                <c:pt idx="180">
                  <c:v>222.36170471918322</c:v>
                </c:pt>
                <c:pt idx="181">
                  <c:v>224.47143612699946</c:v>
                </c:pt>
                <c:pt idx="182">
                  <c:v>226.57778989256724</c:v>
                </c:pt>
                <c:pt idx="183">
                  <c:v>228.68077414358925</c:v>
                </c:pt>
                <c:pt idx="184">
                  <c:v>230.78039697313588</c:v>
                </c:pt>
                <c:pt idx="185">
                  <c:v>232.87666643984139</c:v>
                </c:pt>
                <c:pt idx="186">
                  <c:v>234.96959056809865</c:v>
                </c:pt>
                <c:pt idx="187">
                  <c:v>237.05917734825263</c:v>
                </c:pt>
                <c:pt idx="188">
                  <c:v>239.14543473679231</c:v>
                </c:pt>
                <c:pt idx="189">
                  <c:v>241.22837065654144</c:v>
                </c:pt>
                <c:pt idx="190">
                  <c:v>243.30799299684773</c:v>
                </c:pt>
                <c:pt idx="191">
                  <c:v>245.38430961377091</c:v>
                </c:pt>
                <c:pt idx="192">
                  <c:v>247.45732833026929</c:v>
                </c:pt>
                <c:pt idx="193">
                  <c:v>249.52705693638507</c:v>
                </c:pt>
                <c:pt idx="194">
                  <c:v>251.59350318942842</c:v>
                </c:pt>
                <c:pt idx="195">
                  <c:v>253.65667481416008</c:v>
                </c:pt>
                <c:pt idx="196">
                  <c:v>255.71657950297288</c:v>
                </c:pt>
                <c:pt idx="197">
                  <c:v>257.7732249160718</c:v>
                </c:pt>
                <c:pt idx="198">
                  <c:v>259.82661868165286</c:v>
                </c:pt>
                <c:pt idx="199">
                  <c:v>261.87676839608088</c:v>
                </c:pt>
                <c:pt idx="200">
                  <c:v>263.92368162406575</c:v>
                </c:pt>
                <c:pt idx="201">
                  <c:v>284.21539062170683</c:v>
                </c:pt>
                <c:pt idx="202">
                  <c:v>304.1882902910985</c:v>
                </c:pt>
                <c:pt idx="203">
                  <c:v>323.84964960680509</c:v>
                </c:pt>
                <c:pt idx="204">
                  <c:v>343.20644312949509</c:v>
                </c:pt>
                <c:pt idx="205">
                  <c:v>362.26536666916672</c:v>
                </c:pt>
                <c:pt idx="206">
                  <c:v>381.03285190816945</c:v>
                </c:pt>
                <c:pt idx="207">
                  <c:v>399.51508006624192</c:v>
                </c:pt>
                <c:pt idx="208">
                  <c:v>417.71799468226942</c:v>
                </c:pt>
                <c:pt idx="209">
                  <c:v>435.64731358072743</c:v>
                </c:pt>
                <c:pt idx="210">
                  <c:v>453.30854008472568</c:v>
                </c:pt>
                <c:pt idx="211">
                  <c:v>470.70697353212807</c:v>
                </c:pt>
                <c:pt idx="212">
                  <c:v>487.84771914632313</c:v>
                </c:pt>
                <c:pt idx="213">
                  <c:v>504.73569730880297</c:v>
                </c:pt>
                <c:pt idx="214">
                  <c:v>521.3756522767186</c:v>
                </c:pt>
                <c:pt idx="215">
                  <c:v>537.77216038497249</c:v>
                </c:pt>
                <c:pt idx="216">
                  <c:v>553.92963776914371</c:v>
                </c:pt>
                <c:pt idx="217">
                  <c:v>569.85234764258144</c:v>
                </c:pt>
                <c:pt idx="218">
                  <c:v>585.54440715831447</c:v>
                </c:pt>
                <c:pt idx="219">
                  <c:v>601.00979388398491</c:v>
                </c:pt>
                <c:pt idx="220">
                  <c:v>616.25235191579281</c:v>
                </c:pt>
                <c:pt idx="221">
                  <c:v>631.27579765541441</c:v>
                </c:pt>
                <c:pt idx="222">
                  <c:v>646.08372527201539</c:v>
                </c:pt>
                <c:pt idx="223">
                  <c:v>660.67961186979494</c:v>
                </c:pt>
                <c:pt idx="224">
                  <c:v>675.06682237995892</c:v>
                </c:pt>
                <c:pt idx="225">
                  <c:v>689.24861419461467</c:v>
                </c:pt>
                <c:pt idx="226">
                  <c:v>703.22814155879087</c:v>
                </c:pt>
                <c:pt idx="227">
                  <c:v>717.00845973560627</c:v>
                </c:pt>
                <c:pt idx="228">
                  <c:v>730.59252895852705</c:v>
                </c:pt>
                <c:pt idx="229">
                  <c:v>743.98321818366026</c:v>
                </c:pt>
                <c:pt idx="230">
                  <c:v>757.18330865411463</c:v>
                </c:pt>
                <c:pt idx="231">
                  <c:v>770.19549728762115</c:v>
                </c:pt>
                <c:pt idx="232">
                  <c:v>783.02239989783095</c:v>
                </c:pt>
                <c:pt idx="233">
                  <c:v>795.66655425899444</c:v>
                </c:pt>
                <c:pt idx="234">
                  <c:v>808.13042302306917</c:v>
                </c:pt>
                <c:pt idx="235">
                  <c:v>820.41639649769468</c:v>
                </c:pt>
                <c:pt idx="236">
                  <c:v>832.52679529291322</c:v>
                </c:pt>
                <c:pt idx="237">
                  <c:v>844.46387284399623</c:v>
                </c:pt>
                <c:pt idx="238">
                  <c:v>856.22981781725593</c:v>
                </c:pt>
                <c:pt idx="239">
                  <c:v>867.82675640527748</c:v>
                </c:pt>
                <c:pt idx="240">
                  <c:v>879.25675451759514</c:v>
                </c:pt>
                <c:pt idx="241">
                  <c:v>890.52181987245524</c:v>
                </c:pt>
                <c:pt idx="242">
                  <c:v>901.62390399495143</c:v>
                </c:pt>
                <c:pt idx="243">
                  <c:v>912.56490412649282</c:v>
                </c:pt>
                <c:pt idx="244">
                  <c:v>923.34666505025473</c:v>
                </c:pt>
                <c:pt idx="245">
                  <c:v>933.9709808369829</c:v>
                </c:pt>
                <c:pt idx="246">
                  <c:v>944.43959651525188</c:v>
                </c:pt>
                <c:pt idx="247">
                  <c:v>954.75420967003652</c:v>
                </c:pt>
                <c:pt idx="248">
                  <c:v>964.91647197322243</c:v>
                </c:pt>
                <c:pt idx="249">
                  <c:v>974.92799064946917</c:v>
                </c:pt>
                <c:pt idx="250">
                  <c:v>984.79032988063966</c:v>
                </c:pt>
                <c:pt idx="251">
                  <c:v>994.50501215182237</c:v>
                </c:pt>
                <c:pt idx="252">
                  <c:v>1004.0735195417992</c:v>
                </c:pt>
                <c:pt idx="253">
                  <c:v>1013.4972949606496</c:v>
                </c:pt>
                <c:pt idx="254">
                  <c:v>1022.7777433370275</c:v>
                </c:pt>
                <c:pt idx="255">
                  <c:v>1031.9162327575082</c:v>
                </c:pt>
                <c:pt idx="256">
                  <c:v>1040.9140955602661</c:v>
                </c:pt>
                <c:pt idx="257">
                  <c:v>1049.7726293852209</c:v>
                </c:pt>
                <c:pt idx="258">
                  <c:v>1058.4930981826724</c:v>
                </c:pt>
                <c:pt idx="259">
                  <c:v>1067.0767331823354</c:v>
                </c:pt>
                <c:pt idx="260">
                  <c:v>1075.5247338245815</c:v>
                </c:pt>
                <c:pt idx="261">
                  <c:v>1083.8382686555988</c:v>
                </c:pt>
                <c:pt idx="262">
                  <c:v>1092.0184761880914</c:v>
                </c:pt>
                <c:pt idx="263">
                  <c:v>1100.0664657290524</c:v>
                </c:pt>
                <c:pt idx="264">
                  <c:v>1107.9833181760675</c:v>
                </c:pt>
                <c:pt idx="265">
                  <c:v>1115.7700867835276</c:v>
                </c:pt>
                <c:pt idx="266">
                  <c:v>1123.4277979000617</c:v>
                </c:pt>
                <c:pt idx="267">
                  <c:v>1130.9574516784323</c:v>
                </c:pt>
                <c:pt idx="268">
                  <c:v>1138.3600227590732</c:v>
                </c:pt>
                <c:pt idx="269">
                  <c:v>1145.6364609283928</c:v>
                </c:pt>
                <c:pt idx="270">
                  <c:v>1152.7876917529068</c:v>
                </c:pt>
                <c:pt idx="271">
                  <c:v>1159.8146171902167</c:v>
                </c:pt>
                <c:pt idx="272">
                  <c:v>1166.718116177798</c:v>
                </c:pt>
                <c:pt idx="273">
                  <c:v>1173.4990452005156</c:v>
                </c:pt>
                <c:pt idx="274">
                  <c:v>1180.1582388377426</c:v>
                </c:pt>
                <c:pt idx="275">
                  <c:v>1186.6965102909173</c:v>
                </c:pt>
                <c:pt idx="276">
                  <c:v>1193.1146518923319</c:v>
                </c:pt>
                <c:pt idx="277">
                  <c:v>1199.4134355959143</c:v>
                </c:pt>
                <c:pt idx="278">
                  <c:v>1205.5936134507258</c:v>
                </c:pt>
                <c:pt idx="279">
                  <c:v>1211.6559180578704</c:v>
                </c:pt>
                <c:pt idx="280">
                  <c:v>1217.601063011477</c:v>
                </c:pt>
                <c:pt idx="281">
                  <c:v>1223.4297433243896</c:v>
                </c:pt>
                <c:pt idx="282">
                  <c:v>1229.1426358391752</c:v>
                </c:pt>
                <c:pt idx="283">
                  <c:v>1234.7403996250321</c:v>
                </c:pt>
                <c:pt idx="284">
                  <c:v>1240.2236763611609</c:v>
                </c:pt>
                <c:pt idx="285">
                  <c:v>1245.5930907071372</c:v>
                </c:pt>
                <c:pt idx="286">
                  <c:v>1250.8492506608072</c:v>
                </c:pt>
                <c:pt idx="287">
                  <c:v>1255.992747904208</c:v>
                </c:pt>
                <c:pt idx="288">
                  <c:v>1261.0241581379994</c:v>
                </c:pt>
                <c:pt idx="289">
                  <c:v>1265.9440414048775</c:v>
                </c:pt>
                <c:pt idx="290">
                  <c:v>1270.7529424024294</c:v>
                </c:pt>
                <c:pt idx="291">
                  <c:v>1275.451390785875</c:v>
                </c:pt>
                <c:pt idx="292">
                  <c:v>1280.0399014611323</c:v>
                </c:pt>
                <c:pt idx="293">
                  <c:v>1284.5189748686355</c:v>
                </c:pt>
                <c:pt idx="294">
                  <c:v>1288.8890972583281</c:v>
                </c:pt>
                <c:pt idx="295">
                  <c:v>1293.1507409562491</c:v>
                </c:pt>
                <c:pt idx="296">
                  <c:v>1297.3043646231281</c:v>
                </c:pt>
                <c:pt idx="297">
                  <c:v>1301.3504135054029</c:v>
                </c:pt>
                <c:pt idx="298">
                  <c:v>1305.2893196790806</c:v>
                </c:pt>
                <c:pt idx="299">
                  <c:v>1309.1215022868603</c:v>
                </c:pt>
                <c:pt idx="300">
                  <c:v>1312.8473677689501</c:v>
                </c:pt>
                <c:pt idx="301">
                  <c:v>1316.4673100880159</c:v>
                </c:pt>
                <c:pt idx="302">
                  <c:v>1319.9817109487149</c:v>
                </c:pt>
                <c:pt idx="303">
                  <c:v>1323.3909400122852</c:v>
                </c:pt>
                <c:pt idx="304">
                  <c:v>1326.6953551066824</c:v>
                </c:pt>
                <c:pt idx="305">
                  <c:v>1329.8953024327764</c:v>
                </c:pt>
                <c:pt idx="306">
                  <c:v>1332.9911167671578</c:v>
                </c:pt>
                <c:pt idx="307">
                  <c:v>1335.9831216621326</c:v>
                </c:pt>
                <c:pt idx="308">
                  <c:v>1338.871629643525</c:v>
                </c:pt>
                <c:pt idx="309">
                  <c:v>1341.6569424069583</c:v>
                </c:pt>
                <c:pt idx="310">
                  <c:v>1344.3393510133296</c:v>
                </c:pt>
                <c:pt idx="311">
                  <c:v>1346.9191360842628</c:v>
                </c:pt>
                <c:pt idx="312">
                  <c:v>1349.3965679983787</c:v>
                </c:pt>
                <c:pt idx="313">
                  <c:v>1351.7719070893074</c:v>
                </c:pt>
                <c:pt idx="314">
                  <c:v>1354.0454038464384</c:v>
                </c:pt>
                <c:pt idx="315">
                  <c:v>1356.2172991194973</c:v>
                </c:pt>
                <c:pt idx="316">
                  <c:v>1358.287824328128</c:v>
                </c:pt>
                <c:pt idx="317">
                  <c:v>1360.2572016777599</c:v>
                </c:pt>
                <c:pt idx="318">
                  <c:v>1362.1256443831371</c:v>
                </c:pt>
                <c:pt idx="319">
                  <c:v>1363.8933569009889</c:v>
                </c:pt>
                <c:pt idx="320">
                  <c:v>1365.5605351734173</c:v>
                </c:pt>
                <c:pt idx="321">
                  <c:v>1367.127366883662</c:v>
                </c:pt>
                <c:pt idx="322">
                  <c:v>1368.594031725976</c:v>
                </c:pt>
                <c:pt idx="323">
                  <c:v>1369.9607016913917</c:v>
                </c:pt>
                <c:pt idx="324">
                  <c:v>1371.2275413711684</c:v>
                </c:pt>
                <c:pt idx="325">
                  <c:v>1372.3947082796856</c:v>
                </c:pt>
                <c:pt idx="326">
                  <c:v>1373.462353198453</c:v>
                </c:pt>
                <c:pt idx="327">
                  <c:v>1374.4306205427579</c:v>
                </c:pt>
                <c:pt idx="328">
                  <c:v>1375.2996487522273</c:v>
                </c:pt>
                <c:pt idx="329">
                  <c:v>1376.0695707062632</c:v>
                </c:pt>
                <c:pt idx="330">
                  <c:v>1376.740514164881</c:v>
                </c:pt>
                <c:pt idx="331">
                  <c:v>1377.3126022349647</c:v>
                </c:pt>
                <c:pt idx="332">
                  <c:v>1377.7859538613468</c:v>
                </c:pt>
                <c:pt idx="333">
                  <c:v>1378.160684341434</c:v>
                </c:pt>
                <c:pt idx="334">
                  <c:v>1378.4369058613709</c:v>
                </c:pt>
                <c:pt idx="335">
                  <c:v>1378.6147280509867</c:v>
                </c:pt>
                <c:pt idx="336">
                  <c:v>1378.6942585540462</c:v>
                </c:pt>
                <c:pt idx="337">
                  <c:v>1378.6756036096754</c:v>
                </c:pt>
                <c:pt idx="338">
                  <c:v>1378.5588686402957</c:v>
                </c:pt>
                <c:pt idx="339">
                  <c:v>1378.3441588410212</c:v>
                </c:pt>
                <c:pt idx="340">
                  <c:v>1378.031579765274</c:v>
                </c:pt>
                <c:pt idx="341">
                  <c:v>1377.6212379013812</c:v>
                </c:pt>
                <c:pt idx="342">
                  <c:v>1377.1132412351203</c:v>
                </c:pt>
                <c:pt idx="343">
                  <c:v>1376.5076997935741</c:v>
                </c:pt>
                <c:pt idx="344">
                  <c:v>1375.8047261661948</c:v>
                </c:pt>
                <c:pt idx="345">
                  <c:v>1375.0044359996434</c:v>
                </c:pt>
                <c:pt idx="346">
                  <c:v>1374.1069484636939</c:v>
                </c:pt>
                <c:pt idx="347">
                  <c:v>1373.112386686247</c:v>
                </c:pt>
                <c:pt idx="348">
                  <c:v>1372.0208781562283</c:v>
                </c:pt>
                <c:pt idx="349">
                  <c:v>1370.8325550938339</c:v>
                </c:pt>
                <c:pt idx="350">
                  <c:v>1369.547554788187</c:v>
                </c:pt>
                <c:pt idx="351">
                  <c:v>1368.1660199029864</c:v>
                </c:pt>
                <c:pt idx="352">
                  <c:v>1366.6880987511424</c:v>
                </c:pt>
                <c:pt idx="353">
                  <c:v>1365.1139455397163</c:v>
                </c:pt>
                <c:pt idx="354">
                  <c:v>1363.4437205867027</c:v>
                </c:pt>
                <c:pt idx="355">
                  <c:v>1361.6775905113459</c:v>
                </c:pt>
                <c:pt idx="356">
                  <c:v>1359.8157283997532</c:v>
                </c:pt>
                <c:pt idx="357">
                  <c:v>1357.8583139475918</c:v>
                </c:pt>
                <c:pt idx="358">
                  <c:v>1355.8055335816312</c:v>
                </c:pt>
                <c:pt idx="359">
                  <c:v>1353.6575805618347</c:v>
                </c:pt>
                <c:pt idx="360">
                  <c:v>1351.4146550656244</c:v>
                </c:pt>
                <c:pt idx="361">
                  <c:v>1349.0769642558444</c:v>
                </c:pt>
                <c:pt idx="362">
                  <c:v>1346.6447223338478</c:v>
                </c:pt>
                <c:pt idx="363">
                  <c:v>1344.1181505790164</c:v>
                </c:pt>
                <c:pt idx="364">
                  <c:v>1341.4974773759209</c:v>
                </c:pt>
                <c:pt idx="365">
                  <c:v>1338.7829382302175</c:v>
                </c:pt>
                <c:pt idx="366">
                  <c:v>1335.9747757742812</c:v>
                </c:pt>
                <c:pt idx="367">
                  <c:v>1333.0732397634774</c:v>
                </c:pt>
                <c:pt idx="368">
                  <c:v>1330.0785870638895</c:v>
                </c:pt>
                <c:pt idx="369">
                  <c:v>1326.9910816322358</c:v>
                </c:pt>
                <c:pt idx="370">
                  <c:v>1323.8109944886403</c:v>
                </c:pt>
                <c:pt idx="371">
                  <c:v>1320.5386036828513</c:v>
                </c:pt>
                <c:pt idx="372">
                  <c:v>1317.174194254445</c:v>
                </c:pt>
                <c:pt idx="373">
                  <c:v>1313.7180581874952</c:v>
                </c:pt>
                <c:pt idx="374">
                  <c:v>1310.1704943601476</c:v>
                </c:pt>
                <c:pt idx="375">
                  <c:v>1306.5318084894848</c:v>
                </c:pt>
                <c:pt idx="376">
                  <c:v>1302.8023130720426</c:v>
                </c:pt>
                <c:pt idx="377">
                  <c:v>1298.9823273202937</c:v>
                </c:pt>
                <c:pt idx="378">
                  <c:v>1295.0721770953919</c:v>
                </c:pt>
                <c:pt idx="379">
                  <c:v>1291.072194836441</c:v>
                </c:pt>
                <c:pt idx="380">
                  <c:v>1286.9827194865288</c:v>
                </c:pt>
                <c:pt idx="381">
                  <c:v>1282.8040964157485</c:v>
                </c:pt>
                <c:pt idx="382">
                  <c:v>1278.5366773414075</c:v>
                </c:pt>
                <c:pt idx="383">
                  <c:v>1274.1808202456125</c:v>
                </c:pt>
                <c:pt idx="384">
                  <c:v>1269.7368892903996</c:v>
                </c:pt>
                <c:pt idx="385">
                  <c:v>1265.2052547305734</c:v>
                </c:pt>
                <c:pt idx="386">
                  <c:v>1260.586292824398</c:v>
                </c:pt>
                <c:pt idx="387">
                  <c:v>1255.8803857422815</c:v>
                </c:pt>
                <c:pt idx="388">
                  <c:v>1251.0879214735833</c:v>
                </c:pt>
                <c:pt idx="389">
                  <c:v>1246.2092937316645</c:v>
                </c:pt>
                <c:pt idx="390">
                  <c:v>1241.2449018572963</c:v>
                </c:pt>
                <c:pt idx="391">
                  <c:v>1236.1951507205365</c:v>
                </c:pt>
                <c:pt idx="392">
                  <c:v>1231.0604506211741</c:v>
                </c:pt>
                <c:pt idx="393">
                  <c:v>1225.8412171878426</c:v>
                </c:pt>
                <c:pt idx="394">
                  <c:v>1220.5378712758943</c:v>
                </c:pt>
                <c:pt idx="395">
                  <c:v>1215.1508388641246</c:v>
                </c:pt>
                <c:pt idx="396">
                  <c:v>1209.6805509504329</c:v>
                </c:pt>
                <c:pt idx="397">
                  <c:v>1204.1274434465022</c:v>
                </c:pt>
                <c:pt idx="398">
                  <c:v>1198.4919570715767</c:v>
                </c:pt>
                <c:pt idx="399">
                  <c:v>1192.7745372454156</c:v>
                </c:pt>
                <c:pt idx="400">
                  <c:v>1186.9756339804937</c:v>
                </c:pt>
                <c:pt idx="401">
                  <c:v>1181.0957017735263</c:v>
                </c:pt>
                <c:pt idx="402">
                  <c:v>1175.1351994963829</c:v>
                </c:pt>
                <c:pt idx="403">
                  <c:v>1169.0945902864605</c:v>
                </c:pt>
                <c:pt idx="404">
                  <c:v>1162.9743414365821</c:v>
                </c:pt>
                <c:pt idx="405">
                  <c:v>1156.7749242844839</c:v>
                </c:pt>
                <c:pt idx="406">
                  <c:v>1150.496814101954</c:v>
                </c:pt>
                <c:pt idx="407">
                  <c:v>1144.1404899836848</c:v>
                </c:pt>
                <c:pt idx="408">
                  <c:v>1137.7064347358967</c:v>
                </c:pt>
                <c:pt idx="409">
                  <c:v>1131.195134764793</c:v>
                </c:pt>
                <c:pt idx="410">
                  <c:v>1124.6070799649017</c:v>
                </c:pt>
                <c:pt idx="411">
                  <c:v>1117.9427636073603</c:v>
                </c:pt>
                <c:pt idx="412">
                  <c:v>1111.2026822281978</c:v>
                </c:pt>
                <c:pt idx="413">
                  <c:v>1104.3873355166666</c:v>
                </c:pt>
                <c:pt idx="414">
                  <c:v>1097.4972262036761</c:v>
                </c:pt>
                <c:pt idx="415">
                  <c:v>1090.5328599503787</c:v>
                </c:pt>
                <c:pt idx="416">
                  <c:v>1083.4947452369581</c:v>
                </c:pt>
                <c:pt idx="417">
                  <c:v>1076.3833932516677</c:v>
                </c:pt>
                <c:pt idx="418">
                  <c:v>1069.1993177801653</c:v>
                </c:pt>
                <c:pt idx="419">
                  <c:v>1061.9430350951932</c:v>
                </c:pt>
                <c:pt idx="420">
                  <c:v>1054.6150638466449</c:v>
                </c:pt>
                <c:pt idx="421">
                  <c:v>1047.2159249520651</c:v>
                </c:pt>
                <c:pt idx="422">
                  <c:v>1039.7461414876241</c:v>
                </c:pt>
                <c:pt idx="423">
                  <c:v>1032.2062385796098</c:v>
                </c:pt>
                <c:pt idx="424">
                  <c:v>1024.596743296476</c:v>
                </c:pt>
                <c:pt idx="425">
                  <c:v>1016.9181845414884</c:v>
                </c:pt>
                <c:pt idx="426">
                  <c:v>1009.1710929460057</c:v>
                </c:pt>
                <c:pt idx="427">
                  <c:v>1001.3560007634338</c:v>
                </c:pt>
                <c:pt idx="428">
                  <c:v>993.47344176388856</c:v>
                </c:pt>
                <c:pt idx="429">
                  <c:v>985.52395112960335</c:v>
                </c:pt>
                <c:pt idx="430">
                  <c:v>977.50806535111542</c:v>
                </c:pt>
                <c:pt idx="431">
                  <c:v>969.42632212426395</c:v>
                </c:pt>
                <c:pt idx="432">
                  <c:v>961.27926024803173</c:v>
                </c:pt>
                <c:pt idx="433">
                  <c:v>953.06741952326252</c:v>
                </c:pt>
                <c:pt idx="434">
                  <c:v>944.79134065228288</c:v>
                </c:pt>
                <c:pt idx="435">
                  <c:v>936.45156513945813</c:v>
                </c:pt>
                <c:pt idx="436">
                  <c:v>928.04863519271055</c:v>
                </c:pt>
                <c:pt idx="437">
                  <c:v>919.58309362602586</c:v>
                </c:pt>
                <c:pt idx="438">
                  <c:v>911.05548376297486</c:v>
                </c:pt>
                <c:pt idx="439">
                  <c:v>902.46634934127428</c:v>
                </c:pt>
                <c:pt idx="440">
                  <c:v>893.81623441841111</c:v>
                </c:pt>
                <c:pt idx="441">
                  <c:v>885.10568327835301</c:v>
                </c:pt>
                <c:pt idx="442">
                  <c:v>876.33524033936635</c:v>
                </c:pt>
                <c:pt idx="443">
                  <c:v>867.50545006296329</c:v>
                </c:pt>
                <c:pt idx="444">
                  <c:v>858.61685686399699</c:v>
                </c:pt>
                <c:pt idx="445">
                  <c:v>849.67000502192411</c:v>
                </c:pt>
                <c:pt idx="446">
                  <c:v>840.66543859325247</c:v>
                </c:pt>
                <c:pt idx="447">
                  <c:v>831.60370132519017</c:v>
                </c:pt>
                <c:pt idx="448">
                  <c:v>822.4853365705128</c:v>
                </c:pt>
                <c:pt idx="449">
                  <c:v>813.31088720366313</c:v>
                </c:pt>
                <c:pt idx="450">
                  <c:v>804.08089553809702</c:v>
                </c:pt>
                <c:pt idx="451">
                  <c:v>794.7959032448897</c:v>
                </c:pt>
                <c:pt idx="452">
                  <c:v>785.45645127261309</c:v>
                </c:pt>
                <c:pt idx="453">
                  <c:v>776.06307976849632</c:v>
                </c:pt>
                <c:pt idx="454">
                  <c:v>766.61632800087943</c:v>
                </c:pt>
                <c:pt idx="455">
                  <c:v>757.11673428296956</c:v>
                </c:pt>
                <c:pt idx="456">
                  <c:v>747.56483589790867</c:v>
                </c:pt>
                <c:pt idx="457">
                  <c:v>737.96116902515973</c:v>
                </c:pt>
                <c:pt idx="458">
                  <c:v>728.3062686682191</c:v>
                </c:pt>
                <c:pt idx="459">
                  <c:v>718.60066858365985</c:v>
                </c:pt>
                <c:pt idx="460">
                  <c:v>708.84490121151271</c:v>
                </c:pt>
                <c:pt idx="461">
                  <c:v>699.03949760698754</c:v>
                </c:pt>
                <c:pt idx="462">
                  <c:v>689.18498737354071</c:v>
                </c:pt>
                <c:pt idx="463">
                  <c:v>679.28189859728877</c:v>
                </c:pt>
                <c:pt idx="464">
                  <c:v>669.33075778277293</c:v>
                </c:pt>
                <c:pt idx="465">
                  <c:v>659.33208979007418</c:v>
                </c:pt>
                <c:pt idx="466">
                  <c:v>649.28641777327982</c:v>
                </c:pt>
                <c:pt idx="467">
                  <c:v>639.1942631203018</c:v>
                </c:pt>
                <c:pt idx="468">
                  <c:v>629.05614539404553</c:v>
                </c:pt>
                <c:pt idx="469">
                  <c:v>618.87258227492794</c:v>
                </c:pt>
                <c:pt idx="470">
                  <c:v>608.64408950474251</c:v>
                </c:pt>
                <c:pt idx="471">
                  <c:v>598.37118083186863</c:v>
                </c:pt>
                <c:pt idx="472">
                  <c:v>588.05436795782134</c:v>
                </c:pt>
                <c:pt idx="473">
                  <c:v>577.69416048513824</c:v>
                </c:pt>
                <c:pt idx="474">
                  <c:v>567.29106586659827</c:v>
                </c:pt>
                <c:pt idx="475">
                  <c:v>556.84558935576729</c:v>
                </c:pt>
                <c:pt idx="476">
                  <c:v>546.35823395886462</c:v>
                </c:pt>
                <c:pt idx="477">
                  <c:v>535.82950038794479</c:v>
                </c:pt>
                <c:pt idx="478">
                  <c:v>525.25988701538665</c:v>
                </c:pt>
                <c:pt idx="479">
                  <c:v>514.64988982968316</c:v>
                </c:pt>
                <c:pt idx="480">
                  <c:v>504.00000239252415</c:v>
                </c:pt>
                <c:pt idx="481">
                  <c:v>493.3107157971628</c:v>
                </c:pt>
                <c:pt idx="482">
                  <c:v>482.58251862805832</c:v>
                </c:pt>
                <c:pt idx="483">
                  <c:v>471.81589692178449</c:v>
                </c:pt>
                <c:pt idx="484">
                  <c:v>461.01133412919495</c:v>
                </c:pt>
                <c:pt idx="485">
                  <c:v>450.16931107883505</c:v>
                </c:pt>
                <c:pt idx="486">
                  <c:v>439.29030594158996</c:v>
                </c:pt>
                <c:pt idx="487">
                  <c:v>428.37479419655767</c:v>
                </c:pt>
                <c:pt idx="488">
                  <c:v>417.42324859813641</c:v>
                </c:pt>
                <c:pt idx="489">
                  <c:v>406.43613914431438</c:v>
                </c:pt>
                <c:pt idx="490">
                  <c:v>395.41393304615013</c:v>
                </c:pt>
                <c:pt idx="491">
                  <c:v>384.35709469843147</c:v>
                </c:pt>
                <c:pt idx="492">
                  <c:v>373.26608565150013</c:v>
                </c:pt>
                <c:pt idx="493">
                  <c:v>362.14136458422973</c:v>
                </c:pt>
                <c:pt idx="494">
                  <c:v>350.98338727814388</c:v>
                </c:pt>
                <c:pt idx="495">
                  <c:v>339.792606592661</c:v>
                </c:pt>
                <c:pt idx="496">
                  <c:v>328.56947244145266</c:v>
                </c:pt>
                <c:pt idx="497">
                  <c:v>317.31443176990132</c:v>
                </c:pt>
                <c:pt idx="498">
                  <c:v>306.02792853364349</c:v>
                </c:pt>
                <c:pt idx="499">
                  <c:v>294.71040367818483</c:v>
                </c:pt>
                <c:pt idx="500">
                  <c:v>283.36229511957185</c:v>
                </c:pt>
                <c:pt idx="501">
                  <c:v>271.98403772610629</c:v>
                </c:pt>
                <c:pt idx="502">
                  <c:v>260.57606330108763</c:v>
                </c:pt>
                <c:pt idx="503">
                  <c:v>249.13880056656848</c:v>
                </c:pt>
                <c:pt idx="504">
                  <c:v>237.67267514810825</c:v>
                </c:pt>
                <c:pt idx="505">
                  <c:v>226.17810956050997</c:v>
                </c:pt>
                <c:pt idx="506">
                  <c:v>214.65552319452487</c:v>
                </c:pt>
                <c:pt idx="507">
                  <c:v>203.10533230450991</c:v>
                </c:pt>
                <c:pt idx="508">
                  <c:v>191.52794999702257</c:v>
                </c:pt>
                <c:pt idx="509">
                  <c:v>179.92378622033755</c:v>
                </c:pt>
                <c:pt idx="510">
                  <c:v>168.29324775487009</c:v>
                </c:pt>
                <c:pt idx="511">
                  <c:v>156.63673820449023</c:v>
                </c:pt>
                <c:pt idx="512">
                  <c:v>144.95465798871246</c:v>
                </c:pt>
                <c:pt idx="513">
                  <c:v>133.24740433574539</c:v>
                </c:pt>
                <c:pt idx="514">
                  <c:v>121.51537127638554</c:v>
                </c:pt>
                <c:pt idx="515">
                  <c:v>109.75894963873985</c:v>
                </c:pt>
                <c:pt idx="516">
                  <c:v>97.978527043761261</c:v>
                </c:pt>
                <c:pt idx="517">
                  <c:v>86.174487901581813</c:v>
                </c:pt>
                <c:pt idx="518">
                  <c:v>74.347213408627553</c:v>
                </c:pt>
                <c:pt idx="519">
                  <c:v>62.497081545499888</c:v>
                </c:pt>
                <c:pt idx="520">
                  <c:v>50.62446707560774</c:v>
                </c:pt>
                <c:pt idx="521">
                  <c:v>38.729741544535074</c:v>
                </c:pt>
                <c:pt idx="522">
                  <c:v>26.813273280128442</c:v>
                </c:pt>
                <c:pt idx="523">
                  <c:v>14.875427393289083</c:v>
                </c:pt>
                <c:pt idx="524">
                  <c:v>2.9165657794543893</c:v>
                </c:pt>
                <c:pt idx="525">
                  <c:v>-9.0629528792465539</c:v>
                </c:pt>
                <c:pt idx="526">
                  <c:v>-9.0749426472209826</c:v>
                </c:pt>
                <c:pt idx="527">
                  <c:v>-9.086932435319877</c:v>
                </c:pt>
                <c:pt idx="528">
                  <c:v>-9.0989222435428854</c:v>
                </c:pt>
                <c:pt idx="529">
                  <c:v>-9.1109120718896595</c:v>
                </c:pt>
                <c:pt idx="530">
                  <c:v>-9.1229019203598476</c:v>
                </c:pt>
                <c:pt idx="531">
                  <c:v>-9.1348917889530998</c:v>
                </c:pt>
                <c:pt idx="532">
                  <c:v>-9.146881677669068</c:v>
                </c:pt>
                <c:pt idx="533">
                  <c:v>-9.1588715865074004</c:v>
                </c:pt>
                <c:pt idx="534">
                  <c:v>-9.1708615154677471</c:v>
                </c:pt>
                <c:pt idx="535">
                  <c:v>-9.1828514645497599</c:v>
                </c:pt>
                <c:pt idx="536">
                  <c:v>-9.194841433753087</c:v>
                </c:pt>
                <c:pt idx="537">
                  <c:v>-9.2068314230773787</c:v>
                </c:pt>
                <c:pt idx="538">
                  <c:v>-9.2188214325222866</c:v>
                </c:pt>
                <c:pt idx="539">
                  <c:v>-9.2308114620874591</c:v>
                </c:pt>
                <c:pt idx="540">
                  <c:v>-9.2428015117725462</c:v>
                </c:pt>
                <c:pt idx="541">
                  <c:v>-9.2547915815771979</c:v>
                </c:pt>
                <c:pt idx="542">
                  <c:v>-9.2667816715010662</c:v>
                </c:pt>
                <c:pt idx="543">
                  <c:v>-9.2787717815437993</c:v>
                </c:pt>
                <c:pt idx="544">
                  <c:v>-9.2907619117050473</c:v>
                </c:pt>
                <c:pt idx="545">
                  <c:v>-9.3027520619844601</c:v>
                </c:pt>
                <c:pt idx="546">
                  <c:v>-9.3147422323816897</c:v>
                </c:pt>
                <c:pt idx="547">
                  <c:v>-9.3267324228963844</c:v>
                </c:pt>
                <c:pt idx="548">
                  <c:v>-9.3387226335281941</c:v>
                </c:pt>
                <c:pt idx="549">
                  <c:v>-9.350712864276769</c:v>
                </c:pt>
                <c:pt idx="550">
                  <c:v>-9.3627031151417608</c:v>
                </c:pt>
                <c:pt idx="551">
                  <c:v>-9.3746933861228179</c:v>
                </c:pt>
                <c:pt idx="552">
                  <c:v>-9.3866836772195921</c:v>
                </c:pt>
                <c:pt idx="553">
                  <c:v>-9.3986739884317316</c:v>
                </c:pt>
                <c:pt idx="554">
                  <c:v>-9.4106643197588866</c:v>
                </c:pt>
                <c:pt idx="555">
                  <c:v>-9.4226546712007089</c:v>
                </c:pt>
                <c:pt idx="556">
                  <c:v>-9.4346450427568467</c:v>
                </c:pt>
                <c:pt idx="557">
                  <c:v>-9.4466354344269519</c:v>
                </c:pt>
                <c:pt idx="558">
                  <c:v>-9.4586258462106727</c:v>
                </c:pt>
                <c:pt idx="559">
                  <c:v>-9.470616278107661</c:v>
                </c:pt>
                <c:pt idx="560">
                  <c:v>-9.4826067301175652</c:v>
                </c:pt>
                <c:pt idx="561">
                  <c:v>-9.4945972022400369</c:v>
                </c:pt>
                <c:pt idx="562">
                  <c:v>-9.5065876944747245</c:v>
                </c:pt>
                <c:pt idx="563">
                  <c:v>-9.5185782068212799</c:v>
                </c:pt>
                <c:pt idx="564">
                  <c:v>-9.530568739279353</c:v>
                </c:pt>
                <c:pt idx="565">
                  <c:v>-9.542559291848594</c:v>
                </c:pt>
                <c:pt idx="566">
                  <c:v>-9.5545498645286511</c:v>
                </c:pt>
                <c:pt idx="567">
                  <c:v>-9.5665404573191761</c:v>
                </c:pt>
                <c:pt idx="568">
                  <c:v>-9.5785310702198192</c:v>
                </c:pt>
                <c:pt idx="569">
                  <c:v>-9.5905217032302303</c:v>
                </c:pt>
                <c:pt idx="570">
                  <c:v>-9.6025123563500596</c:v>
                </c:pt>
                <c:pt idx="571">
                  <c:v>-9.6145030295789571</c:v>
                </c:pt>
                <c:pt idx="572">
                  <c:v>-9.6264937229165728</c:v>
                </c:pt>
                <c:pt idx="573">
                  <c:v>-9.6384844363625568</c:v>
                </c:pt>
                <c:pt idx="574">
                  <c:v>-9.650475169916561</c:v>
                </c:pt>
                <c:pt idx="575">
                  <c:v>-9.6624659235782335</c:v>
                </c:pt>
                <c:pt idx="576">
                  <c:v>-9.6744566973472246</c:v>
                </c:pt>
                <c:pt idx="577">
                  <c:v>-9.6864474912231859</c:v>
                </c:pt>
                <c:pt idx="578">
                  <c:v>-9.6984383052057659</c:v>
                </c:pt>
                <c:pt idx="579">
                  <c:v>-9.7104291392946163</c:v>
                </c:pt>
                <c:pt idx="580">
                  <c:v>-9.7224199934893853</c:v>
                </c:pt>
                <c:pt idx="581">
                  <c:v>-9.734410867789725</c:v>
                </c:pt>
                <c:pt idx="582">
                  <c:v>-9.7464017621952852</c:v>
                </c:pt>
                <c:pt idx="583">
                  <c:v>-9.7583926767057143</c:v>
                </c:pt>
                <c:pt idx="584">
                  <c:v>-9.7703836113206641</c:v>
                </c:pt>
                <c:pt idx="585">
                  <c:v>-9.7823745660397847</c:v>
                </c:pt>
                <c:pt idx="586">
                  <c:v>-9.7943655408627261</c:v>
                </c:pt>
                <c:pt idx="587">
                  <c:v>-9.8063565357891385</c:v>
                </c:pt>
                <c:pt idx="588">
                  <c:v>-9.8183475508186735</c:v>
                </c:pt>
                <c:pt idx="589">
                  <c:v>-9.8303385859509795</c:v>
                </c:pt>
                <c:pt idx="590">
                  <c:v>-9.8423296411857066</c:v>
                </c:pt>
                <c:pt idx="591">
                  <c:v>-9.8543207165225066</c:v>
                </c:pt>
                <c:pt idx="592">
                  <c:v>-9.8663118119610278</c:v>
                </c:pt>
                <c:pt idx="593">
                  <c:v>-9.878302927500922</c:v>
                </c:pt>
                <c:pt idx="594">
                  <c:v>-9.8902940631418392</c:v>
                </c:pt>
                <c:pt idx="595">
                  <c:v>-9.9022852188834278</c:v>
                </c:pt>
                <c:pt idx="596">
                  <c:v>-9.9142763947253396</c:v>
                </c:pt>
                <c:pt idx="597">
                  <c:v>-9.9262675906672246</c:v>
                </c:pt>
                <c:pt idx="598">
                  <c:v>-9.9382588067087347</c:v>
                </c:pt>
                <c:pt idx="599">
                  <c:v>-9.9502500428495182</c:v>
                </c:pt>
                <c:pt idx="600">
                  <c:v>-9.9622412990892251</c:v>
                </c:pt>
                <c:pt idx="601">
                  <c:v>-9.9742325754275072</c:v>
                </c:pt>
                <c:pt idx="602">
                  <c:v>-9.9862238718640128</c:v>
                </c:pt>
                <c:pt idx="603">
                  <c:v>-9.9982151883983938</c:v>
                </c:pt>
                <c:pt idx="604">
                  <c:v>-10.010206525030299</c:v>
                </c:pt>
                <c:pt idx="605">
                  <c:v>-10.022197881759379</c:v>
                </c:pt>
                <c:pt idx="606">
                  <c:v>-10.034189258585284</c:v>
                </c:pt>
                <c:pt idx="607">
                  <c:v>-10.046180655507666</c:v>
                </c:pt>
                <c:pt idx="608">
                  <c:v>-10.058172072526174</c:v>
                </c:pt>
                <c:pt idx="609">
                  <c:v>-10.070163509640459</c:v>
                </c:pt>
                <c:pt idx="610">
                  <c:v>-10.082154966850169</c:v>
                </c:pt>
                <c:pt idx="611">
                  <c:v>-10.094146444154957</c:v>
                </c:pt>
                <c:pt idx="612">
                  <c:v>-10.106137941554472</c:v>
                </c:pt>
                <c:pt idx="613">
                  <c:v>-10.118129459048365</c:v>
                </c:pt>
                <c:pt idx="614">
                  <c:v>-10.130120996636286</c:v>
                </c:pt>
                <c:pt idx="615">
                  <c:v>-10.142112554317885</c:v>
                </c:pt>
                <c:pt idx="616">
                  <c:v>-10.154104132092812</c:v>
                </c:pt>
                <c:pt idx="617">
                  <c:v>-10.166095729960716</c:v>
                </c:pt>
                <c:pt idx="618">
                  <c:v>-10.178087347921251</c:v>
                </c:pt>
                <c:pt idx="619">
                  <c:v>-10.190078985974063</c:v>
                </c:pt>
                <c:pt idx="620">
                  <c:v>-10.202070644118805</c:v>
                </c:pt>
                <c:pt idx="621">
                  <c:v>-10.214062322355128</c:v>
                </c:pt>
                <c:pt idx="622">
                  <c:v>-10.22605402068268</c:v>
                </c:pt>
                <c:pt idx="623">
                  <c:v>-10.238045739101112</c:v>
                </c:pt>
                <c:pt idx="624">
                  <c:v>-10.250037477610077</c:v>
                </c:pt>
                <c:pt idx="625">
                  <c:v>-10.262029236209221</c:v>
                </c:pt>
                <c:pt idx="626">
                  <c:v>-10.274021014898198</c:v>
                </c:pt>
                <c:pt idx="627">
                  <c:v>-10.286012813676656</c:v>
                </c:pt>
                <c:pt idx="628">
                  <c:v>-10.298004632544247</c:v>
                </c:pt>
                <c:pt idx="629">
                  <c:v>-10.30999647150062</c:v>
                </c:pt>
                <c:pt idx="630">
                  <c:v>-10.321988330545425</c:v>
                </c:pt>
                <c:pt idx="631">
                  <c:v>-10.333980209678314</c:v>
                </c:pt>
                <c:pt idx="632">
                  <c:v>-10.345972108898936</c:v>
                </c:pt>
                <c:pt idx="633">
                  <c:v>-10.357964028206942</c:v>
                </c:pt>
                <c:pt idx="634">
                  <c:v>-10.369955967601982</c:v>
                </c:pt>
                <c:pt idx="635">
                  <c:v>-10.381947927083706</c:v>
                </c:pt>
                <c:pt idx="636">
                  <c:v>-10.393939906651765</c:v>
                </c:pt>
                <c:pt idx="637">
                  <c:v>-10.40593190630581</c:v>
                </c:pt>
                <c:pt idx="638">
                  <c:v>-10.417923926045489</c:v>
                </c:pt>
                <c:pt idx="639">
                  <c:v>-10.429915965870455</c:v>
                </c:pt>
                <c:pt idx="640">
                  <c:v>-10.441908025780357</c:v>
                </c:pt>
                <c:pt idx="641">
                  <c:v>-10.453900105774846</c:v>
                </c:pt>
                <c:pt idx="642">
                  <c:v>-10.465892205853571</c:v>
                </c:pt>
                <c:pt idx="643">
                  <c:v>-10.477884326016184</c:v>
                </c:pt>
                <c:pt idx="644">
                  <c:v>-10.489876466262336</c:v>
                </c:pt>
                <c:pt idx="645">
                  <c:v>-10.501868626591675</c:v>
                </c:pt>
                <c:pt idx="646">
                  <c:v>-10.513860807003852</c:v>
                </c:pt>
                <c:pt idx="647">
                  <c:v>-10.525853007498519</c:v>
                </c:pt>
                <c:pt idx="648">
                  <c:v>-10.537845228075325</c:v>
                </c:pt>
                <c:pt idx="649">
                  <c:v>-10.549837468733921</c:v>
                </c:pt>
                <c:pt idx="650">
                  <c:v>-10.561829729473956</c:v>
                </c:pt>
                <c:pt idx="651">
                  <c:v>-10.573822010295082</c:v>
                </c:pt>
                <c:pt idx="652">
                  <c:v>-10.58581431119695</c:v>
                </c:pt>
                <c:pt idx="653">
                  <c:v>-10.597806632179209</c:v>
                </c:pt>
                <c:pt idx="654">
                  <c:v>-10.60979897324151</c:v>
                </c:pt>
                <c:pt idx="655">
                  <c:v>-10.621791334383502</c:v>
                </c:pt>
                <c:pt idx="656">
                  <c:v>-10.633783715604837</c:v>
                </c:pt>
                <c:pt idx="657">
                  <c:v>-10.645776116905166</c:v>
                </c:pt>
                <c:pt idx="658">
                  <c:v>-10.657768538284138</c:v>
                </c:pt>
                <c:pt idx="659">
                  <c:v>-10.669760979741405</c:v>
                </c:pt>
                <c:pt idx="660">
                  <c:v>-10.681753441276614</c:v>
                </c:pt>
                <c:pt idx="661">
                  <c:v>-10.69374592288942</c:v>
                </c:pt>
                <c:pt idx="662">
                  <c:v>-10.70573842457947</c:v>
                </c:pt>
                <c:pt idx="663">
                  <c:v>-10.717730946346416</c:v>
                </c:pt>
                <c:pt idx="664">
                  <c:v>-10.729723488189908</c:v>
                </c:pt>
                <c:pt idx="665">
                  <c:v>-10.741716050109597</c:v>
                </c:pt>
                <c:pt idx="666">
                  <c:v>-10.753708632105132</c:v>
                </c:pt>
                <c:pt idx="667">
                  <c:v>-10.765701234176165</c:v>
                </c:pt>
                <c:pt idx="668">
                  <c:v>-10.777693856322346</c:v>
                </c:pt>
                <c:pt idx="669">
                  <c:v>-10.789686498543325</c:v>
                </c:pt>
                <c:pt idx="670">
                  <c:v>-10.801679160838754</c:v>
                </c:pt>
                <c:pt idx="671">
                  <c:v>-10.813671843208281</c:v>
                </c:pt>
                <c:pt idx="672">
                  <c:v>-10.825664545651559</c:v>
                </c:pt>
                <c:pt idx="673">
                  <c:v>-10.837657268168236</c:v>
                </c:pt>
                <c:pt idx="674">
                  <c:v>-10.849650010757964</c:v>
                </c:pt>
                <c:pt idx="675">
                  <c:v>-10.861642773420392</c:v>
                </c:pt>
                <c:pt idx="676">
                  <c:v>-10.873635556155174</c:v>
                </c:pt>
                <c:pt idx="677">
                  <c:v>-10.885628358961958</c:v>
                </c:pt>
                <c:pt idx="678">
                  <c:v>-10.897621181840393</c:v>
                </c:pt>
                <c:pt idx="679">
                  <c:v>-10.909614024790132</c:v>
                </c:pt>
                <c:pt idx="680">
                  <c:v>-10.921606887810825</c:v>
                </c:pt>
                <c:pt idx="681">
                  <c:v>-10.933599770902122</c:v>
                </c:pt>
                <c:pt idx="682">
                  <c:v>-10.945592674063674</c:v>
                </c:pt>
                <c:pt idx="683">
                  <c:v>-10.957585597295131</c:v>
                </c:pt>
                <c:pt idx="684">
                  <c:v>-10.969578540596142</c:v>
                </c:pt>
                <c:pt idx="685">
                  <c:v>-10.981571503966361</c:v>
                </c:pt>
                <c:pt idx="686">
                  <c:v>-10.993564487405436</c:v>
                </c:pt>
                <c:pt idx="687">
                  <c:v>-11.005557490913018</c:v>
                </c:pt>
                <c:pt idx="688">
                  <c:v>-11.017550514488759</c:v>
                </c:pt>
                <c:pt idx="689">
                  <c:v>-11.029543558132307</c:v>
                </c:pt>
                <c:pt idx="690">
                  <c:v>-11.041536621843314</c:v>
                </c:pt>
                <c:pt idx="691">
                  <c:v>-11.053529705621429</c:v>
                </c:pt>
                <c:pt idx="692">
                  <c:v>-11.065522809466305</c:v>
                </c:pt>
                <c:pt idx="693">
                  <c:v>-11.077515933377592</c:v>
                </c:pt>
                <c:pt idx="694">
                  <c:v>-11.08950907735494</c:v>
                </c:pt>
                <c:pt idx="695">
                  <c:v>-11.101502241397998</c:v>
                </c:pt>
                <c:pt idx="696">
                  <c:v>-11.11349542550642</c:v>
                </c:pt>
                <c:pt idx="697">
                  <c:v>-11.125488629679854</c:v>
                </c:pt>
                <c:pt idx="698">
                  <c:v>-11.137481853917951</c:v>
                </c:pt>
                <c:pt idx="699">
                  <c:v>-11.149475098220361</c:v>
                </c:pt>
                <c:pt idx="700">
                  <c:v>-11.161468362586735</c:v>
                </c:pt>
                <c:pt idx="701">
                  <c:v>-11.173461647016724</c:v>
                </c:pt>
                <c:pt idx="702">
                  <c:v>-11.185454951509978</c:v>
                </c:pt>
                <c:pt idx="703">
                  <c:v>-11.197448276066149</c:v>
                </c:pt>
                <c:pt idx="704">
                  <c:v>-11.209441620684887</c:v>
                </c:pt>
                <c:pt idx="705">
                  <c:v>-11.221434985365841</c:v>
                </c:pt>
                <c:pt idx="706">
                  <c:v>-11.233428370108662</c:v>
                </c:pt>
                <c:pt idx="707">
                  <c:v>-11.245421774913002</c:v>
                </c:pt>
                <c:pt idx="708">
                  <c:v>-11.25741519977851</c:v>
                </c:pt>
                <c:pt idx="709">
                  <c:v>-11.269408644704839</c:v>
                </c:pt>
                <c:pt idx="710">
                  <c:v>-11.281402109691637</c:v>
                </c:pt>
                <c:pt idx="711">
                  <c:v>-11.293395594738556</c:v>
                </c:pt>
                <c:pt idx="712">
                  <c:v>-11.305389099845245</c:v>
                </c:pt>
                <c:pt idx="713">
                  <c:v>-11.317382625011357</c:v>
                </c:pt>
                <c:pt idx="714">
                  <c:v>-11.329376170236541</c:v>
                </c:pt>
                <c:pt idx="715">
                  <c:v>-11.341369735520448</c:v>
                </c:pt>
                <c:pt idx="716">
                  <c:v>-11.353363320862728</c:v>
                </c:pt>
                <c:pt idx="717">
                  <c:v>-11.365356926263033</c:v>
                </c:pt>
                <c:pt idx="718">
                  <c:v>-11.377350551721012</c:v>
                </c:pt>
                <c:pt idx="719">
                  <c:v>-11.389344197236317</c:v>
                </c:pt>
                <c:pt idx="720">
                  <c:v>-11.4013378628086</c:v>
                </c:pt>
                <c:pt idx="721">
                  <c:v>-11.413331548437508</c:v>
                </c:pt>
                <c:pt idx="722">
                  <c:v>-11.425325254122694</c:v>
                </c:pt>
                <c:pt idx="723">
                  <c:v>-11.437318979863807</c:v>
                </c:pt>
                <c:pt idx="724">
                  <c:v>-11.4493127256605</c:v>
                </c:pt>
                <c:pt idx="725">
                  <c:v>-11.461306491512421</c:v>
                </c:pt>
                <c:pt idx="726">
                  <c:v>-11.473300277419222</c:v>
                </c:pt>
                <c:pt idx="727">
                  <c:v>-11.485294083380554</c:v>
                </c:pt>
                <c:pt idx="728">
                  <c:v>-11.497287909396066</c:v>
                </c:pt>
                <c:pt idx="729">
                  <c:v>-11.509281755465411</c:v>
                </c:pt>
                <c:pt idx="730">
                  <c:v>-11.521275621588238</c:v>
                </c:pt>
                <c:pt idx="731">
                  <c:v>-11.533269507764198</c:v>
                </c:pt>
                <c:pt idx="732">
                  <c:v>-11.545263413992942</c:v>
                </c:pt>
                <c:pt idx="733">
                  <c:v>-11.55725734027412</c:v>
                </c:pt>
                <c:pt idx="734">
                  <c:v>-11.569251286607383</c:v>
                </c:pt>
                <c:pt idx="735">
                  <c:v>-11.581245252992382</c:v>
                </c:pt>
                <c:pt idx="736">
                  <c:v>-11.593239239428767</c:v>
                </c:pt>
                <c:pt idx="737">
                  <c:v>-11.605233245916191</c:v>
                </c:pt>
                <c:pt idx="738">
                  <c:v>-11.617227272454301</c:v>
                </c:pt>
                <c:pt idx="739">
                  <c:v>-11.629221319042751</c:v>
                </c:pt>
                <c:pt idx="740">
                  <c:v>-11.641215385681189</c:v>
                </c:pt>
                <c:pt idx="741">
                  <c:v>-11.653209472369268</c:v>
                </c:pt>
                <c:pt idx="742">
                  <c:v>-11.665203579106636</c:v>
                </c:pt>
                <c:pt idx="743">
                  <c:v>-11.677197705892947</c:v>
                </c:pt>
                <c:pt idx="744">
                  <c:v>-11.689191852727848</c:v>
                </c:pt>
                <c:pt idx="745">
                  <c:v>-11.701186019610994</c:v>
                </c:pt>
                <c:pt idx="746">
                  <c:v>-11.713180206542031</c:v>
                </c:pt>
                <c:pt idx="747">
                  <c:v>-11.725174413520612</c:v>
                </c:pt>
                <c:pt idx="748">
                  <c:v>-11.73716864054639</c:v>
                </c:pt>
                <c:pt idx="749">
                  <c:v>-11.749162887619013</c:v>
                </c:pt>
                <c:pt idx="750">
                  <c:v>-11.761157154738132</c:v>
                </c:pt>
                <c:pt idx="751">
                  <c:v>-11.773151441903398</c:v>
                </c:pt>
                <c:pt idx="752">
                  <c:v>-11.785145749114461</c:v>
                </c:pt>
                <c:pt idx="753">
                  <c:v>-11.797140076370972</c:v>
                </c:pt>
                <c:pt idx="754">
                  <c:v>-11.809134423672583</c:v>
                </c:pt>
                <c:pt idx="755">
                  <c:v>-11.821128791018944</c:v>
                </c:pt>
                <c:pt idx="756">
                  <c:v>-11.833123178409705</c:v>
                </c:pt>
                <c:pt idx="757">
                  <c:v>-11.845117585844518</c:v>
                </c:pt>
                <c:pt idx="758">
                  <c:v>-11.857112013323032</c:v>
                </c:pt>
                <c:pt idx="759">
                  <c:v>-11.8691064608449</c:v>
                </c:pt>
                <c:pt idx="760">
                  <c:v>-11.881100928409772</c:v>
                </c:pt>
                <c:pt idx="761">
                  <c:v>-11.893095416017298</c:v>
                </c:pt>
                <c:pt idx="762">
                  <c:v>-11.905089923667129</c:v>
                </c:pt>
                <c:pt idx="763">
                  <c:v>-11.917084451358916</c:v>
                </c:pt>
                <c:pt idx="764">
                  <c:v>-11.929078999092308</c:v>
                </c:pt>
                <c:pt idx="765">
                  <c:v>-11.941073566866958</c:v>
                </c:pt>
                <c:pt idx="766">
                  <c:v>-11.953068154682516</c:v>
                </c:pt>
                <c:pt idx="767">
                  <c:v>-11.965062762538633</c:v>
                </c:pt>
                <c:pt idx="768">
                  <c:v>-11.977057390434959</c:v>
                </c:pt>
                <c:pt idx="769">
                  <c:v>-11.989052038371147</c:v>
                </c:pt>
                <c:pt idx="770">
                  <c:v>-12.001046706346846</c:v>
                </c:pt>
                <c:pt idx="771">
                  <c:v>-12.013041394361707</c:v>
                </c:pt>
                <c:pt idx="772">
                  <c:v>-12.025036102415381</c:v>
                </c:pt>
                <c:pt idx="773">
                  <c:v>-12.037030830507518</c:v>
                </c:pt>
                <c:pt idx="774">
                  <c:v>-12.049025578637769</c:v>
                </c:pt>
                <c:pt idx="775">
                  <c:v>-12.061020346805785</c:v>
                </c:pt>
                <c:pt idx="776">
                  <c:v>-12.073015135011218</c:v>
                </c:pt>
                <c:pt idx="777">
                  <c:v>-12.085009943253718</c:v>
                </c:pt>
                <c:pt idx="778">
                  <c:v>-12.097004771532935</c:v>
                </c:pt>
                <c:pt idx="779">
                  <c:v>-12.108999619848522</c:v>
                </c:pt>
                <c:pt idx="780">
                  <c:v>-12.120994488200127</c:v>
                </c:pt>
                <c:pt idx="781">
                  <c:v>-12.132989376587402</c:v>
                </c:pt>
                <c:pt idx="782">
                  <c:v>-12.144984285009997</c:v>
                </c:pt>
                <c:pt idx="783">
                  <c:v>-12.156979213467563</c:v>
                </c:pt>
                <c:pt idx="784">
                  <c:v>-12.168974161959753</c:v>
                </c:pt>
                <c:pt idx="785">
                  <c:v>-12.180969130486215</c:v>
                </c:pt>
                <c:pt idx="786">
                  <c:v>-12.192964119046602</c:v>
                </c:pt>
                <c:pt idx="787">
                  <c:v>-12.204959127640564</c:v>
                </c:pt>
                <c:pt idx="788">
                  <c:v>-12.216954156267752</c:v>
                </c:pt>
                <c:pt idx="789">
                  <c:v>-12.228949204927817</c:v>
                </c:pt>
                <c:pt idx="790">
                  <c:v>-12.240944273620409</c:v>
                </c:pt>
                <c:pt idx="791">
                  <c:v>-12.252939362345179</c:v>
                </c:pt>
                <c:pt idx="792">
                  <c:v>-12.264934471101778</c:v>
                </c:pt>
                <c:pt idx="793">
                  <c:v>-12.276929599889858</c:v>
                </c:pt>
                <c:pt idx="794">
                  <c:v>-12.288924748709068</c:v>
                </c:pt>
                <c:pt idx="795">
                  <c:v>-12.30091991755906</c:v>
                </c:pt>
                <c:pt idx="796">
                  <c:v>-12.312915106439485</c:v>
                </c:pt>
                <c:pt idx="797">
                  <c:v>-12.324910315349994</c:v>
                </c:pt>
                <c:pt idx="798">
                  <c:v>-12.336905544290238</c:v>
                </c:pt>
                <c:pt idx="799">
                  <c:v>-12.348900793259865</c:v>
                </c:pt>
                <c:pt idx="800">
                  <c:v>-12.360896062258529</c:v>
                </c:pt>
                <c:pt idx="801">
                  <c:v>-12.372891351285881</c:v>
                </c:pt>
                <c:pt idx="802">
                  <c:v>-12.384886660341571</c:v>
                </c:pt>
                <c:pt idx="803">
                  <c:v>-12.39688198942525</c:v>
                </c:pt>
                <c:pt idx="804">
                  <c:v>-12.408877338536568</c:v>
                </c:pt>
                <c:pt idx="805">
                  <c:v>-12.420872707675176</c:v>
                </c:pt>
                <c:pt idx="806">
                  <c:v>-12.432868096840727</c:v>
                </c:pt>
                <c:pt idx="807">
                  <c:v>-12.444863506032869</c:v>
                </c:pt>
                <c:pt idx="808">
                  <c:v>-12.456858935251255</c:v>
                </c:pt>
                <c:pt idx="809">
                  <c:v>-12.468854384495534</c:v>
                </c:pt>
                <c:pt idx="810">
                  <c:v>-12.48084985376536</c:v>
                </c:pt>
                <c:pt idx="811">
                  <c:v>-12.492845343060381</c:v>
                </c:pt>
                <c:pt idx="812">
                  <c:v>-12.504840852380248</c:v>
                </c:pt>
                <c:pt idx="813">
                  <c:v>-12.516836381724614</c:v>
                </c:pt>
                <c:pt idx="814">
                  <c:v>-12.528831931093128</c:v>
                </c:pt>
                <c:pt idx="815">
                  <c:v>-12.540827500485442</c:v>
                </c:pt>
                <c:pt idx="816">
                  <c:v>-12.552823089901207</c:v>
                </c:pt>
                <c:pt idx="817">
                  <c:v>-12.564818699340073</c:v>
                </c:pt>
                <c:pt idx="818">
                  <c:v>-12.57681432880169</c:v>
                </c:pt>
                <c:pt idx="819">
                  <c:v>-12.588809978285713</c:v>
                </c:pt>
                <c:pt idx="820">
                  <c:v>-12.600805647791789</c:v>
                </c:pt>
                <c:pt idx="821">
                  <c:v>-12.612801337319571</c:v>
                </c:pt>
                <c:pt idx="822">
                  <c:v>-12.624797046868709</c:v>
                </c:pt>
                <c:pt idx="823">
                  <c:v>-12.636792776438854</c:v>
                </c:pt>
                <c:pt idx="824">
                  <c:v>-12.648788526029657</c:v>
                </c:pt>
                <c:pt idx="825">
                  <c:v>-12.660784295640768</c:v>
                </c:pt>
                <c:pt idx="826">
                  <c:v>-12.672780085271841</c:v>
                </c:pt>
                <c:pt idx="827">
                  <c:v>-12.684775894922524</c:v>
                </c:pt>
                <c:pt idx="828">
                  <c:v>-12.69677172459247</c:v>
                </c:pt>
                <c:pt idx="829">
                  <c:v>-12.708767574281328</c:v>
                </c:pt>
                <c:pt idx="830">
                  <c:v>-12.72076344398875</c:v>
                </c:pt>
                <c:pt idx="831">
                  <c:v>-12.732759333714386</c:v>
                </c:pt>
                <c:pt idx="832">
                  <c:v>-12.744755243457888</c:v>
                </c:pt>
                <c:pt idx="833">
                  <c:v>-12.756751173218907</c:v>
                </c:pt>
                <c:pt idx="834">
                  <c:v>-12.768747122997095</c:v>
                </c:pt>
                <c:pt idx="835">
                  <c:v>-12.7807430927921</c:v>
                </c:pt>
                <c:pt idx="836">
                  <c:v>-12.792739082603577</c:v>
                </c:pt>
                <c:pt idx="837">
                  <c:v>-12.804735092431173</c:v>
                </c:pt>
                <c:pt idx="838">
                  <c:v>-12.816731122274541</c:v>
                </c:pt>
                <c:pt idx="839">
                  <c:v>-12.828727172133332</c:v>
                </c:pt>
                <c:pt idx="840">
                  <c:v>-12.840723242007197</c:v>
                </c:pt>
                <c:pt idx="841">
                  <c:v>-12.852719331895786</c:v>
                </c:pt>
                <c:pt idx="842">
                  <c:v>-12.864715441798751</c:v>
                </c:pt>
                <c:pt idx="843">
                  <c:v>-12.876711571715743</c:v>
                </c:pt>
                <c:pt idx="844">
                  <c:v>-12.888707721646414</c:v>
                </c:pt>
                <c:pt idx="845">
                  <c:v>-12.900703891590412</c:v>
                </c:pt>
                <c:pt idx="846">
                  <c:v>-12.91270008154739</c:v>
                </c:pt>
                <c:pt idx="847">
                  <c:v>-12.924696291517</c:v>
                </c:pt>
                <c:pt idx="848">
                  <c:v>-12.936692521498891</c:v>
                </c:pt>
                <c:pt idx="849">
                  <c:v>-12.948688771492716</c:v>
                </c:pt>
                <c:pt idx="850">
                  <c:v>-12.960685041498124</c:v>
                </c:pt>
                <c:pt idx="851">
                  <c:v>-12.972681331514767</c:v>
                </c:pt>
                <c:pt idx="852">
                  <c:v>-12.984677641542296</c:v>
                </c:pt>
                <c:pt idx="853">
                  <c:v>-12.996673971580362</c:v>
                </c:pt>
                <c:pt idx="854">
                  <c:v>-13.008670321628617</c:v>
                </c:pt>
                <c:pt idx="855">
                  <c:v>-13.020666691686712</c:v>
                </c:pt>
                <c:pt idx="856">
                  <c:v>-13.032663081754295</c:v>
                </c:pt>
                <c:pt idx="857">
                  <c:v>-13.044659491831021</c:v>
                </c:pt>
                <c:pt idx="858">
                  <c:v>-13.056655921916539</c:v>
                </c:pt>
                <c:pt idx="859">
                  <c:v>-13.068652372010501</c:v>
                </c:pt>
                <c:pt idx="860">
                  <c:v>-13.080648842112556</c:v>
                </c:pt>
                <c:pt idx="861">
                  <c:v>-13.092645332222357</c:v>
                </c:pt>
                <c:pt idx="862">
                  <c:v>-13.104641842339555</c:v>
                </c:pt>
                <c:pt idx="863">
                  <c:v>-13.1166383724638</c:v>
                </c:pt>
                <c:pt idx="864">
                  <c:v>-13.128634922594745</c:v>
                </c:pt>
                <c:pt idx="865">
                  <c:v>-13.140631492732039</c:v>
                </c:pt>
                <c:pt idx="866">
                  <c:v>-13.152628082875335</c:v>
                </c:pt>
                <c:pt idx="867">
                  <c:v>-13.164624693024283</c:v>
                </c:pt>
                <c:pt idx="868">
                  <c:v>-13.176621323178534</c:v>
                </c:pt>
                <c:pt idx="869">
                  <c:v>-13.188617973337738</c:v>
                </c:pt>
                <c:pt idx="870">
                  <c:v>-13.200614643501549</c:v>
                </c:pt>
                <c:pt idx="871">
                  <c:v>-13.212611333669615</c:v>
                </c:pt>
                <c:pt idx="872">
                  <c:v>-13.22460804384159</c:v>
                </c:pt>
                <c:pt idx="873">
                  <c:v>-13.236604774017122</c:v>
                </c:pt>
                <c:pt idx="874">
                  <c:v>-13.248601524195864</c:v>
                </c:pt>
                <c:pt idx="875">
                  <c:v>-13.260598294377468</c:v>
                </c:pt>
                <c:pt idx="876">
                  <c:v>-13.272595084561583</c:v>
                </c:pt>
                <c:pt idx="877">
                  <c:v>-13.284591894747862</c:v>
                </c:pt>
                <c:pt idx="878">
                  <c:v>-13.296588724935955</c:v>
                </c:pt>
                <c:pt idx="879">
                  <c:v>-13.308585575125512</c:v>
                </c:pt>
                <c:pt idx="880">
                  <c:v>-13.320582445316187</c:v>
                </c:pt>
                <c:pt idx="881">
                  <c:v>-13.33257933550763</c:v>
                </c:pt>
                <c:pt idx="882">
                  <c:v>-13.344576245699491</c:v>
                </c:pt>
                <c:pt idx="883">
                  <c:v>-13.356573175891421</c:v>
                </c:pt>
                <c:pt idx="884">
                  <c:v>-13.368570126083073</c:v>
                </c:pt>
                <c:pt idx="885">
                  <c:v>-13.380567096274097</c:v>
                </c:pt>
                <c:pt idx="886">
                  <c:v>-13.392564086464144</c:v>
                </c:pt>
                <c:pt idx="887">
                  <c:v>-13.404561096652866</c:v>
                </c:pt>
                <c:pt idx="888">
                  <c:v>-13.416558126839913</c:v>
                </c:pt>
                <c:pt idx="889">
                  <c:v>-13.428555177024936</c:v>
                </c:pt>
                <c:pt idx="890">
                  <c:v>-13.440552247207588</c:v>
                </c:pt>
                <c:pt idx="891">
                  <c:v>-13.452549337387518</c:v>
                </c:pt>
                <c:pt idx="892">
                  <c:v>-13.464546447564379</c:v>
                </c:pt>
                <c:pt idx="893">
                  <c:v>-13.476543577737822</c:v>
                </c:pt>
                <c:pt idx="894">
                  <c:v>-13.488540727907496</c:v>
                </c:pt>
                <c:pt idx="895">
                  <c:v>-13.500537898073055</c:v>
                </c:pt>
                <c:pt idx="896">
                  <c:v>-13.51253508823415</c:v>
                </c:pt>
                <c:pt idx="897">
                  <c:v>-13.524532298390431</c:v>
                </c:pt>
                <c:pt idx="898">
                  <c:v>-13.536529528541548</c:v>
                </c:pt>
                <c:pt idx="899">
                  <c:v>-13.548526778687155</c:v>
                </c:pt>
                <c:pt idx="900">
                  <c:v>-13.560524048826901</c:v>
                </c:pt>
                <c:pt idx="901">
                  <c:v>-13.572521338960438</c:v>
                </c:pt>
                <c:pt idx="902">
                  <c:v>-13.584518649087418</c:v>
                </c:pt>
                <c:pt idx="903">
                  <c:v>-13.59651597920749</c:v>
                </c:pt>
                <c:pt idx="904">
                  <c:v>-13.608513329320306</c:v>
                </c:pt>
                <c:pt idx="905">
                  <c:v>-13.62051069942552</c:v>
                </c:pt>
                <c:pt idx="906">
                  <c:v>-13.63250808952278</c:v>
                </c:pt>
                <c:pt idx="907">
                  <c:v>-13.644505499611737</c:v>
                </c:pt>
                <c:pt idx="908">
                  <c:v>-13.656502929692044</c:v>
                </c:pt>
                <c:pt idx="909">
                  <c:v>-13.668500379763351</c:v>
                </c:pt>
                <c:pt idx="910">
                  <c:v>-13.680497849825311</c:v>
                </c:pt>
                <c:pt idx="911">
                  <c:v>-13.692495339877574</c:v>
                </c:pt>
                <c:pt idx="912">
                  <c:v>-13.704492849919792</c:v>
                </c:pt>
                <c:pt idx="913">
                  <c:v>-13.716490379951614</c:v>
                </c:pt>
                <c:pt idx="914">
                  <c:v>-13.728487929972692</c:v>
                </c:pt>
                <c:pt idx="915">
                  <c:v>-13.740485499982679</c:v>
                </c:pt>
                <c:pt idx="916">
                  <c:v>-13.752483089981226</c:v>
                </c:pt>
                <c:pt idx="917">
                  <c:v>-13.764480699967983</c:v>
                </c:pt>
                <c:pt idx="918">
                  <c:v>-13.776478329942602</c:v>
                </c:pt>
                <c:pt idx="919">
                  <c:v>-13.788475979904733</c:v>
                </c:pt>
                <c:pt idx="920">
                  <c:v>-13.800473649854029</c:v>
                </c:pt>
                <c:pt idx="921">
                  <c:v>-13.81247133979014</c:v>
                </c:pt>
                <c:pt idx="922">
                  <c:v>-13.824469049712718</c:v>
                </c:pt>
                <c:pt idx="923">
                  <c:v>-13.836466779621414</c:v>
                </c:pt>
                <c:pt idx="924">
                  <c:v>-13.84846452951588</c:v>
                </c:pt>
                <c:pt idx="925">
                  <c:v>-13.860462299395767</c:v>
                </c:pt>
                <c:pt idx="926">
                  <c:v>-13.872460089260725</c:v>
                </c:pt>
                <c:pt idx="927">
                  <c:v>-13.884457899110407</c:v>
                </c:pt>
                <c:pt idx="928">
                  <c:v>-13.896455728944462</c:v>
                </c:pt>
                <c:pt idx="929">
                  <c:v>-13.908453578762543</c:v>
                </c:pt>
                <c:pt idx="930">
                  <c:v>-13.920451448564302</c:v>
                </c:pt>
                <c:pt idx="931">
                  <c:v>-13.932449338349389</c:v>
                </c:pt>
                <c:pt idx="932">
                  <c:v>-13.944447248117456</c:v>
                </c:pt>
                <c:pt idx="933">
                  <c:v>-13.956445177868153</c:v>
                </c:pt>
                <c:pt idx="934">
                  <c:v>-13.968443127601132</c:v>
                </c:pt>
                <c:pt idx="935">
                  <c:v>-13.980441097316044</c:v>
                </c:pt>
                <c:pt idx="936">
                  <c:v>-13.992439087012542</c:v>
                </c:pt>
                <c:pt idx="937">
                  <c:v>-14.004437096690276</c:v>
                </c:pt>
                <c:pt idx="938">
                  <c:v>-14.016435126348897</c:v>
                </c:pt>
                <c:pt idx="939">
                  <c:v>-14.028433175988058</c:v>
                </c:pt>
                <c:pt idx="940">
                  <c:v>-14.040431245607408</c:v>
                </c:pt>
                <c:pt idx="941">
                  <c:v>-14.052429335206599</c:v>
                </c:pt>
                <c:pt idx="942">
                  <c:v>-14.064427444785283</c:v>
                </c:pt>
                <c:pt idx="943">
                  <c:v>-14.07642557434311</c:v>
                </c:pt>
                <c:pt idx="944">
                  <c:v>-14.088423723879734</c:v>
                </c:pt>
                <c:pt idx="945">
                  <c:v>-14.100421893394804</c:v>
                </c:pt>
                <c:pt idx="946">
                  <c:v>-14.112420082887972</c:v>
                </c:pt>
                <c:pt idx="947">
                  <c:v>-14.124418292358889</c:v>
                </c:pt>
                <c:pt idx="948">
                  <c:v>-14.136416521807208</c:v>
                </c:pt>
                <c:pt idx="949">
                  <c:v>-14.148414771232577</c:v>
                </c:pt>
                <c:pt idx="950">
                  <c:v>-14.160413040634651</c:v>
                </c:pt>
                <c:pt idx="951">
                  <c:v>-14.17241133001308</c:v>
                </c:pt>
                <c:pt idx="952">
                  <c:v>-14.184409639367514</c:v>
                </c:pt>
                <c:pt idx="953">
                  <c:v>-14.196407968697606</c:v>
                </c:pt>
                <c:pt idx="954">
                  <c:v>-14.208406318003007</c:v>
                </c:pt>
                <c:pt idx="955">
                  <c:v>-14.220404687283368</c:v>
                </c:pt>
                <c:pt idx="956">
                  <c:v>-14.232403076538342</c:v>
                </c:pt>
                <c:pt idx="957">
                  <c:v>-14.244401485767577</c:v>
                </c:pt>
                <c:pt idx="958">
                  <c:v>-14.256399914970727</c:v>
                </c:pt>
                <c:pt idx="959">
                  <c:v>-14.268398364147442</c:v>
                </c:pt>
                <c:pt idx="960">
                  <c:v>-14.280396833297376</c:v>
                </c:pt>
                <c:pt idx="961">
                  <c:v>-14.292395322420177</c:v>
                </c:pt>
                <c:pt idx="962">
                  <c:v>-14.304393831515497</c:v>
                </c:pt>
                <c:pt idx="963">
                  <c:v>-14.31639236058299</c:v>
                </c:pt>
                <c:pt idx="964">
                  <c:v>-14.328390909622305</c:v>
                </c:pt>
                <c:pt idx="965">
                  <c:v>-14.340389478633094</c:v>
                </c:pt>
                <c:pt idx="966">
                  <c:v>-14.352388067615008</c:v>
                </c:pt>
                <c:pt idx="967">
                  <c:v>-14.364386676567699</c:v>
                </c:pt>
                <c:pt idx="968">
                  <c:v>-14.376385305490819</c:v>
                </c:pt>
                <c:pt idx="969">
                  <c:v>-14.388383954384018</c:v>
                </c:pt>
                <c:pt idx="970">
                  <c:v>-14.400382623246948</c:v>
                </c:pt>
                <c:pt idx="971">
                  <c:v>-14.41238131207926</c:v>
                </c:pt>
                <c:pt idx="972">
                  <c:v>-14.424380020880607</c:v>
                </c:pt>
                <c:pt idx="973">
                  <c:v>-14.43637874965064</c:v>
                </c:pt>
                <c:pt idx="974">
                  <c:v>-14.448377498389009</c:v>
                </c:pt>
                <c:pt idx="975">
                  <c:v>-14.460376267095366</c:v>
                </c:pt>
                <c:pt idx="976">
                  <c:v>-14.472375055769364</c:v>
                </c:pt>
                <c:pt idx="977">
                  <c:v>-14.484373864410651</c:v>
                </c:pt>
                <c:pt idx="978">
                  <c:v>-14.496372693018882</c:v>
                </c:pt>
                <c:pt idx="979">
                  <c:v>-14.508371541593707</c:v>
                </c:pt>
                <c:pt idx="980">
                  <c:v>-14.520370410134777</c:v>
                </c:pt>
                <c:pt idx="981">
                  <c:v>-14.532369298641743</c:v>
                </c:pt>
                <c:pt idx="982">
                  <c:v>-14.544368207114259</c:v>
                </c:pt>
                <c:pt idx="983">
                  <c:v>-14.556367135551973</c:v>
                </c:pt>
                <c:pt idx="984">
                  <c:v>-14.568366083954539</c:v>
                </c:pt>
                <c:pt idx="985">
                  <c:v>-14.580365052321607</c:v>
                </c:pt>
                <c:pt idx="986">
                  <c:v>-14.59236404065283</c:v>
                </c:pt>
                <c:pt idx="987">
                  <c:v>-14.604363048947858</c:v>
                </c:pt>
                <c:pt idx="988">
                  <c:v>-14.616362077206343</c:v>
                </c:pt>
                <c:pt idx="989">
                  <c:v>-14.628361125427938</c:v>
                </c:pt>
                <c:pt idx="990">
                  <c:v>-14.640360193612292</c:v>
                </c:pt>
                <c:pt idx="991">
                  <c:v>-14.652359281759058</c:v>
                </c:pt>
                <c:pt idx="992">
                  <c:v>-14.664358389867886</c:v>
                </c:pt>
                <c:pt idx="993">
                  <c:v>-14.676357517938429</c:v>
                </c:pt>
                <c:pt idx="994">
                  <c:v>-14.688356665970339</c:v>
                </c:pt>
                <c:pt idx="995">
                  <c:v>-14.700355833963267</c:v>
                </c:pt>
                <c:pt idx="996">
                  <c:v>-14.712355021916862</c:v>
                </c:pt>
                <c:pt idx="997">
                  <c:v>-14.724354229830778</c:v>
                </c:pt>
                <c:pt idx="998">
                  <c:v>-14.736353457704666</c:v>
                </c:pt>
                <c:pt idx="999">
                  <c:v>-14.748352705538178</c:v>
                </c:pt>
                <c:pt idx="1000">
                  <c:v>-14.760351973330964</c:v>
                </c:pt>
              </c:numCache>
            </c:numRef>
          </c:yVal>
          <c:smooth val="1"/>
          <c:extLst>
            <c:ext xmlns:c16="http://schemas.microsoft.com/office/drawing/2014/chart" uri="{C3380CC4-5D6E-409C-BE32-E72D297353CC}">
              <c16:uniqueId val="{00000002-4C7F-469F-ADED-1B0B28F452E1}"/>
            </c:ext>
          </c:extLst>
        </c:ser>
        <c:ser>
          <c:idx val="2"/>
          <c:order val="3"/>
          <c:tx>
            <c:strRef>
              <c:f>Trajecto!$B$109</c:f>
              <c:strCache>
                <c:ptCount val="1"/>
                <c:pt idx="0">
                  <c:v>Fusée sous parachute</c:v>
                </c:pt>
              </c:strCache>
            </c:strRef>
          </c:tx>
          <c:spPr>
            <a:ln w="25400">
              <a:solidFill>
                <a:srgbClr val="008000"/>
              </a:solidFill>
              <a:prstDash val="solid"/>
            </a:ln>
          </c:spPr>
          <c:marker>
            <c:symbol val="none"/>
          </c:marker>
          <c:dLbls>
            <c:dLbl>
              <c:idx val="1"/>
              <c:spPr>
                <a:noFill/>
                <a:ln w="25400">
                  <a:noFill/>
                </a:ln>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4C7F-469F-ADED-1B0B28F452E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Trajecto!$B$132:$B$138</c:f>
              <c:numCache>
                <c:formatCode>0.0</c:formatCode>
                <c:ptCount val="7"/>
                <c:pt idx="0">
                  <c:v>15.6</c:v>
                </c:pt>
                <c:pt idx="1">
                  <c:v>62.613583211575495</c:v>
                </c:pt>
                <c:pt idx="2">
                  <c:v>109.627166423151</c:v>
                </c:pt>
                <c:pt idx="3">
                  <c:v>108.39310312940735</c:v>
                </c:pt>
                <c:pt idx="4">
                  <c:v>109.627166423151</c:v>
                </c:pt>
                <c:pt idx="5">
                  <c:v>104.94310312940733</c:v>
                </c:pt>
                <c:pt idx="6">
                  <c:v>109.627166423151</c:v>
                </c:pt>
              </c:numCache>
            </c:numRef>
          </c:xVal>
          <c:yVal>
            <c:numRef>
              <c:f>Trajecto!$C$132:$C$138</c:f>
              <c:numCache>
                <c:formatCode>0</c:formatCode>
                <c:ptCount val="7"/>
                <c:pt idx="0">
                  <c:v>1378.6942585540462</c:v>
                </c:pt>
                <c:pt idx="1">
                  <c:v>689.3471292770231</c:v>
                </c:pt>
                <c:pt idx="2">
                  <c:v>0</c:v>
                </c:pt>
                <c:pt idx="3">
                  <c:v>61.994824828998304</c:v>
                </c:pt>
                <c:pt idx="4">
                  <c:v>0</c:v>
                </c:pt>
                <c:pt idx="5">
                  <c:v>24.78102366191035</c:v>
                </c:pt>
                <c:pt idx="6">
                  <c:v>0</c:v>
                </c:pt>
              </c:numCache>
            </c:numRef>
          </c:yVal>
          <c:smooth val="0"/>
          <c:extLst>
            <c:ext xmlns:c16="http://schemas.microsoft.com/office/drawing/2014/chart" uri="{C3380CC4-5D6E-409C-BE32-E72D297353CC}">
              <c16:uniqueId val="{00000004-4C7F-469F-ADED-1B0B28F452E1}"/>
            </c:ext>
          </c:extLst>
        </c:ser>
        <c:ser>
          <c:idx val="3"/>
          <c:order val="4"/>
          <c:tx>
            <c:strRef>
              <c:f>Trajecto!$B$110</c:f>
              <c:strCache>
                <c:ptCount val="1"/>
                <c:pt idx="0">
                  <c:v>Satellite sous parachute</c:v>
                </c:pt>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4C7F-469F-ADED-1B0B28F452E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Trajecto!$B$149:$B$155</c:f>
              <c:numCache>
                <c:formatCode>0.0</c:formatCode>
                <c:ptCount val="7"/>
                <c:pt idx="0">
                  <c:v>3.2</c:v>
                </c:pt>
                <c:pt idx="1">
                  <c:v>22.474043109609063</c:v>
                </c:pt>
                <c:pt idx="2">
                  <c:v>41.748086219218123</c:v>
                </c:pt>
                <c:pt idx="3">
                  <c:v>40.018739410999196</c:v>
                </c:pt>
                <c:pt idx="4">
                  <c:v>41.748086219218123</c:v>
                </c:pt>
                <c:pt idx="5">
                  <c:v>37.217433027437004</c:v>
                </c:pt>
                <c:pt idx="6">
                  <c:v>41.748086219218123</c:v>
                </c:pt>
              </c:numCache>
            </c:numRef>
          </c:xVal>
          <c:yVal>
            <c:numRef>
              <c:f>Trajecto!$C$149:$C$155</c:f>
              <c:numCache>
                <c:formatCode>0</c:formatCode>
                <c:ptCount val="7"/>
                <c:pt idx="0">
                  <c:v>487.84771914632313</c:v>
                </c:pt>
                <c:pt idx="1">
                  <c:v>243.92385957316156</c:v>
                </c:pt>
                <c:pt idx="2">
                  <c:v>0</c:v>
                </c:pt>
                <c:pt idx="3">
                  <c:v>144.19347297730647</c:v>
                </c:pt>
                <c:pt idx="4">
                  <c:v>0</c:v>
                </c:pt>
                <c:pt idx="5">
                  <c:v>40.827943678200455</c:v>
                </c:pt>
                <c:pt idx="6">
                  <c:v>0</c:v>
                </c:pt>
              </c:numCache>
            </c:numRef>
          </c:yVal>
          <c:smooth val="0"/>
          <c:extLst>
            <c:ext xmlns:c16="http://schemas.microsoft.com/office/drawing/2014/chart" uri="{C3380CC4-5D6E-409C-BE32-E72D297353CC}">
              <c16:uniqueId val="{00000006-4C7F-469F-ADED-1B0B28F452E1}"/>
            </c:ext>
          </c:extLst>
        </c:ser>
        <c:ser>
          <c:idx val="5"/>
          <c:order val="5"/>
          <c:tx>
            <c:strRef>
              <c:f>Trajecto!$B$107</c:f>
              <c:strCache>
                <c:ptCount val="1"/>
                <c:pt idx="0">
                  <c:v>Phase ascendante</c:v>
                </c:pt>
              </c:strCache>
            </c:strRef>
          </c:tx>
          <c:spPr>
            <a:ln w="25400">
              <a:solidFill>
                <a:srgbClr val="00008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34.500100000000224</c:v>
                </c:pt>
                <c:pt idx="527">
                  <c:v>34.500200000000227</c:v>
                </c:pt>
                <c:pt idx="528">
                  <c:v>34.50030000000023</c:v>
                </c:pt>
                <c:pt idx="529">
                  <c:v>34.500400000000234</c:v>
                </c:pt>
                <c:pt idx="530">
                  <c:v>34.500500000000237</c:v>
                </c:pt>
                <c:pt idx="531">
                  <c:v>34.50060000000024</c:v>
                </c:pt>
                <c:pt idx="532">
                  <c:v>34.500700000000244</c:v>
                </c:pt>
                <c:pt idx="533">
                  <c:v>34.500800000000247</c:v>
                </c:pt>
                <c:pt idx="534">
                  <c:v>34.50090000000025</c:v>
                </c:pt>
                <c:pt idx="535">
                  <c:v>34.501000000000253</c:v>
                </c:pt>
                <c:pt idx="536">
                  <c:v>34.501100000000257</c:v>
                </c:pt>
                <c:pt idx="537">
                  <c:v>34.50120000000026</c:v>
                </c:pt>
                <c:pt idx="538">
                  <c:v>34.501300000000263</c:v>
                </c:pt>
                <c:pt idx="539">
                  <c:v>34.501400000000267</c:v>
                </c:pt>
                <c:pt idx="540">
                  <c:v>34.50150000000027</c:v>
                </c:pt>
                <c:pt idx="541">
                  <c:v>34.501600000000273</c:v>
                </c:pt>
                <c:pt idx="542">
                  <c:v>34.501700000000277</c:v>
                </c:pt>
                <c:pt idx="543">
                  <c:v>34.50180000000028</c:v>
                </c:pt>
                <c:pt idx="544">
                  <c:v>34.501900000000283</c:v>
                </c:pt>
                <c:pt idx="545">
                  <c:v>34.502000000000287</c:v>
                </c:pt>
                <c:pt idx="546">
                  <c:v>34.50210000000029</c:v>
                </c:pt>
                <c:pt idx="547">
                  <c:v>34.502200000000293</c:v>
                </c:pt>
                <c:pt idx="548">
                  <c:v>34.502300000000297</c:v>
                </c:pt>
                <c:pt idx="549">
                  <c:v>34.5024000000003</c:v>
                </c:pt>
                <c:pt idx="550">
                  <c:v>34.502500000000303</c:v>
                </c:pt>
                <c:pt idx="551">
                  <c:v>34.502600000000307</c:v>
                </c:pt>
                <c:pt idx="552">
                  <c:v>34.50270000000031</c:v>
                </c:pt>
                <c:pt idx="553">
                  <c:v>34.502800000000313</c:v>
                </c:pt>
                <c:pt idx="554">
                  <c:v>34.502900000000317</c:v>
                </c:pt>
                <c:pt idx="555">
                  <c:v>34.50300000000032</c:v>
                </c:pt>
                <c:pt idx="556">
                  <c:v>34.503100000000323</c:v>
                </c:pt>
                <c:pt idx="557">
                  <c:v>34.503200000000326</c:v>
                </c:pt>
                <c:pt idx="558">
                  <c:v>34.50330000000033</c:v>
                </c:pt>
                <c:pt idx="559">
                  <c:v>34.503400000000333</c:v>
                </c:pt>
                <c:pt idx="560">
                  <c:v>34.503500000000336</c:v>
                </c:pt>
                <c:pt idx="561">
                  <c:v>34.50360000000034</c:v>
                </c:pt>
                <c:pt idx="562">
                  <c:v>34.503700000000343</c:v>
                </c:pt>
                <c:pt idx="563">
                  <c:v>34.503800000000346</c:v>
                </c:pt>
                <c:pt idx="564">
                  <c:v>34.50390000000035</c:v>
                </c:pt>
                <c:pt idx="565">
                  <c:v>34.504000000000353</c:v>
                </c:pt>
                <c:pt idx="566">
                  <c:v>34.504100000000356</c:v>
                </c:pt>
                <c:pt idx="567">
                  <c:v>34.50420000000036</c:v>
                </c:pt>
                <c:pt idx="568">
                  <c:v>34.504300000000363</c:v>
                </c:pt>
                <c:pt idx="569">
                  <c:v>34.504400000000366</c:v>
                </c:pt>
                <c:pt idx="570">
                  <c:v>34.50450000000037</c:v>
                </c:pt>
                <c:pt idx="571">
                  <c:v>34.504600000000373</c:v>
                </c:pt>
                <c:pt idx="572">
                  <c:v>34.504700000000376</c:v>
                </c:pt>
                <c:pt idx="573">
                  <c:v>34.50480000000038</c:v>
                </c:pt>
                <c:pt idx="574">
                  <c:v>34.504900000000383</c:v>
                </c:pt>
                <c:pt idx="575">
                  <c:v>34.505000000000386</c:v>
                </c:pt>
                <c:pt idx="576">
                  <c:v>34.50510000000039</c:v>
                </c:pt>
                <c:pt idx="577">
                  <c:v>34.505200000000393</c:v>
                </c:pt>
                <c:pt idx="578">
                  <c:v>34.505300000000396</c:v>
                </c:pt>
                <c:pt idx="579">
                  <c:v>34.5054000000004</c:v>
                </c:pt>
                <c:pt idx="580">
                  <c:v>34.505500000000403</c:v>
                </c:pt>
                <c:pt idx="581">
                  <c:v>34.505600000000406</c:v>
                </c:pt>
                <c:pt idx="582">
                  <c:v>34.505700000000409</c:v>
                </c:pt>
                <c:pt idx="583">
                  <c:v>34.505800000000413</c:v>
                </c:pt>
                <c:pt idx="584">
                  <c:v>34.505900000000416</c:v>
                </c:pt>
                <c:pt idx="585">
                  <c:v>34.506000000000419</c:v>
                </c:pt>
                <c:pt idx="586">
                  <c:v>34.506100000000423</c:v>
                </c:pt>
                <c:pt idx="587">
                  <c:v>34.506200000000426</c:v>
                </c:pt>
                <c:pt idx="588">
                  <c:v>34.506300000000429</c:v>
                </c:pt>
                <c:pt idx="589">
                  <c:v>34.506400000000433</c:v>
                </c:pt>
                <c:pt idx="590">
                  <c:v>34.506500000000436</c:v>
                </c:pt>
                <c:pt idx="591">
                  <c:v>34.506600000000439</c:v>
                </c:pt>
                <c:pt idx="592">
                  <c:v>34.506700000000443</c:v>
                </c:pt>
                <c:pt idx="593">
                  <c:v>34.506800000000446</c:v>
                </c:pt>
                <c:pt idx="594">
                  <c:v>34.506900000000449</c:v>
                </c:pt>
                <c:pt idx="595">
                  <c:v>34.507000000000453</c:v>
                </c:pt>
                <c:pt idx="596">
                  <c:v>34.507100000000456</c:v>
                </c:pt>
                <c:pt idx="597">
                  <c:v>34.507200000000459</c:v>
                </c:pt>
                <c:pt idx="598">
                  <c:v>34.507300000000463</c:v>
                </c:pt>
                <c:pt idx="599">
                  <c:v>34.507400000000466</c:v>
                </c:pt>
                <c:pt idx="600">
                  <c:v>34.507500000000469</c:v>
                </c:pt>
                <c:pt idx="601">
                  <c:v>34.507600000000473</c:v>
                </c:pt>
                <c:pt idx="602">
                  <c:v>34.507700000000476</c:v>
                </c:pt>
                <c:pt idx="603">
                  <c:v>34.507800000000479</c:v>
                </c:pt>
                <c:pt idx="604">
                  <c:v>34.507900000000483</c:v>
                </c:pt>
                <c:pt idx="605">
                  <c:v>34.508000000000486</c:v>
                </c:pt>
                <c:pt idx="606">
                  <c:v>34.508100000000489</c:v>
                </c:pt>
                <c:pt idx="607">
                  <c:v>34.508200000000492</c:v>
                </c:pt>
                <c:pt idx="608">
                  <c:v>34.508300000000496</c:v>
                </c:pt>
                <c:pt idx="609">
                  <c:v>34.508400000000499</c:v>
                </c:pt>
                <c:pt idx="610">
                  <c:v>34.508500000000502</c:v>
                </c:pt>
                <c:pt idx="611">
                  <c:v>34.508600000000506</c:v>
                </c:pt>
                <c:pt idx="612">
                  <c:v>34.508700000000509</c:v>
                </c:pt>
                <c:pt idx="613">
                  <c:v>34.508800000000512</c:v>
                </c:pt>
                <c:pt idx="614">
                  <c:v>34.508900000000516</c:v>
                </c:pt>
                <c:pt idx="615">
                  <c:v>34.509000000000519</c:v>
                </c:pt>
                <c:pt idx="616">
                  <c:v>34.509100000000522</c:v>
                </c:pt>
                <c:pt idx="617">
                  <c:v>34.509200000000526</c:v>
                </c:pt>
                <c:pt idx="618">
                  <c:v>34.509300000000529</c:v>
                </c:pt>
                <c:pt idx="619">
                  <c:v>34.509400000000532</c:v>
                </c:pt>
                <c:pt idx="620">
                  <c:v>34.509500000000536</c:v>
                </c:pt>
                <c:pt idx="621">
                  <c:v>34.509600000000539</c:v>
                </c:pt>
                <c:pt idx="622">
                  <c:v>34.509700000000542</c:v>
                </c:pt>
                <c:pt idx="623">
                  <c:v>34.509800000000546</c:v>
                </c:pt>
                <c:pt idx="624">
                  <c:v>34.509900000000549</c:v>
                </c:pt>
                <c:pt idx="625">
                  <c:v>34.510000000000552</c:v>
                </c:pt>
                <c:pt idx="626">
                  <c:v>34.510100000000556</c:v>
                </c:pt>
                <c:pt idx="627">
                  <c:v>34.510200000000559</c:v>
                </c:pt>
                <c:pt idx="628">
                  <c:v>34.510300000000562</c:v>
                </c:pt>
                <c:pt idx="629">
                  <c:v>34.510400000000566</c:v>
                </c:pt>
                <c:pt idx="630">
                  <c:v>34.510500000000569</c:v>
                </c:pt>
                <c:pt idx="631">
                  <c:v>34.510600000000572</c:v>
                </c:pt>
                <c:pt idx="632">
                  <c:v>34.510700000000575</c:v>
                </c:pt>
                <c:pt idx="633">
                  <c:v>34.510800000000579</c:v>
                </c:pt>
                <c:pt idx="634">
                  <c:v>34.510900000000582</c:v>
                </c:pt>
                <c:pt idx="635">
                  <c:v>34.511000000000585</c:v>
                </c:pt>
                <c:pt idx="636">
                  <c:v>34.511100000000589</c:v>
                </c:pt>
                <c:pt idx="637">
                  <c:v>34.511200000000592</c:v>
                </c:pt>
                <c:pt idx="638">
                  <c:v>34.511300000000595</c:v>
                </c:pt>
                <c:pt idx="639">
                  <c:v>34.511400000000599</c:v>
                </c:pt>
                <c:pt idx="640">
                  <c:v>34.511500000000602</c:v>
                </c:pt>
                <c:pt idx="641">
                  <c:v>34.511600000000605</c:v>
                </c:pt>
                <c:pt idx="642">
                  <c:v>34.511700000000609</c:v>
                </c:pt>
                <c:pt idx="643">
                  <c:v>34.511800000000612</c:v>
                </c:pt>
                <c:pt idx="644">
                  <c:v>34.511900000000615</c:v>
                </c:pt>
                <c:pt idx="645">
                  <c:v>34.512000000000619</c:v>
                </c:pt>
                <c:pt idx="646">
                  <c:v>34.512100000000622</c:v>
                </c:pt>
                <c:pt idx="647">
                  <c:v>34.512200000000625</c:v>
                </c:pt>
                <c:pt idx="648">
                  <c:v>34.512300000000629</c:v>
                </c:pt>
                <c:pt idx="649">
                  <c:v>34.512400000000632</c:v>
                </c:pt>
                <c:pt idx="650">
                  <c:v>34.512500000000635</c:v>
                </c:pt>
                <c:pt idx="651">
                  <c:v>34.512600000000639</c:v>
                </c:pt>
                <c:pt idx="652">
                  <c:v>34.512700000000642</c:v>
                </c:pt>
                <c:pt idx="653">
                  <c:v>34.512800000000645</c:v>
                </c:pt>
                <c:pt idx="654">
                  <c:v>34.512900000000649</c:v>
                </c:pt>
                <c:pt idx="655">
                  <c:v>34.513000000000652</c:v>
                </c:pt>
                <c:pt idx="656">
                  <c:v>34.513100000000655</c:v>
                </c:pt>
                <c:pt idx="657">
                  <c:v>34.513200000000658</c:v>
                </c:pt>
                <c:pt idx="658">
                  <c:v>34.513300000000662</c:v>
                </c:pt>
                <c:pt idx="659">
                  <c:v>34.513400000000665</c:v>
                </c:pt>
                <c:pt idx="660">
                  <c:v>34.513500000000668</c:v>
                </c:pt>
                <c:pt idx="661">
                  <c:v>34.513600000000672</c:v>
                </c:pt>
                <c:pt idx="662">
                  <c:v>34.513700000000675</c:v>
                </c:pt>
                <c:pt idx="663">
                  <c:v>34.513800000000678</c:v>
                </c:pt>
                <c:pt idx="664">
                  <c:v>34.513900000000682</c:v>
                </c:pt>
                <c:pt idx="665">
                  <c:v>34.514000000000685</c:v>
                </c:pt>
                <c:pt idx="666">
                  <c:v>34.514100000000688</c:v>
                </c:pt>
                <c:pt idx="667">
                  <c:v>34.514200000000692</c:v>
                </c:pt>
                <c:pt idx="668">
                  <c:v>34.514300000000695</c:v>
                </c:pt>
                <c:pt idx="669">
                  <c:v>34.514400000000698</c:v>
                </c:pt>
                <c:pt idx="670">
                  <c:v>34.514500000000702</c:v>
                </c:pt>
                <c:pt idx="671">
                  <c:v>34.514600000000705</c:v>
                </c:pt>
                <c:pt idx="672">
                  <c:v>34.514700000000708</c:v>
                </c:pt>
                <c:pt idx="673">
                  <c:v>34.514800000000712</c:v>
                </c:pt>
                <c:pt idx="674">
                  <c:v>34.514900000000715</c:v>
                </c:pt>
                <c:pt idx="675">
                  <c:v>34.515000000000718</c:v>
                </c:pt>
                <c:pt idx="676">
                  <c:v>34.515100000000722</c:v>
                </c:pt>
                <c:pt idx="677">
                  <c:v>34.515200000000725</c:v>
                </c:pt>
                <c:pt idx="678">
                  <c:v>34.515300000000728</c:v>
                </c:pt>
                <c:pt idx="679">
                  <c:v>34.515400000000731</c:v>
                </c:pt>
                <c:pt idx="680">
                  <c:v>34.515500000000735</c:v>
                </c:pt>
                <c:pt idx="681">
                  <c:v>34.515600000000738</c:v>
                </c:pt>
                <c:pt idx="682">
                  <c:v>34.515700000000741</c:v>
                </c:pt>
                <c:pt idx="683">
                  <c:v>34.515800000000745</c:v>
                </c:pt>
                <c:pt idx="684">
                  <c:v>34.515900000000748</c:v>
                </c:pt>
                <c:pt idx="685">
                  <c:v>34.516000000000751</c:v>
                </c:pt>
                <c:pt idx="686">
                  <c:v>34.516100000000755</c:v>
                </c:pt>
                <c:pt idx="687">
                  <c:v>34.516200000000758</c:v>
                </c:pt>
                <c:pt idx="688">
                  <c:v>34.516300000000761</c:v>
                </c:pt>
                <c:pt idx="689">
                  <c:v>34.516400000000765</c:v>
                </c:pt>
                <c:pt idx="690">
                  <c:v>34.516500000000768</c:v>
                </c:pt>
                <c:pt idx="691">
                  <c:v>34.516600000000771</c:v>
                </c:pt>
                <c:pt idx="692">
                  <c:v>34.516700000000775</c:v>
                </c:pt>
                <c:pt idx="693">
                  <c:v>34.516800000000778</c:v>
                </c:pt>
                <c:pt idx="694">
                  <c:v>34.516900000000781</c:v>
                </c:pt>
                <c:pt idx="695">
                  <c:v>34.517000000000785</c:v>
                </c:pt>
                <c:pt idx="696">
                  <c:v>34.517100000000788</c:v>
                </c:pt>
                <c:pt idx="697">
                  <c:v>34.517200000000791</c:v>
                </c:pt>
                <c:pt idx="698">
                  <c:v>34.517300000000795</c:v>
                </c:pt>
                <c:pt idx="699">
                  <c:v>34.517400000000798</c:v>
                </c:pt>
                <c:pt idx="700">
                  <c:v>34.517500000000801</c:v>
                </c:pt>
                <c:pt idx="701">
                  <c:v>34.517600000000805</c:v>
                </c:pt>
                <c:pt idx="702">
                  <c:v>34.517700000000808</c:v>
                </c:pt>
                <c:pt idx="703">
                  <c:v>34.517800000000811</c:v>
                </c:pt>
                <c:pt idx="704">
                  <c:v>34.517900000000814</c:v>
                </c:pt>
                <c:pt idx="705">
                  <c:v>34.518000000000818</c:v>
                </c:pt>
                <c:pt idx="706">
                  <c:v>34.518100000000821</c:v>
                </c:pt>
                <c:pt idx="707">
                  <c:v>34.518200000000824</c:v>
                </c:pt>
                <c:pt idx="708">
                  <c:v>34.518300000000828</c:v>
                </c:pt>
                <c:pt idx="709">
                  <c:v>34.518400000000831</c:v>
                </c:pt>
                <c:pt idx="710">
                  <c:v>34.518500000000834</c:v>
                </c:pt>
                <c:pt idx="711">
                  <c:v>34.518600000000838</c:v>
                </c:pt>
                <c:pt idx="712">
                  <c:v>34.518700000000841</c:v>
                </c:pt>
                <c:pt idx="713">
                  <c:v>34.518800000000844</c:v>
                </c:pt>
                <c:pt idx="714">
                  <c:v>34.518900000000848</c:v>
                </c:pt>
                <c:pt idx="715">
                  <c:v>34.519000000000851</c:v>
                </c:pt>
                <c:pt idx="716">
                  <c:v>34.519100000000854</c:v>
                </c:pt>
                <c:pt idx="717">
                  <c:v>34.519200000000858</c:v>
                </c:pt>
                <c:pt idx="718">
                  <c:v>34.519300000000861</c:v>
                </c:pt>
                <c:pt idx="719">
                  <c:v>34.519400000000864</c:v>
                </c:pt>
                <c:pt idx="720">
                  <c:v>34.519500000000868</c:v>
                </c:pt>
                <c:pt idx="721">
                  <c:v>34.519600000000871</c:v>
                </c:pt>
                <c:pt idx="722">
                  <c:v>34.519700000000874</c:v>
                </c:pt>
                <c:pt idx="723">
                  <c:v>34.519800000000878</c:v>
                </c:pt>
                <c:pt idx="724">
                  <c:v>34.519900000000881</c:v>
                </c:pt>
                <c:pt idx="725">
                  <c:v>34.520000000000884</c:v>
                </c:pt>
                <c:pt idx="726">
                  <c:v>34.520100000000888</c:v>
                </c:pt>
                <c:pt idx="727">
                  <c:v>34.520200000000891</c:v>
                </c:pt>
                <c:pt idx="728">
                  <c:v>34.520300000000894</c:v>
                </c:pt>
                <c:pt idx="729">
                  <c:v>34.520400000000897</c:v>
                </c:pt>
                <c:pt idx="730">
                  <c:v>34.520500000000901</c:v>
                </c:pt>
                <c:pt idx="731">
                  <c:v>34.520600000000904</c:v>
                </c:pt>
                <c:pt idx="732">
                  <c:v>34.520700000000907</c:v>
                </c:pt>
                <c:pt idx="733">
                  <c:v>34.520800000000911</c:v>
                </c:pt>
                <c:pt idx="734">
                  <c:v>34.520900000000914</c:v>
                </c:pt>
                <c:pt idx="735">
                  <c:v>34.521000000000917</c:v>
                </c:pt>
                <c:pt idx="736">
                  <c:v>34.521100000000921</c:v>
                </c:pt>
                <c:pt idx="737">
                  <c:v>34.521200000000924</c:v>
                </c:pt>
                <c:pt idx="738">
                  <c:v>34.521300000000927</c:v>
                </c:pt>
                <c:pt idx="739">
                  <c:v>34.521400000000931</c:v>
                </c:pt>
                <c:pt idx="740">
                  <c:v>34.521500000000934</c:v>
                </c:pt>
                <c:pt idx="741">
                  <c:v>34.521600000000937</c:v>
                </c:pt>
                <c:pt idx="742">
                  <c:v>34.521700000000941</c:v>
                </c:pt>
                <c:pt idx="743">
                  <c:v>34.521800000000944</c:v>
                </c:pt>
                <c:pt idx="744">
                  <c:v>34.521900000000947</c:v>
                </c:pt>
                <c:pt idx="745">
                  <c:v>34.522000000000951</c:v>
                </c:pt>
                <c:pt idx="746">
                  <c:v>34.522100000000954</c:v>
                </c:pt>
                <c:pt idx="747">
                  <c:v>34.522200000000957</c:v>
                </c:pt>
                <c:pt idx="748">
                  <c:v>34.522300000000961</c:v>
                </c:pt>
                <c:pt idx="749">
                  <c:v>34.522400000000964</c:v>
                </c:pt>
                <c:pt idx="750">
                  <c:v>34.522500000000967</c:v>
                </c:pt>
                <c:pt idx="751">
                  <c:v>34.522600000000971</c:v>
                </c:pt>
                <c:pt idx="752">
                  <c:v>34.522700000000974</c:v>
                </c:pt>
                <c:pt idx="753">
                  <c:v>34.522800000000977</c:v>
                </c:pt>
                <c:pt idx="754">
                  <c:v>34.52290000000098</c:v>
                </c:pt>
                <c:pt idx="755">
                  <c:v>34.523000000000984</c:v>
                </c:pt>
                <c:pt idx="756">
                  <c:v>34.523100000000987</c:v>
                </c:pt>
                <c:pt idx="757">
                  <c:v>34.52320000000099</c:v>
                </c:pt>
                <c:pt idx="758">
                  <c:v>34.523300000000994</c:v>
                </c:pt>
                <c:pt idx="759">
                  <c:v>34.523400000000997</c:v>
                </c:pt>
                <c:pt idx="760">
                  <c:v>34.523500000001</c:v>
                </c:pt>
                <c:pt idx="761">
                  <c:v>34.523600000001004</c:v>
                </c:pt>
                <c:pt idx="762">
                  <c:v>34.523700000001007</c:v>
                </c:pt>
                <c:pt idx="763">
                  <c:v>34.52380000000101</c:v>
                </c:pt>
                <c:pt idx="764">
                  <c:v>34.523900000001014</c:v>
                </c:pt>
                <c:pt idx="765">
                  <c:v>34.524000000001017</c:v>
                </c:pt>
                <c:pt idx="766">
                  <c:v>34.52410000000102</c:v>
                </c:pt>
                <c:pt idx="767">
                  <c:v>34.524200000001024</c:v>
                </c:pt>
                <c:pt idx="768">
                  <c:v>34.524300000001027</c:v>
                </c:pt>
                <c:pt idx="769">
                  <c:v>34.52440000000103</c:v>
                </c:pt>
                <c:pt idx="770">
                  <c:v>34.524500000001034</c:v>
                </c:pt>
                <c:pt idx="771">
                  <c:v>34.524600000001037</c:v>
                </c:pt>
                <c:pt idx="772">
                  <c:v>34.52470000000104</c:v>
                </c:pt>
                <c:pt idx="773">
                  <c:v>34.524800000001044</c:v>
                </c:pt>
                <c:pt idx="774">
                  <c:v>34.524900000001047</c:v>
                </c:pt>
                <c:pt idx="775">
                  <c:v>34.52500000000105</c:v>
                </c:pt>
                <c:pt idx="776">
                  <c:v>34.525100000001054</c:v>
                </c:pt>
                <c:pt idx="777">
                  <c:v>34.525200000001057</c:v>
                </c:pt>
                <c:pt idx="778">
                  <c:v>34.52530000000106</c:v>
                </c:pt>
                <c:pt idx="779">
                  <c:v>34.525400000001063</c:v>
                </c:pt>
                <c:pt idx="780">
                  <c:v>34.525500000001067</c:v>
                </c:pt>
                <c:pt idx="781">
                  <c:v>34.52560000000107</c:v>
                </c:pt>
                <c:pt idx="782">
                  <c:v>34.525700000001073</c:v>
                </c:pt>
                <c:pt idx="783">
                  <c:v>34.525800000001077</c:v>
                </c:pt>
                <c:pt idx="784">
                  <c:v>34.52590000000108</c:v>
                </c:pt>
                <c:pt idx="785">
                  <c:v>34.526000000001083</c:v>
                </c:pt>
                <c:pt idx="786">
                  <c:v>34.526100000001087</c:v>
                </c:pt>
                <c:pt idx="787">
                  <c:v>34.52620000000109</c:v>
                </c:pt>
                <c:pt idx="788">
                  <c:v>34.526300000001093</c:v>
                </c:pt>
                <c:pt idx="789">
                  <c:v>34.526400000001097</c:v>
                </c:pt>
                <c:pt idx="790">
                  <c:v>34.5265000000011</c:v>
                </c:pt>
                <c:pt idx="791">
                  <c:v>34.526600000001103</c:v>
                </c:pt>
                <c:pt idx="792">
                  <c:v>34.526700000001107</c:v>
                </c:pt>
                <c:pt idx="793">
                  <c:v>34.52680000000111</c:v>
                </c:pt>
                <c:pt idx="794">
                  <c:v>34.526900000001113</c:v>
                </c:pt>
                <c:pt idx="795">
                  <c:v>34.527000000001117</c:v>
                </c:pt>
                <c:pt idx="796">
                  <c:v>34.52710000000112</c:v>
                </c:pt>
                <c:pt idx="797">
                  <c:v>34.527200000001123</c:v>
                </c:pt>
                <c:pt idx="798">
                  <c:v>34.527300000001127</c:v>
                </c:pt>
                <c:pt idx="799">
                  <c:v>34.52740000000113</c:v>
                </c:pt>
                <c:pt idx="800">
                  <c:v>34.527500000001133</c:v>
                </c:pt>
                <c:pt idx="801">
                  <c:v>34.527600000001136</c:v>
                </c:pt>
                <c:pt idx="802">
                  <c:v>34.52770000000114</c:v>
                </c:pt>
                <c:pt idx="803">
                  <c:v>34.527800000001143</c:v>
                </c:pt>
                <c:pt idx="804">
                  <c:v>34.527900000001146</c:v>
                </c:pt>
                <c:pt idx="805">
                  <c:v>34.52800000000115</c:v>
                </c:pt>
                <c:pt idx="806">
                  <c:v>34.528100000001153</c:v>
                </c:pt>
                <c:pt idx="807">
                  <c:v>34.528200000001156</c:v>
                </c:pt>
                <c:pt idx="808">
                  <c:v>34.52830000000116</c:v>
                </c:pt>
                <c:pt idx="809">
                  <c:v>34.528400000001163</c:v>
                </c:pt>
                <c:pt idx="810">
                  <c:v>34.528500000001166</c:v>
                </c:pt>
                <c:pt idx="811">
                  <c:v>34.52860000000117</c:v>
                </c:pt>
                <c:pt idx="812">
                  <c:v>34.528700000001173</c:v>
                </c:pt>
                <c:pt idx="813">
                  <c:v>34.528800000001176</c:v>
                </c:pt>
                <c:pt idx="814">
                  <c:v>34.52890000000118</c:v>
                </c:pt>
                <c:pt idx="815">
                  <c:v>34.529000000001183</c:v>
                </c:pt>
                <c:pt idx="816">
                  <c:v>34.529100000001186</c:v>
                </c:pt>
                <c:pt idx="817">
                  <c:v>34.52920000000119</c:v>
                </c:pt>
                <c:pt idx="818">
                  <c:v>34.529300000001193</c:v>
                </c:pt>
                <c:pt idx="819">
                  <c:v>34.529400000001196</c:v>
                </c:pt>
                <c:pt idx="820">
                  <c:v>34.5295000000012</c:v>
                </c:pt>
                <c:pt idx="821">
                  <c:v>34.529600000001203</c:v>
                </c:pt>
                <c:pt idx="822">
                  <c:v>34.529700000001206</c:v>
                </c:pt>
                <c:pt idx="823">
                  <c:v>34.52980000000121</c:v>
                </c:pt>
                <c:pt idx="824">
                  <c:v>34.529900000001213</c:v>
                </c:pt>
                <c:pt idx="825">
                  <c:v>34.530000000001216</c:v>
                </c:pt>
                <c:pt idx="826">
                  <c:v>34.530100000001219</c:v>
                </c:pt>
                <c:pt idx="827">
                  <c:v>34.530200000001223</c:v>
                </c:pt>
                <c:pt idx="828">
                  <c:v>34.530300000001226</c:v>
                </c:pt>
                <c:pt idx="829">
                  <c:v>34.530400000001229</c:v>
                </c:pt>
                <c:pt idx="830">
                  <c:v>34.530500000001233</c:v>
                </c:pt>
                <c:pt idx="831">
                  <c:v>34.530600000001236</c:v>
                </c:pt>
                <c:pt idx="832">
                  <c:v>34.530700000001239</c:v>
                </c:pt>
                <c:pt idx="833">
                  <c:v>34.530800000001243</c:v>
                </c:pt>
                <c:pt idx="834">
                  <c:v>34.530900000001246</c:v>
                </c:pt>
                <c:pt idx="835">
                  <c:v>34.531000000001249</c:v>
                </c:pt>
                <c:pt idx="836">
                  <c:v>34.531100000001253</c:v>
                </c:pt>
                <c:pt idx="837">
                  <c:v>34.531200000001256</c:v>
                </c:pt>
                <c:pt idx="838">
                  <c:v>34.531300000001259</c:v>
                </c:pt>
                <c:pt idx="839">
                  <c:v>34.531400000001263</c:v>
                </c:pt>
                <c:pt idx="840">
                  <c:v>34.531500000001266</c:v>
                </c:pt>
                <c:pt idx="841">
                  <c:v>34.531600000001269</c:v>
                </c:pt>
                <c:pt idx="842">
                  <c:v>34.531700000001273</c:v>
                </c:pt>
                <c:pt idx="843">
                  <c:v>34.531800000001276</c:v>
                </c:pt>
                <c:pt idx="844">
                  <c:v>34.531900000001279</c:v>
                </c:pt>
                <c:pt idx="845">
                  <c:v>34.532000000001283</c:v>
                </c:pt>
                <c:pt idx="846">
                  <c:v>34.532100000001286</c:v>
                </c:pt>
                <c:pt idx="847">
                  <c:v>34.532200000001289</c:v>
                </c:pt>
                <c:pt idx="848">
                  <c:v>34.532300000001293</c:v>
                </c:pt>
                <c:pt idx="849">
                  <c:v>34.532400000001296</c:v>
                </c:pt>
                <c:pt idx="850">
                  <c:v>34.532500000001299</c:v>
                </c:pt>
                <c:pt idx="851">
                  <c:v>34.532600000001302</c:v>
                </c:pt>
                <c:pt idx="852">
                  <c:v>34.532700000001306</c:v>
                </c:pt>
                <c:pt idx="853">
                  <c:v>34.532800000001309</c:v>
                </c:pt>
                <c:pt idx="854">
                  <c:v>34.532900000001312</c:v>
                </c:pt>
                <c:pt idx="855">
                  <c:v>34.533000000001316</c:v>
                </c:pt>
                <c:pt idx="856">
                  <c:v>34.533100000001319</c:v>
                </c:pt>
                <c:pt idx="857">
                  <c:v>34.533200000001322</c:v>
                </c:pt>
                <c:pt idx="858">
                  <c:v>34.533300000001326</c:v>
                </c:pt>
                <c:pt idx="859">
                  <c:v>34.533400000001329</c:v>
                </c:pt>
                <c:pt idx="860">
                  <c:v>34.533500000001332</c:v>
                </c:pt>
                <c:pt idx="861">
                  <c:v>34.533600000001336</c:v>
                </c:pt>
                <c:pt idx="862">
                  <c:v>34.533700000001339</c:v>
                </c:pt>
                <c:pt idx="863">
                  <c:v>34.533800000001342</c:v>
                </c:pt>
                <c:pt idx="864">
                  <c:v>34.533900000001346</c:v>
                </c:pt>
                <c:pt idx="865">
                  <c:v>34.534000000001349</c:v>
                </c:pt>
                <c:pt idx="866">
                  <c:v>34.534100000001352</c:v>
                </c:pt>
                <c:pt idx="867">
                  <c:v>34.534200000001356</c:v>
                </c:pt>
                <c:pt idx="868">
                  <c:v>34.534300000001359</c:v>
                </c:pt>
                <c:pt idx="869">
                  <c:v>34.534400000001362</c:v>
                </c:pt>
                <c:pt idx="870">
                  <c:v>34.534500000001366</c:v>
                </c:pt>
                <c:pt idx="871">
                  <c:v>34.534600000001369</c:v>
                </c:pt>
                <c:pt idx="872">
                  <c:v>34.534700000001372</c:v>
                </c:pt>
                <c:pt idx="873">
                  <c:v>34.534800000001376</c:v>
                </c:pt>
                <c:pt idx="874">
                  <c:v>34.534900000001379</c:v>
                </c:pt>
                <c:pt idx="875">
                  <c:v>34.535000000001382</c:v>
                </c:pt>
                <c:pt idx="876">
                  <c:v>34.535100000001385</c:v>
                </c:pt>
                <c:pt idx="877">
                  <c:v>34.535200000001389</c:v>
                </c:pt>
                <c:pt idx="878">
                  <c:v>34.535300000001392</c:v>
                </c:pt>
                <c:pt idx="879">
                  <c:v>34.535400000001395</c:v>
                </c:pt>
                <c:pt idx="880">
                  <c:v>34.535500000001399</c:v>
                </c:pt>
                <c:pt idx="881">
                  <c:v>34.535600000001402</c:v>
                </c:pt>
                <c:pt idx="882">
                  <c:v>34.535700000001405</c:v>
                </c:pt>
                <c:pt idx="883">
                  <c:v>34.535800000001409</c:v>
                </c:pt>
                <c:pt idx="884">
                  <c:v>34.535900000001412</c:v>
                </c:pt>
                <c:pt idx="885">
                  <c:v>34.536000000001415</c:v>
                </c:pt>
                <c:pt idx="886">
                  <c:v>34.536100000001419</c:v>
                </c:pt>
                <c:pt idx="887">
                  <c:v>34.536200000001422</c:v>
                </c:pt>
                <c:pt idx="888">
                  <c:v>34.536300000001425</c:v>
                </c:pt>
                <c:pt idx="889">
                  <c:v>34.536400000001429</c:v>
                </c:pt>
                <c:pt idx="890">
                  <c:v>34.536500000001432</c:v>
                </c:pt>
                <c:pt idx="891">
                  <c:v>34.536600000001435</c:v>
                </c:pt>
                <c:pt idx="892">
                  <c:v>34.536700000001439</c:v>
                </c:pt>
                <c:pt idx="893">
                  <c:v>34.536800000001442</c:v>
                </c:pt>
                <c:pt idx="894">
                  <c:v>34.536900000001445</c:v>
                </c:pt>
                <c:pt idx="895">
                  <c:v>34.537000000001449</c:v>
                </c:pt>
                <c:pt idx="896">
                  <c:v>34.537100000001452</c:v>
                </c:pt>
                <c:pt idx="897">
                  <c:v>34.537200000001455</c:v>
                </c:pt>
                <c:pt idx="898">
                  <c:v>34.537300000001458</c:v>
                </c:pt>
                <c:pt idx="899">
                  <c:v>34.537400000001462</c:v>
                </c:pt>
                <c:pt idx="900">
                  <c:v>34.537500000001465</c:v>
                </c:pt>
                <c:pt idx="901">
                  <c:v>34.537600000001468</c:v>
                </c:pt>
                <c:pt idx="902">
                  <c:v>34.537700000001472</c:v>
                </c:pt>
                <c:pt idx="903">
                  <c:v>34.537800000001475</c:v>
                </c:pt>
                <c:pt idx="904">
                  <c:v>34.537900000001478</c:v>
                </c:pt>
                <c:pt idx="905">
                  <c:v>34.538000000001482</c:v>
                </c:pt>
                <c:pt idx="906">
                  <c:v>34.538100000001485</c:v>
                </c:pt>
                <c:pt idx="907">
                  <c:v>34.538200000001488</c:v>
                </c:pt>
                <c:pt idx="908">
                  <c:v>34.538300000001492</c:v>
                </c:pt>
                <c:pt idx="909">
                  <c:v>34.538400000001495</c:v>
                </c:pt>
                <c:pt idx="910">
                  <c:v>34.538500000001498</c:v>
                </c:pt>
                <c:pt idx="911">
                  <c:v>34.538600000001502</c:v>
                </c:pt>
                <c:pt idx="912">
                  <c:v>34.538700000001505</c:v>
                </c:pt>
                <c:pt idx="913">
                  <c:v>34.538800000001508</c:v>
                </c:pt>
                <c:pt idx="914">
                  <c:v>34.538900000001512</c:v>
                </c:pt>
                <c:pt idx="915">
                  <c:v>34.539000000001515</c:v>
                </c:pt>
                <c:pt idx="916">
                  <c:v>34.539100000001518</c:v>
                </c:pt>
                <c:pt idx="917">
                  <c:v>34.539200000001522</c:v>
                </c:pt>
                <c:pt idx="918">
                  <c:v>34.539300000001525</c:v>
                </c:pt>
                <c:pt idx="919">
                  <c:v>34.539400000001528</c:v>
                </c:pt>
                <c:pt idx="920">
                  <c:v>34.539500000001532</c:v>
                </c:pt>
                <c:pt idx="921">
                  <c:v>34.539600000001535</c:v>
                </c:pt>
                <c:pt idx="922">
                  <c:v>34.539700000001538</c:v>
                </c:pt>
                <c:pt idx="923">
                  <c:v>34.539800000001541</c:v>
                </c:pt>
                <c:pt idx="924">
                  <c:v>34.539900000001545</c:v>
                </c:pt>
                <c:pt idx="925">
                  <c:v>34.540000000001548</c:v>
                </c:pt>
                <c:pt idx="926">
                  <c:v>34.540100000001551</c:v>
                </c:pt>
                <c:pt idx="927">
                  <c:v>34.540200000001555</c:v>
                </c:pt>
                <c:pt idx="928">
                  <c:v>34.540300000001558</c:v>
                </c:pt>
                <c:pt idx="929">
                  <c:v>34.540400000001561</c:v>
                </c:pt>
                <c:pt idx="930">
                  <c:v>34.540500000001565</c:v>
                </c:pt>
                <c:pt idx="931">
                  <c:v>34.540600000001568</c:v>
                </c:pt>
                <c:pt idx="932">
                  <c:v>34.540700000001571</c:v>
                </c:pt>
                <c:pt idx="933">
                  <c:v>34.540800000001575</c:v>
                </c:pt>
                <c:pt idx="934">
                  <c:v>34.540900000001578</c:v>
                </c:pt>
                <c:pt idx="935">
                  <c:v>34.541000000001581</c:v>
                </c:pt>
                <c:pt idx="936">
                  <c:v>34.541100000001585</c:v>
                </c:pt>
                <c:pt idx="937">
                  <c:v>34.541200000001588</c:v>
                </c:pt>
                <c:pt idx="938">
                  <c:v>34.541300000001591</c:v>
                </c:pt>
                <c:pt idx="939">
                  <c:v>34.541400000001595</c:v>
                </c:pt>
                <c:pt idx="940">
                  <c:v>34.541500000001598</c:v>
                </c:pt>
                <c:pt idx="941">
                  <c:v>34.541600000001601</c:v>
                </c:pt>
                <c:pt idx="942">
                  <c:v>34.541700000001605</c:v>
                </c:pt>
                <c:pt idx="943">
                  <c:v>34.541800000001608</c:v>
                </c:pt>
                <c:pt idx="944">
                  <c:v>34.541900000001611</c:v>
                </c:pt>
                <c:pt idx="945">
                  <c:v>34.542000000001615</c:v>
                </c:pt>
                <c:pt idx="946">
                  <c:v>34.542100000001618</c:v>
                </c:pt>
                <c:pt idx="947">
                  <c:v>34.542200000001621</c:v>
                </c:pt>
                <c:pt idx="948">
                  <c:v>34.542300000001624</c:v>
                </c:pt>
                <c:pt idx="949">
                  <c:v>34.542400000001628</c:v>
                </c:pt>
                <c:pt idx="950">
                  <c:v>34.542500000001631</c:v>
                </c:pt>
                <c:pt idx="951">
                  <c:v>34.542600000001634</c:v>
                </c:pt>
                <c:pt idx="952">
                  <c:v>34.542700000001638</c:v>
                </c:pt>
                <c:pt idx="953">
                  <c:v>34.542800000001641</c:v>
                </c:pt>
                <c:pt idx="954">
                  <c:v>34.542900000001644</c:v>
                </c:pt>
                <c:pt idx="955">
                  <c:v>34.543000000001648</c:v>
                </c:pt>
                <c:pt idx="956">
                  <c:v>34.543100000001651</c:v>
                </c:pt>
                <c:pt idx="957">
                  <c:v>34.543200000001654</c:v>
                </c:pt>
                <c:pt idx="958">
                  <c:v>34.543300000001658</c:v>
                </c:pt>
                <c:pt idx="959">
                  <c:v>34.543400000001661</c:v>
                </c:pt>
                <c:pt idx="960">
                  <c:v>34.543500000001664</c:v>
                </c:pt>
                <c:pt idx="961">
                  <c:v>34.543600000001668</c:v>
                </c:pt>
                <c:pt idx="962">
                  <c:v>34.543700000001671</c:v>
                </c:pt>
                <c:pt idx="963">
                  <c:v>34.543800000001674</c:v>
                </c:pt>
                <c:pt idx="964">
                  <c:v>34.543900000001678</c:v>
                </c:pt>
                <c:pt idx="965">
                  <c:v>34.544000000001681</c:v>
                </c:pt>
                <c:pt idx="966">
                  <c:v>34.544100000001684</c:v>
                </c:pt>
                <c:pt idx="967">
                  <c:v>34.544200000001688</c:v>
                </c:pt>
                <c:pt idx="968">
                  <c:v>34.544300000001691</c:v>
                </c:pt>
                <c:pt idx="969">
                  <c:v>34.544400000001694</c:v>
                </c:pt>
                <c:pt idx="970">
                  <c:v>34.544500000001698</c:v>
                </c:pt>
                <c:pt idx="971">
                  <c:v>34.544600000001701</c:v>
                </c:pt>
                <c:pt idx="972">
                  <c:v>34.544700000001704</c:v>
                </c:pt>
                <c:pt idx="973">
                  <c:v>34.544800000001707</c:v>
                </c:pt>
                <c:pt idx="974">
                  <c:v>34.544900000001711</c:v>
                </c:pt>
                <c:pt idx="975">
                  <c:v>34.545000000001714</c:v>
                </c:pt>
                <c:pt idx="976">
                  <c:v>34.545100000001717</c:v>
                </c:pt>
                <c:pt idx="977">
                  <c:v>34.545200000001721</c:v>
                </c:pt>
                <c:pt idx="978">
                  <c:v>34.545300000001724</c:v>
                </c:pt>
                <c:pt idx="979">
                  <c:v>34.545400000001727</c:v>
                </c:pt>
                <c:pt idx="980">
                  <c:v>34.545500000001731</c:v>
                </c:pt>
                <c:pt idx="981">
                  <c:v>34.545600000001734</c:v>
                </c:pt>
                <c:pt idx="982">
                  <c:v>34.545700000001737</c:v>
                </c:pt>
                <c:pt idx="983">
                  <c:v>34.545800000001741</c:v>
                </c:pt>
                <c:pt idx="984">
                  <c:v>34.545900000001744</c:v>
                </c:pt>
                <c:pt idx="985">
                  <c:v>34.546000000001747</c:v>
                </c:pt>
                <c:pt idx="986">
                  <c:v>34.546100000001751</c:v>
                </c:pt>
                <c:pt idx="987">
                  <c:v>34.546200000001754</c:v>
                </c:pt>
                <c:pt idx="988">
                  <c:v>34.546300000001757</c:v>
                </c:pt>
                <c:pt idx="989">
                  <c:v>34.546400000001761</c:v>
                </c:pt>
                <c:pt idx="990">
                  <c:v>34.546500000001764</c:v>
                </c:pt>
                <c:pt idx="991">
                  <c:v>34.546600000001767</c:v>
                </c:pt>
                <c:pt idx="992">
                  <c:v>34.546700000001771</c:v>
                </c:pt>
                <c:pt idx="993">
                  <c:v>34.546800000001774</c:v>
                </c:pt>
                <c:pt idx="994">
                  <c:v>34.546900000001777</c:v>
                </c:pt>
                <c:pt idx="995">
                  <c:v>34.547000000001781</c:v>
                </c:pt>
                <c:pt idx="996">
                  <c:v>34.547100000001784</c:v>
                </c:pt>
                <c:pt idx="997">
                  <c:v>34.547200000001787</c:v>
                </c:pt>
                <c:pt idx="998">
                  <c:v>34.54730000000179</c:v>
                </c:pt>
                <c:pt idx="999">
                  <c:v>34.547400000001794</c:v>
                </c:pt>
                <c:pt idx="1000">
                  <c:v>34.547500000001797</c:v>
                </c:pt>
              </c:numCache>
            </c:numRef>
          </c:xVal>
          <c:yVal>
            <c:numRef>
              <c:f>Calculs!$AE$4:$AE$1004</c:f>
              <c:numCache>
                <c:formatCode>0</c:formatCode>
                <c:ptCount val="1001"/>
                <c:pt idx="0">
                  <c:v>0</c:v>
                </c:pt>
                <c:pt idx="1">
                  <c:v>9.6179596057260972E-4</c:v>
                </c:pt>
                <c:pt idx="2">
                  <c:v>7.849334862307036E-3</c:v>
                </c:pt>
                <c:pt idx="3">
                  <c:v>2.7104036649354804E-2</c:v>
                </c:pt>
                <c:pt idx="4">
                  <c:v>6.0910676809744435E-2</c:v>
                </c:pt>
                <c:pt idx="5">
                  <c:v>0.10875959295515798</c:v>
                </c:pt>
                <c:pt idx="6">
                  <c:v>0.17029575024130772</c:v>
                </c:pt>
                <c:pt idx="7">
                  <c:v>0.24547517535961894</c:v>
                </c:pt>
                <c:pt idx="8">
                  <c:v>0.33440967855691439</c:v>
                </c:pt>
                <c:pt idx="9">
                  <c:v>0.43721111891433345</c:v>
                </c:pt>
                <c:pt idx="10">
                  <c:v>0.55399140167489291</c:v>
                </c:pt>
                <c:pt idx="11">
                  <c:v>0.68484628480212495</c:v>
                </c:pt>
                <c:pt idx="12">
                  <c:v>0.82983913846125701</c:v>
                </c:pt>
                <c:pt idx="13">
                  <c:v>0.989017063757757</c:v>
                </c:pt>
                <c:pt idx="14">
                  <c:v>1.1624270589549011</c:v>
                </c:pt>
                <c:pt idx="15">
                  <c:v>1.350116017579907</c:v>
                </c:pt>
                <c:pt idx="16">
                  <c:v>1.5521307265246203</c:v>
                </c:pt>
                <c:pt idx="17">
                  <c:v>1.7685178641409143</c:v>
                </c:pt>
                <c:pt idx="18">
                  <c:v>1.9993239983309685</c:v>
                </c:pt>
                <c:pt idx="19">
                  <c:v>2.244595584632592</c:v>
                </c:pt>
                <c:pt idx="20">
                  <c:v>2.5043789642997596</c:v>
                </c:pt>
                <c:pt idx="21">
                  <c:v>2.7787138599228545</c:v>
                </c:pt>
                <c:pt idx="22">
                  <c:v>3.0676268525810602</c:v>
                </c:pt>
                <c:pt idx="23">
                  <c:v>3.3711378558289589</c:v>
                </c:pt>
                <c:pt idx="24">
                  <c:v>3.6892666085400023</c:v>
                </c:pt>
                <c:pt idx="25">
                  <c:v>4.0220326737662697</c:v>
                </c:pt>
                <c:pt idx="26">
                  <c:v>4.3694406356516708</c:v>
                </c:pt>
                <c:pt idx="27">
                  <c:v>4.7314942593150162</c:v>
                </c:pt>
                <c:pt idx="28">
                  <c:v>5.1082113009258308</c:v>
                </c:pt>
                <c:pt idx="29">
                  <c:v>5.4996093651401523</c:v>
                </c:pt>
                <c:pt idx="30">
                  <c:v>5.9057059129793767</c:v>
                </c:pt>
                <c:pt idx="31">
                  <c:v>6.3265182582043593</c:v>
                </c:pt>
                <c:pt idx="32">
                  <c:v>6.7620635639505586</c:v>
                </c:pt>
                <c:pt idx="33">
                  <c:v>7.2123588395916514</c:v>
                </c:pt>
                <c:pt idx="34">
                  <c:v>7.6774209378041887</c:v>
                </c:pt>
                <c:pt idx="35">
                  <c:v>8.1572665518100607</c:v>
                </c:pt>
                <c:pt idx="36">
                  <c:v>8.6519122127770007</c:v>
                </c:pt>
                <c:pt idx="37">
                  <c:v>9.1613742873602018</c:v>
                </c:pt>
                <c:pt idx="38">
                  <c:v>9.6856689753705076</c:v>
                </c:pt>
                <c:pt idx="39">
                  <c:v>10.224812307556627</c:v>
                </c:pt>
                <c:pt idx="40">
                  <c:v>10.778820143490485</c:v>
                </c:pt>
                <c:pt idx="41">
                  <c:v>11.347703103481436</c:v>
                </c:pt>
                <c:pt idx="42">
                  <c:v>11.931461488123665</c:v>
                </c:pt>
                <c:pt idx="43">
                  <c:v>12.530090325394321</c:v>
                </c:pt>
                <c:pt idx="44">
                  <c:v>13.143584430641267</c:v>
                </c:pt>
                <c:pt idx="45">
                  <c:v>13.771938405601263</c:v>
                </c:pt>
                <c:pt idx="46">
                  <c:v>14.415146637491738</c:v>
                </c:pt>
                <c:pt idx="47">
                  <c:v>15.073203298170998</c:v>
                </c:pt>
                <c:pt idx="48">
                  <c:v>15.746102343362272</c:v>
                </c:pt>
                <c:pt idx="49">
                  <c:v>16.433837511937465</c:v>
                </c:pt>
                <c:pt idx="50">
                  <c:v>17.136402325256991</c:v>
                </c:pt>
                <c:pt idx="51">
                  <c:v>17.853790086562395</c:v>
                </c:pt>
                <c:pt idx="52">
                  <c:v>18.585993880418791</c:v>
                </c:pt>
                <c:pt idx="53">
                  <c:v>19.3330065722045</c:v>
                </c:pt>
                <c:pt idx="54">
                  <c:v>20.094820807645462</c:v>
                </c:pt>
                <c:pt idx="55">
                  <c:v>20.871429012392273</c:v>
                </c:pt>
                <c:pt idx="56">
                  <c:v>21.662823391637879</c:v>
                </c:pt>
                <c:pt idx="57">
                  <c:v>22.468995929774135</c:v>
                </c:pt>
                <c:pt idx="58">
                  <c:v>23.289938390085631</c:v>
                </c:pt>
                <c:pt idx="59">
                  <c:v>24.125642314479276</c:v>
                </c:pt>
                <c:pt idx="60">
                  <c:v>24.976099023248302</c:v>
                </c:pt>
                <c:pt idx="61">
                  <c:v>25.841299614869456</c:v>
                </c:pt>
                <c:pt idx="62">
                  <c:v>26.721234965832227</c:v>
                </c:pt>
                <c:pt idx="63">
                  <c:v>27.61589573049908</c:v>
                </c:pt>
                <c:pt idx="64">
                  <c:v>28.525272340995734</c:v>
                </c:pt>
                <c:pt idx="65">
                  <c:v>29.449355007130588</c:v>
                </c:pt>
                <c:pt idx="66">
                  <c:v>30.38813371634248</c:v>
                </c:pt>
                <c:pt idx="67">
                  <c:v>31.341598233676027</c:v>
                </c:pt>
                <c:pt idx="68">
                  <c:v>32.309738101783843</c:v>
                </c:pt>
                <c:pt idx="69">
                  <c:v>33.292542640954963</c:v>
                </c:pt>
                <c:pt idx="70">
                  <c:v>34.290000949168885</c:v>
                </c:pt>
                <c:pt idx="71">
                  <c:v>35.302101902174655</c:v>
                </c:pt>
                <c:pt idx="72">
                  <c:v>36.328834153594464</c:v>
                </c:pt>
                <c:pt idx="73">
                  <c:v>37.37018613505127</c:v>
                </c:pt>
                <c:pt idx="74">
                  <c:v>38.426146056319936</c:v>
                </c:pt>
                <c:pt idx="75">
                  <c:v>39.496701905501517</c:v>
                </c:pt>
                <c:pt idx="76">
                  <c:v>40.581841449220242</c:v>
                </c:pt>
                <c:pt idx="77">
                  <c:v>41.681552232842776</c:v>
                </c:pt>
                <c:pt idx="78">
                  <c:v>42.795821580719455</c:v>
                </c:pt>
                <c:pt idx="79">
                  <c:v>43.924636596447108</c:v>
                </c:pt>
                <c:pt idx="80">
                  <c:v>45.067984163153127</c:v>
                </c:pt>
                <c:pt idx="81">
                  <c:v>46.225845781003116</c:v>
                </c:pt>
                <c:pt idx="82">
                  <c:v>47.398192394880965</c:v>
                </c:pt>
                <c:pt idx="83">
                  <c:v>48.584989546199502</c:v>
                </c:pt>
                <c:pt idx="84">
                  <c:v>49.786202535078019</c:v>
                </c:pt>
                <c:pt idx="85">
                  <c:v>51.001796421726347</c:v>
                </c:pt>
                <c:pt idx="86">
                  <c:v>52.231736027850438</c:v>
                </c:pt>
                <c:pt idx="87">
                  <c:v>53.475985938079134</c:v>
                </c:pt>
                <c:pt idx="88">
                  <c:v>54.734510501411499</c:v>
                </c:pt>
                <c:pt idx="89">
                  <c:v>56.007273832684433</c:v>
                </c:pt>
                <c:pt idx="90">
                  <c:v>57.294239814060028</c:v>
                </c:pt>
                <c:pt idx="91">
                  <c:v>58.595369812979577</c:v>
                </c:pt>
                <c:pt idx="92">
                  <c:v>59.91062039623214</c:v>
                </c:pt>
                <c:pt idx="93">
                  <c:v>61.239945610924721</c:v>
                </c:pt>
                <c:pt idx="94">
                  <c:v>62.583299269615928</c:v>
                </c:pt>
                <c:pt idx="95">
                  <c:v>63.940634952377707</c:v>
                </c:pt>
                <c:pt idx="96">
                  <c:v>65.311906008874132</c:v>
                </c:pt>
                <c:pt idx="97">
                  <c:v>66.697065560456693</c:v>
                </c:pt>
                <c:pt idx="98">
                  <c:v>68.09606650227559</c:v>
                </c:pt>
                <c:pt idx="99">
                  <c:v>69.508861505406713</c:v>
                </c:pt>
                <c:pt idx="100">
                  <c:v>70.935403018993668</c:v>
                </c:pt>
                <c:pt idx="101">
                  <c:v>72.375642906752802</c:v>
                </c:pt>
                <c:pt idx="102">
                  <c:v>73.829532082945136</c:v>
                </c:pt>
                <c:pt idx="103">
                  <c:v>75.297020879700085</c:v>
                </c:pt>
                <c:pt idx="104">
                  <c:v>76.778059414939221</c:v>
                </c:pt>
                <c:pt idx="105">
                  <c:v>78.272597594666067</c:v>
                </c:pt>
                <c:pt idx="106">
                  <c:v>79.78058511526811</c:v>
                </c:pt>
                <c:pt idx="107">
                  <c:v>81.301971465830761</c:v>
                </c:pt>
                <c:pt idx="108">
                  <c:v>82.836705930462742</c:v>
                </c:pt>
                <c:pt idx="109">
                  <c:v>84.38473759063244</c:v>
                </c:pt>
                <c:pt idx="110">
                  <c:v>85.946015327514885</c:v>
                </c:pt>
                <c:pt idx="111">
                  <c:v>87.520492038896634</c:v>
                </c:pt>
                <c:pt idx="112">
                  <c:v>89.108128861514231</c:v>
                </c:pt>
                <c:pt idx="113">
                  <c:v>90.70889096313816</c:v>
                </c:pt>
                <c:pt idx="114">
                  <c:v>92.322743328813104</c:v>
                </c:pt>
                <c:pt idx="115">
                  <c:v>93.949650762395379</c:v>
                </c:pt>
                <c:pt idx="116">
                  <c:v>95.589577888100933</c:v>
                </c:pt>
                <c:pt idx="117">
                  <c:v>97.242489152063683</c:v>
                </c:pt>
                <c:pt idx="118">
                  <c:v>98.90834882390395</c:v>
                </c:pt>
                <c:pt idx="119">
                  <c:v>100.58712099830679</c:v>
                </c:pt>
                <c:pt idx="120">
                  <c:v>102.27876959660983</c:v>
                </c:pt>
                <c:pt idx="121">
                  <c:v>103.98325137047534</c:v>
                </c:pt>
                <c:pt idx="122">
                  <c:v>105.70050889783788</c:v>
                </c:pt>
                <c:pt idx="123">
                  <c:v>107.43047757786435</c:v>
                </c:pt>
                <c:pt idx="124">
                  <c:v>109.17309263438378</c:v>
                </c:pt>
                <c:pt idx="125">
                  <c:v>110.92828911897151</c:v>
                </c:pt>
                <c:pt idx="126">
                  <c:v>112.69600191403535</c:v>
                </c:pt>
                <c:pt idx="127">
                  <c:v>114.47616573590291</c:v>
                </c:pt>
                <c:pt idx="128">
                  <c:v>116.26871513790975</c:v>
                </c:pt>
                <c:pt idx="129">
                  <c:v>118.0735845134879</c:v>
                </c:pt>
                <c:pt idx="130">
                  <c:v>119.89070809925417</c:v>
                </c:pt>
                <c:pt idx="131">
                  <c:v>121.72001814405567</c:v>
                </c:pt>
                <c:pt idx="132">
                  <c:v>123.56144307643059</c:v>
                </c:pt>
                <c:pt idx="133">
                  <c:v>125.4149093413541</c:v>
                </c:pt>
                <c:pt idx="134">
                  <c:v>127.2803432387699</c:v>
                </c:pt>
                <c:pt idx="135">
                  <c:v>129.15767092707736</c:v>
                </c:pt>
                <c:pt idx="136">
                  <c:v>131.04681842661299</c:v>
                </c:pt>
                <c:pt idx="137">
                  <c:v>132.9477116231256</c:v>
                </c:pt>
                <c:pt idx="138">
                  <c:v>134.86027627124477</c:v>
                </c:pt>
                <c:pt idx="139">
                  <c:v>136.78443799794198</c:v>
                </c:pt>
                <c:pt idx="140">
                  <c:v>138.72012230598406</c:v>
                </c:pt>
                <c:pt idx="141">
                  <c:v>140.66723262541166</c:v>
                </c:pt>
                <c:pt idx="142">
                  <c:v>142.62562835189746</c:v>
                </c:pt>
                <c:pt idx="143">
                  <c:v>144.5951468083743</c:v>
                </c:pt>
                <c:pt idx="144">
                  <c:v>146.57562522272684</c:v>
                </c:pt>
                <c:pt idx="145">
                  <c:v>148.56690073709092</c:v>
                </c:pt>
                <c:pt idx="146">
                  <c:v>150.56881041707678</c:v>
                </c:pt>
                <c:pt idx="147">
                  <c:v>152.58119126091498</c:v>
                </c:pt>
                <c:pt idx="148">
                  <c:v>154.60388020852344</c:v>
                </c:pt>
                <c:pt idx="149">
                  <c:v>156.63671415049427</c:v>
                </c:pt>
                <c:pt idx="150">
                  <c:v>158.67952993699893</c:v>
                </c:pt>
                <c:pt idx="151">
                  <c:v>160.73216438661049</c:v>
                </c:pt>
                <c:pt idx="152">
                  <c:v>162.7944542950417</c:v>
                </c:pt>
                <c:pt idx="153">
                  <c:v>164.86623644379753</c:v>
                </c:pt>
                <c:pt idx="154">
                  <c:v>166.94734760874121</c:v>
                </c:pt>
                <c:pt idx="155">
                  <c:v>169.03762456857237</c:v>
                </c:pt>
                <c:pt idx="156">
                  <c:v>171.1368000095683</c:v>
                </c:pt>
                <c:pt idx="157">
                  <c:v>173.24439844360776</c:v>
                </c:pt>
                <c:pt idx="158">
                  <c:v>175.35984048309888</c:v>
                </c:pt>
                <c:pt idx="159">
                  <c:v>177.48254713009186</c:v>
                </c:pt>
                <c:pt idx="160">
                  <c:v>179.61193983905341</c:v>
                </c:pt>
                <c:pt idx="161">
                  <c:v>181.74730818534178</c:v>
                </c:pt>
                <c:pt idx="162">
                  <c:v>183.88767765804249</c:v>
                </c:pt>
                <c:pt idx="163">
                  <c:v>186.03195513165974</c:v>
                </c:pt>
                <c:pt idx="164">
                  <c:v>188.17907426060148</c:v>
                </c:pt>
                <c:pt idx="165">
                  <c:v>190.32810948210573</c:v>
                </c:pt>
                <c:pt idx="166">
                  <c:v>192.47838979734101</c:v>
                </c:pt>
                <c:pt idx="167">
                  <c:v>194.62927575410876</c:v>
                </c:pt>
                <c:pt idx="168">
                  <c:v>196.78000636097377</c:v>
                </c:pt>
                <c:pt idx="169">
                  <c:v>198.92959697059555</c:v>
                </c:pt>
                <c:pt idx="170">
                  <c:v>201.07680706074902</c:v>
                </c:pt>
                <c:pt idx="171">
                  <c:v>203.22076967694338</c:v>
                </c:pt>
                <c:pt idx="172">
                  <c:v>205.36127142489883</c:v>
                </c:pt>
                <c:pt idx="173">
                  <c:v>207.49832078974819</c:v>
                </c:pt>
                <c:pt idx="174">
                  <c:v>209.6319262199504</c:v>
                </c:pt>
                <c:pt idx="175">
                  <c:v>211.76209612750134</c:v>
                </c:pt>
                <c:pt idx="176">
                  <c:v>213.88883888814323</c:v>
                </c:pt>
                <c:pt idx="177">
                  <c:v>216.01216284157246</c:v>
                </c:pt>
                <c:pt idx="178">
                  <c:v>218.13207629164594</c:v>
                </c:pt>
                <c:pt idx="179">
                  <c:v>220.24858750658589</c:v>
                </c:pt>
                <c:pt idx="180">
                  <c:v>222.36170471918322</c:v>
                </c:pt>
                <c:pt idx="181">
                  <c:v>224.47143612699946</c:v>
                </c:pt>
                <c:pt idx="182">
                  <c:v>226.57778989256724</c:v>
                </c:pt>
                <c:pt idx="183">
                  <c:v>228.68077414358925</c:v>
                </c:pt>
                <c:pt idx="184">
                  <c:v>230.78039697313588</c:v>
                </c:pt>
                <c:pt idx="185">
                  <c:v>232.87666643984139</c:v>
                </c:pt>
                <c:pt idx="186">
                  <c:v>234.96959056809865</c:v>
                </c:pt>
                <c:pt idx="187">
                  <c:v>237.05917734825263</c:v>
                </c:pt>
                <c:pt idx="188">
                  <c:v>239.14543473679231</c:v>
                </c:pt>
                <c:pt idx="189">
                  <c:v>241.22837065654144</c:v>
                </c:pt>
                <c:pt idx="190">
                  <c:v>243.30799299684773</c:v>
                </c:pt>
                <c:pt idx="191">
                  <c:v>245.38430961377091</c:v>
                </c:pt>
                <c:pt idx="192">
                  <c:v>247.45732833026929</c:v>
                </c:pt>
                <c:pt idx="193">
                  <c:v>249.52705693638507</c:v>
                </c:pt>
                <c:pt idx="194">
                  <c:v>251.59350318942842</c:v>
                </c:pt>
                <c:pt idx="195">
                  <c:v>253.65667481416008</c:v>
                </c:pt>
                <c:pt idx="196">
                  <c:v>255.71657950297288</c:v>
                </c:pt>
                <c:pt idx="197">
                  <c:v>257.7732249160718</c:v>
                </c:pt>
                <c:pt idx="198">
                  <c:v>259.82661868165286</c:v>
                </c:pt>
                <c:pt idx="199">
                  <c:v>261.87676839608088</c:v>
                </c:pt>
                <c:pt idx="200">
                  <c:v>263.92368162406575</c:v>
                </c:pt>
                <c:pt idx="201">
                  <c:v>284.21539062170683</c:v>
                </c:pt>
                <c:pt idx="202">
                  <c:v>304.1882902910985</c:v>
                </c:pt>
                <c:pt idx="203">
                  <c:v>323.84964960680509</c:v>
                </c:pt>
                <c:pt idx="204">
                  <c:v>343.20644312949509</c:v>
                </c:pt>
                <c:pt idx="205">
                  <c:v>362.26536666916672</c:v>
                </c:pt>
                <c:pt idx="206">
                  <c:v>381.03285190816945</c:v>
                </c:pt>
                <c:pt idx="207">
                  <c:v>399.51508006624192</c:v>
                </c:pt>
                <c:pt idx="208">
                  <c:v>417.71799468226942</c:v>
                </c:pt>
                <c:pt idx="209">
                  <c:v>435.64731358072743</c:v>
                </c:pt>
                <c:pt idx="210">
                  <c:v>453.30854008472568</c:v>
                </c:pt>
                <c:pt idx="211">
                  <c:v>470.70697353212807</c:v>
                </c:pt>
                <c:pt idx="212">
                  <c:v>487.84771914632313</c:v>
                </c:pt>
                <c:pt idx="213">
                  <c:v>504.73569730880297</c:v>
                </c:pt>
                <c:pt idx="214">
                  <c:v>521.3756522767186</c:v>
                </c:pt>
                <c:pt idx="215">
                  <c:v>537.77216038497249</c:v>
                </c:pt>
                <c:pt idx="216">
                  <c:v>553.92963776914371</c:v>
                </c:pt>
                <c:pt idx="217">
                  <c:v>569.85234764258144</c:v>
                </c:pt>
                <c:pt idx="218">
                  <c:v>585.54440715831447</c:v>
                </c:pt>
                <c:pt idx="219">
                  <c:v>601.00979388398491</c:v>
                </c:pt>
                <c:pt idx="220">
                  <c:v>616.25235191579281</c:v>
                </c:pt>
                <c:pt idx="221">
                  <c:v>631.27579765541441</c:v>
                </c:pt>
                <c:pt idx="222">
                  <c:v>646.08372527201539</c:v>
                </c:pt>
                <c:pt idx="223">
                  <c:v>660.67961186979494</c:v>
                </c:pt>
                <c:pt idx="224">
                  <c:v>675.06682237995892</c:v>
                </c:pt>
                <c:pt idx="225">
                  <c:v>689.24861419461467</c:v>
                </c:pt>
                <c:pt idx="226">
                  <c:v>703.22814155879087</c:v>
                </c:pt>
                <c:pt idx="227">
                  <c:v>717.00845973560627</c:v>
                </c:pt>
                <c:pt idx="228">
                  <c:v>730.59252895852705</c:v>
                </c:pt>
                <c:pt idx="229">
                  <c:v>743.98321818366026</c:v>
                </c:pt>
                <c:pt idx="230">
                  <c:v>757.18330865411463</c:v>
                </c:pt>
                <c:pt idx="231">
                  <c:v>770.19549728762115</c:v>
                </c:pt>
                <c:pt idx="232">
                  <c:v>783.02239989783095</c:v>
                </c:pt>
                <c:pt idx="233">
                  <c:v>795.66655425899444</c:v>
                </c:pt>
                <c:pt idx="234">
                  <c:v>808.13042302306917</c:v>
                </c:pt>
                <c:pt idx="235">
                  <c:v>820.41639649769468</c:v>
                </c:pt>
                <c:pt idx="236">
                  <c:v>832.52679529291322</c:v>
                </c:pt>
                <c:pt idx="237">
                  <c:v>844.46387284399623</c:v>
                </c:pt>
                <c:pt idx="238">
                  <c:v>856.22981781725593</c:v>
                </c:pt>
                <c:pt idx="239">
                  <c:v>867.82675640527748</c:v>
                </c:pt>
                <c:pt idx="240">
                  <c:v>879.25675451759514</c:v>
                </c:pt>
                <c:pt idx="241">
                  <c:v>890.52181987245524</c:v>
                </c:pt>
                <c:pt idx="242">
                  <c:v>901.62390399495143</c:v>
                </c:pt>
                <c:pt idx="243">
                  <c:v>912.56490412649282</c:v>
                </c:pt>
                <c:pt idx="244">
                  <c:v>923.34666505025473</c:v>
                </c:pt>
                <c:pt idx="245">
                  <c:v>933.9709808369829</c:v>
                </c:pt>
                <c:pt idx="246">
                  <c:v>944.43959651525188</c:v>
                </c:pt>
                <c:pt idx="247">
                  <c:v>954.75420967003652</c:v>
                </c:pt>
                <c:pt idx="248">
                  <c:v>964.91647197322243</c:v>
                </c:pt>
                <c:pt idx="249">
                  <c:v>974.92799064946917</c:v>
                </c:pt>
                <c:pt idx="250">
                  <c:v>984.79032988063966</c:v>
                </c:pt>
                <c:pt idx="251">
                  <c:v>994.50501215182237</c:v>
                </c:pt>
                <c:pt idx="252">
                  <c:v>1004.0735195417992</c:v>
                </c:pt>
                <c:pt idx="253">
                  <c:v>1013.4972949606496</c:v>
                </c:pt>
                <c:pt idx="254">
                  <c:v>1022.7777433370275</c:v>
                </c:pt>
                <c:pt idx="255">
                  <c:v>1031.9162327575082</c:v>
                </c:pt>
                <c:pt idx="256">
                  <c:v>1040.9140955602661</c:v>
                </c:pt>
                <c:pt idx="257">
                  <c:v>1049.7726293852209</c:v>
                </c:pt>
                <c:pt idx="258">
                  <c:v>1058.4930981826724</c:v>
                </c:pt>
                <c:pt idx="259">
                  <c:v>1067.0767331823354</c:v>
                </c:pt>
                <c:pt idx="260">
                  <c:v>1075.5247338245815</c:v>
                </c:pt>
                <c:pt idx="261">
                  <c:v>1083.8382686555988</c:v>
                </c:pt>
                <c:pt idx="262">
                  <c:v>1092.0184761880914</c:v>
                </c:pt>
                <c:pt idx="263">
                  <c:v>1100.0664657290524</c:v>
                </c:pt>
                <c:pt idx="264">
                  <c:v>1107.9833181760675</c:v>
                </c:pt>
                <c:pt idx="265">
                  <c:v>1115.7700867835276</c:v>
                </c:pt>
                <c:pt idx="266">
                  <c:v>1123.4277979000617</c:v>
                </c:pt>
                <c:pt idx="267">
                  <c:v>1130.9574516784323</c:v>
                </c:pt>
                <c:pt idx="268">
                  <c:v>1138.3600227590732</c:v>
                </c:pt>
                <c:pt idx="269">
                  <c:v>1145.6364609283928</c:v>
                </c:pt>
                <c:pt idx="270">
                  <c:v>1152.7876917529068</c:v>
                </c:pt>
                <c:pt idx="271">
                  <c:v>1159.8146171902167</c:v>
                </c:pt>
                <c:pt idx="272">
                  <c:v>1166.718116177798</c:v>
                </c:pt>
                <c:pt idx="273">
                  <c:v>1173.4990452005156</c:v>
                </c:pt>
                <c:pt idx="274">
                  <c:v>1180.1582388377426</c:v>
                </c:pt>
                <c:pt idx="275">
                  <c:v>1186.6965102909173</c:v>
                </c:pt>
                <c:pt idx="276">
                  <c:v>1193.1146518923319</c:v>
                </c:pt>
                <c:pt idx="277">
                  <c:v>1199.4134355959143</c:v>
                </c:pt>
                <c:pt idx="278">
                  <c:v>1205.5936134507258</c:v>
                </c:pt>
                <c:pt idx="279">
                  <c:v>1211.6559180578704</c:v>
                </c:pt>
                <c:pt idx="280">
                  <c:v>1217.601063011477</c:v>
                </c:pt>
                <c:pt idx="281">
                  <c:v>1223.4297433243896</c:v>
                </c:pt>
                <c:pt idx="282">
                  <c:v>1229.1426358391752</c:v>
                </c:pt>
                <c:pt idx="283">
                  <c:v>1234.7403996250321</c:v>
                </c:pt>
                <c:pt idx="284">
                  <c:v>1240.2236763611609</c:v>
                </c:pt>
                <c:pt idx="285">
                  <c:v>1245.5930907071372</c:v>
                </c:pt>
                <c:pt idx="286">
                  <c:v>1250.8492506608072</c:v>
                </c:pt>
                <c:pt idx="287">
                  <c:v>1255.992747904208</c:v>
                </c:pt>
                <c:pt idx="288">
                  <c:v>1261.0241581379994</c:v>
                </c:pt>
                <c:pt idx="289">
                  <c:v>1265.9440414048775</c:v>
                </c:pt>
                <c:pt idx="290">
                  <c:v>1270.7529424024294</c:v>
                </c:pt>
                <c:pt idx="291">
                  <c:v>1275.451390785875</c:v>
                </c:pt>
                <c:pt idx="292">
                  <c:v>1280.0399014611323</c:v>
                </c:pt>
                <c:pt idx="293">
                  <c:v>1284.5189748686355</c:v>
                </c:pt>
                <c:pt idx="294">
                  <c:v>1288.8890972583281</c:v>
                </c:pt>
                <c:pt idx="295">
                  <c:v>1293.1507409562491</c:v>
                </c:pt>
                <c:pt idx="296">
                  <c:v>1297.3043646231281</c:v>
                </c:pt>
                <c:pt idx="297">
                  <c:v>1301.3504135054029</c:v>
                </c:pt>
                <c:pt idx="298">
                  <c:v>1305.2893196790806</c:v>
                </c:pt>
                <c:pt idx="299">
                  <c:v>1309.1215022868603</c:v>
                </c:pt>
                <c:pt idx="300">
                  <c:v>1312.8473677689501</c:v>
                </c:pt>
                <c:pt idx="301">
                  <c:v>1316.4673100880159</c:v>
                </c:pt>
                <c:pt idx="302">
                  <c:v>1319.9817109487149</c:v>
                </c:pt>
                <c:pt idx="303">
                  <c:v>1323.3909400122852</c:v>
                </c:pt>
                <c:pt idx="304">
                  <c:v>1326.6953551066824</c:v>
                </c:pt>
                <c:pt idx="305">
                  <c:v>1329.8953024327764</c:v>
                </c:pt>
                <c:pt idx="306">
                  <c:v>1332.9911167671578</c:v>
                </c:pt>
                <c:pt idx="307">
                  <c:v>1335.9831216621326</c:v>
                </c:pt>
                <c:pt idx="308">
                  <c:v>1338.871629643525</c:v>
                </c:pt>
                <c:pt idx="309">
                  <c:v>1341.6569424069583</c:v>
                </c:pt>
                <c:pt idx="310">
                  <c:v>1344.3393510133296</c:v>
                </c:pt>
                <c:pt idx="311">
                  <c:v>1346.9191360842628</c:v>
                </c:pt>
                <c:pt idx="312">
                  <c:v>1349.3965679983787</c:v>
                </c:pt>
                <c:pt idx="313">
                  <c:v>1351.7719070893074</c:v>
                </c:pt>
                <c:pt idx="314">
                  <c:v>1354.0454038464384</c:v>
                </c:pt>
                <c:pt idx="315">
                  <c:v>1356.2172991194973</c:v>
                </c:pt>
                <c:pt idx="316">
                  <c:v>1358.287824328128</c:v>
                </c:pt>
                <c:pt idx="317">
                  <c:v>1360.2572016777599</c:v>
                </c:pt>
                <c:pt idx="318">
                  <c:v>1362.1256443831371</c:v>
                </c:pt>
                <c:pt idx="319">
                  <c:v>1363.8933569009889</c:v>
                </c:pt>
                <c:pt idx="320">
                  <c:v>1365.5605351734173</c:v>
                </c:pt>
                <c:pt idx="321">
                  <c:v>1367.127366883662</c:v>
                </c:pt>
                <c:pt idx="322">
                  <c:v>1368.594031725976</c:v>
                </c:pt>
                <c:pt idx="323">
                  <c:v>1369.9607016913917</c:v>
                </c:pt>
                <c:pt idx="324">
                  <c:v>1371.2275413711684</c:v>
                </c:pt>
                <c:pt idx="325">
                  <c:v>1372.3947082796856</c:v>
                </c:pt>
                <c:pt idx="326">
                  <c:v>1373.462353198453</c:v>
                </c:pt>
                <c:pt idx="327">
                  <c:v>1374.4306205427579</c:v>
                </c:pt>
                <c:pt idx="328">
                  <c:v>1375.2996487522273</c:v>
                </c:pt>
                <c:pt idx="329">
                  <c:v>1376.0695707062632</c:v>
                </c:pt>
                <c:pt idx="330">
                  <c:v>1376.740514164881</c:v>
                </c:pt>
                <c:pt idx="331">
                  <c:v>1377.3126022349647</c:v>
                </c:pt>
                <c:pt idx="332">
                  <c:v>1377.7859538613468</c:v>
                </c:pt>
                <c:pt idx="333">
                  <c:v>1378.160684341434</c:v>
                </c:pt>
                <c:pt idx="334">
                  <c:v>1378.4369058613709</c:v>
                </c:pt>
                <c:pt idx="335">
                  <c:v>1378.6147280509867</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7-4C7F-469F-ADED-1B0B28F452E1}"/>
            </c:ext>
          </c:extLst>
        </c:ser>
        <c:ser>
          <c:idx val="6"/>
          <c:order val="6"/>
          <c:tx>
            <c:strRef>
              <c:f>Trajecto!$B$107</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Trajecto!$B$158</c:f>
              <c:numCache>
                <c:formatCode>General</c:formatCode>
                <c:ptCount val="1"/>
                <c:pt idx="0">
                  <c:v>3.9</c:v>
                </c:pt>
              </c:numCache>
            </c:numRef>
          </c:xVal>
          <c:yVal>
            <c:numRef>
              <c:f>Trajecto!$C$158</c:f>
              <c:numCache>
                <c:formatCode>0</c:formatCode>
                <c:ptCount val="1"/>
                <c:pt idx="0">
                  <c:v>689.3471292770231</c:v>
                </c:pt>
              </c:numCache>
            </c:numRef>
          </c:yVal>
          <c:smooth val="0"/>
          <c:extLst>
            <c:ext xmlns:c16="http://schemas.microsoft.com/office/drawing/2014/chart" uri="{C3380CC4-5D6E-409C-BE32-E72D297353CC}">
              <c16:uniqueId val="{00000008-4C7F-469F-ADED-1B0B28F452E1}"/>
            </c:ext>
          </c:extLst>
        </c:ser>
        <c:ser>
          <c:idx val="7"/>
          <c:order val="7"/>
          <c:tx>
            <c:strRef>
              <c:f>Trajecto!$B$108</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Trajecto!$B$159</c:f>
              <c:numCache>
                <c:formatCode>General</c:formatCode>
                <c:ptCount val="1"/>
                <c:pt idx="0">
                  <c:v>25.05000000000009</c:v>
                </c:pt>
              </c:numCache>
            </c:numRef>
          </c:xVal>
          <c:yVal>
            <c:numRef>
              <c:f>Trajecto!$C$159</c:f>
              <c:numCache>
                <c:formatCode>0</c:formatCode>
                <c:ptCount val="1"/>
                <c:pt idx="0">
                  <c:v>689.3471292770231</c:v>
                </c:pt>
              </c:numCache>
            </c:numRef>
          </c:yVal>
          <c:smooth val="0"/>
          <c:extLst>
            <c:ext xmlns:c16="http://schemas.microsoft.com/office/drawing/2014/chart" uri="{C3380CC4-5D6E-409C-BE32-E72D297353CC}">
              <c16:uniqueId val="{00000009-4C7F-469F-ADED-1B0B28F452E1}"/>
            </c:ext>
          </c:extLst>
        </c:ser>
        <c:dLbls>
          <c:showLegendKey val="0"/>
          <c:showVal val="0"/>
          <c:showCatName val="0"/>
          <c:showSerName val="0"/>
          <c:showPercent val="0"/>
          <c:showBubbleSize val="0"/>
        </c:dLbls>
        <c:axId val="149275008"/>
        <c:axId val="149276928"/>
      </c:scatterChart>
      <c:valAx>
        <c:axId val="149275008"/>
        <c:scaling>
          <c:orientation val="minMax"/>
          <c:min val="0"/>
        </c:scaling>
        <c:delete val="0"/>
        <c:axPos val="b"/>
        <c:majorGridlines>
          <c:spPr>
            <a:ln w="3175">
              <a:solidFill>
                <a:srgbClr val="000000"/>
              </a:solidFill>
              <a:prstDash val="sysDash"/>
            </a:ln>
          </c:spPr>
        </c:majorGridlines>
        <c:title>
          <c:tx>
            <c:strRef>
              <c:f>Trajecto!$B$113</c:f>
              <c:strCache>
                <c:ptCount val="1"/>
                <c:pt idx="0">
                  <c:v>Temps [s]</c:v>
                </c:pt>
              </c:strCache>
            </c:strRef>
          </c:tx>
          <c:layout>
            <c:manualLayout>
              <c:xMode val="edge"/>
              <c:yMode val="edge"/>
              <c:x val="0.60555551848391842"/>
              <c:y val="0.8513930569999506"/>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6928"/>
        <c:crosses val="autoZero"/>
        <c:crossBetween val="midCat"/>
      </c:valAx>
      <c:valAx>
        <c:axId val="149276928"/>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9.0000333644735087E-2"/>
              <c:y val="6.8111391736410315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5008"/>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Forces</a:t>
            </a:r>
          </a:p>
        </c:rich>
      </c:tx>
      <c:overlay val="1"/>
    </c:title>
    <c:autoTitleDeleted val="0"/>
    <c:plotArea>
      <c:layout>
        <c:manualLayout>
          <c:layoutTarget val="inner"/>
          <c:xMode val="edge"/>
          <c:yMode val="edge"/>
          <c:x val="0.11674528301886802"/>
          <c:y val="9.4771544282144501E-2"/>
          <c:w val="0.86438679245283023"/>
          <c:h val="0.74183243282920064"/>
        </c:manualLayout>
      </c:layout>
      <c:scatterChart>
        <c:scatterStyle val="lineMarker"/>
        <c:varyColors val="0"/>
        <c:ser>
          <c:idx val="1"/>
          <c:order val="0"/>
          <c:tx>
            <c:strRef>
              <c:f>Courbes!$B$134</c:f>
              <c:strCache>
                <c:ptCount val="1"/>
                <c:pt idx="0">
                  <c:v>Poussée</c:v>
                </c:pt>
              </c:strCache>
            </c:strRef>
          </c:tx>
          <c:spPr>
            <a:ln w="25400">
              <a:solidFill>
                <a:srgbClr val="008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34.500100000000224</c:v>
                </c:pt>
                <c:pt idx="527">
                  <c:v>34.500200000000227</c:v>
                </c:pt>
                <c:pt idx="528">
                  <c:v>34.50030000000023</c:v>
                </c:pt>
                <c:pt idx="529">
                  <c:v>34.500400000000234</c:v>
                </c:pt>
                <c:pt idx="530">
                  <c:v>34.500500000000237</c:v>
                </c:pt>
                <c:pt idx="531">
                  <c:v>34.50060000000024</c:v>
                </c:pt>
                <c:pt idx="532">
                  <c:v>34.500700000000244</c:v>
                </c:pt>
                <c:pt idx="533">
                  <c:v>34.500800000000247</c:v>
                </c:pt>
                <c:pt idx="534">
                  <c:v>34.50090000000025</c:v>
                </c:pt>
                <c:pt idx="535">
                  <c:v>34.501000000000253</c:v>
                </c:pt>
                <c:pt idx="536">
                  <c:v>34.501100000000257</c:v>
                </c:pt>
                <c:pt idx="537">
                  <c:v>34.50120000000026</c:v>
                </c:pt>
                <c:pt idx="538">
                  <c:v>34.501300000000263</c:v>
                </c:pt>
                <c:pt idx="539">
                  <c:v>34.501400000000267</c:v>
                </c:pt>
                <c:pt idx="540">
                  <c:v>34.50150000000027</c:v>
                </c:pt>
                <c:pt idx="541">
                  <c:v>34.501600000000273</c:v>
                </c:pt>
                <c:pt idx="542">
                  <c:v>34.501700000000277</c:v>
                </c:pt>
                <c:pt idx="543">
                  <c:v>34.50180000000028</c:v>
                </c:pt>
                <c:pt idx="544">
                  <c:v>34.501900000000283</c:v>
                </c:pt>
                <c:pt idx="545">
                  <c:v>34.502000000000287</c:v>
                </c:pt>
                <c:pt idx="546">
                  <c:v>34.50210000000029</c:v>
                </c:pt>
                <c:pt idx="547">
                  <c:v>34.502200000000293</c:v>
                </c:pt>
                <c:pt idx="548">
                  <c:v>34.502300000000297</c:v>
                </c:pt>
                <c:pt idx="549">
                  <c:v>34.5024000000003</c:v>
                </c:pt>
                <c:pt idx="550">
                  <c:v>34.502500000000303</c:v>
                </c:pt>
                <c:pt idx="551">
                  <c:v>34.502600000000307</c:v>
                </c:pt>
                <c:pt idx="552">
                  <c:v>34.50270000000031</c:v>
                </c:pt>
                <c:pt idx="553">
                  <c:v>34.502800000000313</c:v>
                </c:pt>
                <c:pt idx="554">
                  <c:v>34.502900000000317</c:v>
                </c:pt>
                <c:pt idx="555">
                  <c:v>34.50300000000032</c:v>
                </c:pt>
                <c:pt idx="556">
                  <c:v>34.503100000000323</c:v>
                </c:pt>
                <c:pt idx="557">
                  <c:v>34.503200000000326</c:v>
                </c:pt>
                <c:pt idx="558">
                  <c:v>34.50330000000033</c:v>
                </c:pt>
                <c:pt idx="559">
                  <c:v>34.503400000000333</c:v>
                </c:pt>
                <c:pt idx="560">
                  <c:v>34.503500000000336</c:v>
                </c:pt>
                <c:pt idx="561">
                  <c:v>34.50360000000034</c:v>
                </c:pt>
                <c:pt idx="562">
                  <c:v>34.503700000000343</c:v>
                </c:pt>
                <c:pt idx="563">
                  <c:v>34.503800000000346</c:v>
                </c:pt>
                <c:pt idx="564">
                  <c:v>34.50390000000035</c:v>
                </c:pt>
                <c:pt idx="565">
                  <c:v>34.504000000000353</c:v>
                </c:pt>
                <c:pt idx="566">
                  <c:v>34.504100000000356</c:v>
                </c:pt>
                <c:pt idx="567">
                  <c:v>34.50420000000036</c:v>
                </c:pt>
                <c:pt idx="568">
                  <c:v>34.504300000000363</c:v>
                </c:pt>
                <c:pt idx="569">
                  <c:v>34.504400000000366</c:v>
                </c:pt>
                <c:pt idx="570">
                  <c:v>34.50450000000037</c:v>
                </c:pt>
                <c:pt idx="571">
                  <c:v>34.504600000000373</c:v>
                </c:pt>
                <c:pt idx="572">
                  <c:v>34.504700000000376</c:v>
                </c:pt>
                <c:pt idx="573">
                  <c:v>34.50480000000038</c:v>
                </c:pt>
                <c:pt idx="574">
                  <c:v>34.504900000000383</c:v>
                </c:pt>
                <c:pt idx="575">
                  <c:v>34.505000000000386</c:v>
                </c:pt>
                <c:pt idx="576">
                  <c:v>34.50510000000039</c:v>
                </c:pt>
                <c:pt idx="577">
                  <c:v>34.505200000000393</c:v>
                </c:pt>
                <c:pt idx="578">
                  <c:v>34.505300000000396</c:v>
                </c:pt>
                <c:pt idx="579">
                  <c:v>34.5054000000004</c:v>
                </c:pt>
                <c:pt idx="580">
                  <c:v>34.505500000000403</c:v>
                </c:pt>
                <c:pt idx="581">
                  <c:v>34.505600000000406</c:v>
                </c:pt>
                <c:pt idx="582">
                  <c:v>34.505700000000409</c:v>
                </c:pt>
                <c:pt idx="583">
                  <c:v>34.505800000000413</c:v>
                </c:pt>
                <c:pt idx="584">
                  <c:v>34.505900000000416</c:v>
                </c:pt>
                <c:pt idx="585">
                  <c:v>34.506000000000419</c:v>
                </c:pt>
                <c:pt idx="586">
                  <c:v>34.506100000000423</c:v>
                </c:pt>
                <c:pt idx="587">
                  <c:v>34.506200000000426</c:v>
                </c:pt>
                <c:pt idx="588">
                  <c:v>34.506300000000429</c:v>
                </c:pt>
                <c:pt idx="589">
                  <c:v>34.506400000000433</c:v>
                </c:pt>
                <c:pt idx="590">
                  <c:v>34.506500000000436</c:v>
                </c:pt>
                <c:pt idx="591">
                  <c:v>34.506600000000439</c:v>
                </c:pt>
                <c:pt idx="592">
                  <c:v>34.506700000000443</c:v>
                </c:pt>
                <c:pt idx="593">
                  <c:v>34.506800000000446</c:v>
                </c:pt>
                <c:pt idx="594">
                  <c:v>34.506900000000449</c:v>
                </c:pt>
                <c:pt idx="595">
                  <c:v>34.507000000000453</c:v>
                </c:pt>
                <c:pt idx="596">
                  <c:v>34.507100000000456</c:v>
                </c:pt>
                <c:pt idx="597">
                  <c:v>34.507200000000459</c:v>
                </c:pt>
                <c:pt idx="598">
                  <c:v>34.507300000000463</c:v>
                </c:pt>
                <c:pt idx="599">
                  <c:v>34.507400000000466</c:v>
                </c:pt>
                <c:pt idx="600">
                  <c:v>34.507500000000469</c:v>
                </c:pt>
                <c:pt idx="601">
                  <c:v>34.507600000000473</c:v>
                </c:pt>
                <c:pt idx="602">
                  <c:v>34.507700000000476</c:v>
                </c:pt>
                <c:pt idx="603">
                  <c:v>34.507800000000479</c:v>
                </c:pt>
                <c:pt idx="604">
                  <c:v>34.507900000000483</c:v>
                </c:pt>
                <c:pt idx="605">
                  <c:v>34.508000000000486</c:v>
                </c:pt>
                <c:pt idx="606">
                  <c:v>34.508100000000489</c:v>
                </c:pt>
                <c:pt idx="607">
                  <c:v>34.508200000000492</c:v>
                </c:pt>
                <c:pt idx="608">
                  <c:v>34.508300000000496</c:v>
                </c:pt>
                <c:pt idx="609">
                  <c:v>34.508400000000499</c:v>
                </c:pt>
                <c:pt idx="610">
                  <c:v>34.508500000000502</c:v>
                </c:pt>
                <c:pt idx="611">
                  <c:v>34.508600000000506</c:v>
                </c:pt>
                <c:pt idx="612">
                  <c:v>34.508700000000509</c:v>
                </c:pt>
                <c:pt idx="613">
                  <c:v>34.508800000000512</c:v>
                </c:pt>
                <c:pt idx="614">
                  <c:v>34.508900000000516</c:v>
                </c:pt>
                <c:pt idx="615">
                  <c:v>34.509000000000519</c:v>
                </c:pt>
                <c:pt idx="616">
                  <c:v>34.509100000000522</c:v>
                </c:pt>
                <c:pt idx="617">
                  <c:v>34.509200000000526</c:v>
                </c:pt>
                <c:pt idx="618">
                  <c:v>34.509300000000529</c:v>
                </c:pt>
                <c:pt idx="619">
                  <c:v>34.509400000000532</c:v>
                </c:pt>
                <c:pt idx="620">
                  <c:v>34.509500000000536</c:v>
                </c:pt>
                <c:pt idx="621">
                  <c:v>34.509600000000539</c:v>
                </c:pt>
                <c:pt idx="622">
                  <c:v>34.509700000000542</c:v>
                </c:pt>
                <c:pt idx="623">
                  <c:v>34.509800000000546</c:v>
                </c:pt>
                <c:pt idx="624">
                  <c:v>34.509900000000549</c:v>
                </c:pt>
                <c:pt idx="625">
                  <c:v>34.510000000000552</c:v>
                </c:pt>
                <c:pt idx="626">
                  <c:v>34.510100000000556</c:v>
                </c:pt>
                <c:pt idx="627">
                  <c:v>34.510200000000559</c:v>
                </c:pt>
                <c:pt idx="628">
                  <c:v>34.510300000000562</c:v>
                </c:pt>
                <c:pt idx="629">
                  <c:v>34.510400000000566</c:v>
                </c:pt>
                <c:pt idx="630">
                  <c:v>34.510500000000569</c:v>
                </c:pt>
                <c:pt idx="631">
                  <c:v>34.510600000000572</c:v>
                </c:pt>
                <c:pt idx="632">
                  <c:v>34.510700000000575</c:v>
                </c:pt>
                <c:pt idx="633">
                  <c:v>34.510800000000579</c:v>
                </c:pt>
                <c:pt idx="634">
                  <c:v>34.510900000000582</c:v>
                </c:pt>
                <c:pt idx="635">
                  <c:v>34.511000000000585</c:v>
                </c:pt>
                <c:pt idx="636">
                  <c:v>34.511100000000589</c:v>
                </c:pt>
                <c:pt idx="637">
                  <c:v>34.511200000000592</c:v>
                </c:pt>
                <c:pt idx="638">
                  <c:v>34.511300000000595</c:v>
                </c:pt>
                <c:pt idx="639">
                  <c:v>34.511400000000599</c:v>
                </c:pt>
                <c:pt idx="640">
                  <c:v>34.511500000000602</c:v>
                </c:pt>
                <c:pt idx="641">
                  <c:v>34.511600000000605</c:v>
                </c:pt>
                <c:pt idx="642">
                  <c:v>34.511700000000609</c:v>
                </c:pt>
                <c:pt idx="643">
                  <c:v>34.511800000000612</c:v>
                </c:pt>
                <c:pt idx="644">
                  <c:v>34.511900000000615</c:v>
                </c:pt>
                <c:pt idx="645">
                  <c:v>34.512000000000619</c:v>
                </c:pt>
                <c:pt idx="646">
                  <c:v>34.512100000000622</c:v>
                </c:pt>
                <c:pt idx="647">
                  <c:v>34.512200000000625</c:v>
                </c:pt>
                <c:pt idx="648">
                  <c:v>34.512300000000629</c:v>
                </c:pt>
                <c:pt idx="649">
                  <c:v>34.512400000000632</c:v>
                </c:pt>
                <c:pt idx="650">
                  <c:v>34.512500000000635</c:v>
                </c:pt>
                <c:pt idx="651">
                  <c:v>34.512600000000639</c:v>
                </c:pt>
                <c:pt idx="652">
                  <c:v>34.512700000000642</c:v>
                </c:pt>
                <c:pt idx="653">
                  <c:v>34.512800000000645</c:v>
                </c:pt>
                <c:pt idx="654">
                  <c:v>34.512900000000649</c:v>
                </c:pt>
                <c:pt idx="655">
                  <c:v>34.513000000000652</c:v>
                </c:pt>
                <c:pt idx="656">
                  <c:v>34.513100000000655</c:v>
                </c:pt>
                <c:pt idx="657">
                  <c:v>34.513200000000658</c:v>
                </c:pt>
                <c:pt idx="658">
                  <c:v>34.513300000000662</c:v>
                </c:pt>
                <c:pt idx="659">
                  <c:v>34.513400000000665</c:v>
                </c:pt>
                <c:pt idx="660">
                  <c:v>34.513500000000668</c:v>
                </c:pt>
                <c:pt idx="661">
                  <c:v>34.513600000000672</c:v>
                </c:pt>
                <c:pt idx="662">
                  <c:v>34.513700000000675</c:v>
                </c:pt>
                <c:pt idx="663">
                  <c:v>34.513800000000678</c:v>
                </c:pt>
                <c:pt idx="664">
                  <c:v>34.513900000000682</c:v>
                </c:pt>
                <c:pt idx="665">
                  <c:v>34.514000000000685</c:v>
                </c:pt>
                <c:pt idx="666">
                  <c:v>34.514100000000688</c:v>
                </c:pt>
                <c:pt idx="667">
                  <c:v>34.514200000000692</c:v>
                </c:pt>
                <c:pt idx="668">
                  <c:v>34.514300000000695</c:v>
                </c:pt>
                <c:pt idx="669">
                  <c:v>34.514400000000698</c:v>
                </c:pt>
                <c:pt idx="670">
                  <c:v>34.514500000000702</c:v>
                </c:pt>
                <c:pt idx="671">
                  <c:v>34.514600000000705</c:v>
                </c:pt>
                <c:pt idx="672">
                  <c:v>34.514700000000708</c:v>
                </c:pt>
                <c:pt idx="673">
                  <c:v>34.514800000000712</c:v>
                </c:pt>
                <c:pt idx="674">
                  <c:v>34.514900000000715</c:v>
                </c:pt>
                <c:pt idx="675">
                  <c:v>34.515000000000718</c:v>
                </c:pt>
                <c:pt idx="676">
                  <c:v>34.515100000000722</c:v>
                </c:pt>
                <c:pt idx="677">
                  <c:v>34.515200000000725</c:v>
                </c:pt>
                <c:pt idx="678">
                  <c:v>34.515300000000728</c:v>
                </c:pt>
                <c:pt idx="679">
                  <c:v>34.515400000000731</c:v>
                </c:pt>
                <c:pt idx="680">
                  <c:v>34.515500000000735</c:v>
                </c:pt>
                <c:pt idx="681">
                  <c:v>34.515600000000738</c:v>
                </c:pt>
                <c:pt idx="682">
                  <c:v>34.515700000000741</c:v>
                </c:pt>
                <c:pt idx="683">
                  <c:v>34.515800000000745</c:v>
                </c:pt>
                <c:pt idx="684">
                  <c:v>34.515900000000748</c:v>
                </c:pt>
                <c:pt idx="685">
                  <c:v>34.516000000000751</c:v>
                </c:pt>
                <c:pt idx="686">
                  <c:v>34.516100000000755</c:v>
                </c:pt>
                <c:pt idx="687">
                  <c:v>34.516200000000758</c:v>
                </c:pt>
                <c:pt idx="688">
                  <c:v>34.516300000000761</c:v>
                </c:pt>
                <c:pt idx="689">
                  <c:v>34.516400000000765</c:v>
                </c:pt>
                <c:pt idx="690">
                  <c:v>34.516500000000768</c:v>
                </c:pt>
                <c:pt idx="691">
                  <c:v>34.516600000000771</c:v>
                </c:pt>
                <c:pt idx="692">
                  <c:v>34.516700000000775</c:v>
                </c:pt>
                <c:pt idx="693">
                  <c:v>34.516800000000778</c:v>
                </c:pt>
                <c:pt idx="694">
                  <c:v>34.516900000000781</c:v>
                </c:pt>
                <c:pt idx="695">
                  <c:v>34.517000000000785</c:v>
                </c:pt>
                <c:pt idx="696">
                  <c:v>34.517100000000788</c:v>
                </c:pt>
                <c:pt idx="697">
                  <c:v>34.517200000000791</c:v>
                </c:pt>
                <c:pt idx="698">
                  <c:v>34.517300000000795</c:v>
                </c:pt>
                <c:pt idx="699">
                  <c:v>34.517400000000798</c:v>
                </c:pt>
                <c:pt idx="700">
                  <c:v>34.517500000000801</c:v>
                </c:pt>
                <c:pt idx="701">
                  <c:v>34.517600000000805</c:v>
                </c:pt>
                <c:pt idx="702">
                  <c:v>34.517700000000808</c:v>
                </c:pt>
                <c:pt idx="703">
                  <c:v>34.517800000000811</c:v>
                </c:pt>
                <c:pt idx="704">
                  <c:v>34.517900000000814</c:v>
                </c:pt>
                <c:pt idx="705">
                  <c:v>34.518000000000818</c:v>
                </c:pt>
                <c:pt idx="706">
                  <c:v>34.518100000000821</c:v>
                </c:pt>
                <c:pt idx="707">
                  <c:v>34.518200000000824</c:v>
                </c:pt>
                <c:pt idx="708">
                  <c:v>34.518300000000828</c:v>
                </c:pt>
                <c:pt idx="709">
                  <c:v>34.518400000000831</c:v>
                </c:pt>
                <c:pt idx="710">
                  <c:v>34.518500000000834</c:v>
                </c:pt>
                <c:pt idx="711">
                  <c:v>34.518600000000838</c:v>
                </c:pt>
                <c:pt idx="712">
                  <c:v>34.518700000000841</c:v>
                </c:pt>
                <c:pt idx="713">
                  <c:v>34.518800000000844</c:v>
                </c:pt>
                <c:pt idx="714">
                  <c:v>34.518900000000848</c:v>
                </c:pt>
                <c:pt idx="715">
                  <c:v>34.519000000000851</c:v>
                </c:pt>
                <c:pt idx="716">
                  <c:v>34.519100000000854</c:v>
                </c:pt>
                <c:pt idx="717">
                  <c:v>34.519200000000858</c:v>
                </c:pt>
                <c:pt idx="718">
                  <c:v>34.519300000000861</c:v>
                </c:pt>
                <c:pt idx="719">
                  <c:v>34.519400000000864</c:v>
                </c:pt>
                <c:pt idx="720">
                  <c:v>34.519500000000868</c:v>
                </c:pt>
                <c:pt idx="721">
                  <c:v>34.519600000000871</c:v>
                </c:pt>
                <c:pt idx="722">
                  <c:v>34.519700000000874</c:v>
                </c:pt>
                <c:pt idx="723">
                  <c:v>34.519800000000878</c:v>
                </c:pt>
                <c:pt idx="724">
                  <c:v>34.519900000000881</c:v>
                </c:pt>
                <c:pt idx="725">
                  <c:v>34.520000000000884</c:v>
                </c:pt>
                <c:pt idx="726">
                  <c:v>34.520100000000888</c:v>
                </c:pt>
                <c:pt idx="727">
                  <c:v>34.520200000000891</c:v>
                </c:pt>
                <c:pt idx="728">
                  <c:v>34.520300000000894</c:v>
                </c:pt>
                <c:pt idx="729">
                  <c:v>34.520400000000897</c:v>
                </c:pt>
                <c:pt idx="730">
                  <c:v>34.520500000000901</c:v>
                </c:pt>
                <c:pt idx="731">
                  <c:v>34.520600000000904</c:v>
                </c:pt>
                <c:pt idx="732">
                  <c:v>34.520700000000907</c:v>
                </c:pt>
                <c:pt idx="733">
                  <c:v>34.520800000000911</c:v>
                </c:pt>
                <c:pt idx="734">
                  <c:v>34.520900000000914</c:v>
                </c:pt>
                <c:pt idx="735">
                  <c:v>34.521000000000917</c:v>
                </c:pt>
                <c:pt idx="736">
                  <c:v>34.521100000000921</c:v>
                </c:pt>
                <c:pt idx="737">
                  <c:v>34.521200000000924</c:v>
                </c:pt>
                <c:pt idx="738">
                  <c:v>34.521300000000927</c:v>
                </c:pt>
                <c:pt idx="739">
                  <c:v>34.521400000000931</c:v>
                </c:pt>
                <c:pt idx="740">
                  <c:v>34.521500000000934</c:v>
                </c:pt>
                <c:pt idx="741">
                  <c:v>34.521600000000937</c:v>
                </c:pt>
                <c:pt idx="742">
                  <c:v>34.521700000000941</c:v>
                </c:pt>
                <c:pt idx="743">
                  <c:v>34.521800000000944</c:v>
                </c:pt>
                <c:pt idx="744">
                  <c:v>34.521900000000947</c:v>
                </c:pt>
                <c:pt idx="745">
                  <c:v>34.522000000000951</c:v>
                </c:pt>
                <c:pt idx="746">
                  <c:v>34.522100000000954</c:v>
                </c:pt>
                <c:pt idx="747">
                  <c:v>34.522200000000957</c:v>
                </c:pt>
                <c:pt idx="748">
                  <c:v>34.522300000000961</c:v>
                </c:pt>
                <c:pt idx="749">
                  <c:v>34.522400000000964</c:v>
                </c:pt>
                <c:pt idx="750">
                  <c:v>34.522500000000967</c:v>
                </c:pt>
                <c:pt idx="751">
                  <c:v>34.522600000000971</c:v>
                </c:pt>
                <c:pt idx="752">
                  <c:v>34.522700000000974</c:v>
                </c:pt>
                <c:pt idx="753">
                  <c:v>34.522800000000977</c:v>
                </c:pt>
                <c:pt idx="754">
                  <c:v>34.52290000000098</c:v>
                </c:pt>
                <c:pt idx="755">
                  <c:v>34.523000000000984</c:v>
                </c:pt>
                <c:pt idx="756">
                  <c:v>34.523100000000987</c:v>
                </c:pt>
                <c:pt idx="757">
                  <c:v>34.52320000000099</c:v>
                </c:pt>
                <c:pt idx="758">
                  <c:v>34.523300000000994</c:v>
                </c:pt>
                <c:pt idx="759">
                  <c:v>34.523400000000997</c:v>
                </c:pt>
                <c:pt idx="760">
                  <c:v>34.523500000001</c:v>
                </c:pt>
                <c:pt idx="761">
                  <c:v>34.523600000001004</c:v>
                </c:pt>
                <c:pt idx="762">
                  <c:v>34.523700000001007</c:v>
                </c:pt>
                <c:pt idx="763">
                  <c:v>34.52380000000101</c:v>
                </c:pt>
                <c:pt idx="764">
                  <c:v>34.523900000001014</c:v>
                </c:pt>
                <c:pt idx="765">
                  <c:v>34.524000000001017</c:v>
                </c:pt>
                <c:pt idx="766">
                  <c:v>34.52410000000102</c:v>
                </c:pt>
                <c:pt idx="767">
                  <c:v>34.524200000001024</c:v>
                </c:pt>
                <c:pt idx="768">
                  <c:v>34.524300000001027</c:v>
                </c:pt>
                <c:pt idx="769">
                  <c:v>34.52440000000103</c:v>
                </c:pt>
                <c:pt idx="770">
                  <c:v>34.524500000001034</c:v>
                </c:pt>
                <c:pt idx="771">
                  <c:v>34.524600000001037</c:v>
                </c:pt>
                <c:pt idx="772">
                  <c:v>34.52470000000104</c:v>
                </c:pt>
                <c:pt idx="773">
                  <c:v>34.524800000001044</c:v>
                </c:pt>
                <c:pt idx="774">
                  <c:v>34.524900000001047</c:v>
                </c:pt>
                <c:pt idx="775">
                  <c:v>34.52500000000105</c:v>
                </c:pt>
                <c:pt idx="776">
                  <c:v>34.525100000001054</c:v>
                </c:pt>
                <c:pt idx="777">
                  <c:v>34.525200000001057</c:v>
                </c:pt>
                <c:pt idx="778">
                  <c:v>34.52530000000106</c:v>
                </c:pt>
                <c:pt idx="779">
                  <c:v>34.525400000001063</c:v>
                </c:pt>
                <c:pt idx="780">
                  <c:v>34.525500000001067</c:v>
                </c:pt>
                <c:pt idx="781">
                  <c:v>34.52560000000107</c:v>
                </c:pt>
                <c:pt idx="782">
                  <c:v>34.525700000001073</c:v>
                </c:pt>
                <c:pt idx="783">
                  <c:v>34.525800000001077</c:v>
                </c:pt>
                <c:pt idx="784">
                  <c:v>34.52590000000108</c:v>
                </c:pt>
                <c:pt idx="785">
                  <c:v>34.526000000001083</c:v>
                </c:pt>
                <c:pt idx="786">
                  <c:v>34.526100000001087</c:v>
                </c:pt>
                <c:pt idx="787">
                  <c:v>34.52620000000109</c:v>
                </c:pt>
                <c:pt idx="788">
                  <c:v>34.526300000001093</c:v>
                </c:pt>
                <c:pt idx="789">
                  <c:v>34.526400000001097</c:v>
                </c:pt>
                <c:pt idx="790">
                  <c:v>34.5265000000011</c:v>
                </c:pt>
                <c:pt idx="791">
                  <c:v>34.526600000001103</c:v>
                </c:pt>
                <c:pt idx="792">
                  <c:v>34.526700000001107</c:v>
                </c:pt>
                <c:pt idx="793">
                  <c:v>34.52680000000111</c:v>
                </c:pt>
                <c:pt idx="794">
                  <c:v>34.526900000001113</c:v>
                </c:pt>
                <c:pt idx="795">
                  <c:v>34.527000000001117</c:v>
                </c:pt>
                <c:pt idx="796">
                  <c:v>34.52710000000112</c:v>
                </c:pt>
                <c:pt idx="797">
                  <c:v>34.527200000001123</c:v>
                </c:pt>
                <c:pt idx="798">
                  <c:v>34.527300000001127</c:v>
                </c:pt>
                <c:pt idx="799">
                  <c:v>34.52740000000113</c:v>
                </c:pt>
                <c:pt idx="800">
                  <c:v>34.527500000001133</c:v>
                </c:pt>
                <c:pt idx="801">
                  <c:v>34.527600000001136</c:v>
                </c:pt>
                <c:pt idx="802">
                  <c:v>34.52770000000114</c:v>
                </c:pt>
                <c:pt idx="803">
                  <c:v>34.527800000001143</c:v>
                </c:pt>
                <c:pt idx="804">
                  <c:v>34.527900000001146</c:v>
                </c:pt>
                <c:pt idx="805">
                  <c:v>34.52800000000115</c:v>
                </c:pt>
                <c:pt idx="806">
                  <c:v>34.528100000001153</c:v>
                </c:pt>
                <c:pt idx="807">
                  <c:v>34.528200000001156</c:v>
                </c:pt>
                <c:pt idx="808">
                  <c:v>34.52830000000116</c:v>
                </c:pt>
                <c:pt idx="809">
                  <c:v>34.528400000001163</c:v>
                </c:pt>
                <c:pt idx="810">
                  <c:v>34.528500000001166</c:v>
                </c:pt>
                <c:pt idx="811">
                  <c:v>34.52860000000117</c:v>
                </c:pt>
                <c:pt idx="812">
                  <c:v>34.528700000001173</c:v>
                </c:pt>
                <c:pt idx="813">
                  <c:v>34.528800000001176</c:v>
                </c:pt>
                <c:pt idx="814">
                  <c:v>34.52890000000118</c:v>
                </c:pt>
                <c:pt idx="815">
                  <c:v>34.529000000001183</c:v>
                </c:pt>
                <c:pt idx="816">
                  <c:v>34.529100000001186</c:v>
                </c:pt>
                <c:pt idx="817">
                  <c:v>34.52920000000119</c:v>
                </c:pt>
                <c:pt idx="818">
                  <c:v>34.529300000001193</c:v>
                </c:pt>
                <c:pt idx="819">
                  <c:v>34.529400000001196</c:v>
                </c:pt>
                <c:pt idx="820">
                  <c:v>34.5295000000012</c:v>
                </c:pt>
                <c:pt idx="821">
                  <c:v>34.529600000001203</c:v>
                </c:pt>
                <c:pt idx="822">
                  <c:v>34.529700000001206</c:v>
                </c:pt>
                <c:pt idx="823">
                  <c:v>34.52980000000121</c:v>
                </c:pt>
                <c:pt idx="824">
                  <c:v>34.529900000001213</c:v>
                </c:pt>
                <c:pt idx="825">
                  <c:v>34.530000000001216</c:v>
                </c:pt>
                <c:pt idx="826">
                  <c:v>34.530100000001219</c:v>
                </c:pt>
                <c:pt idx="827">
                  <c:v>34.530200000001223</c:v>
                </c:pt>
                <c:pt idx="828">
                  <c:v>34.530300000001226</c:v>
                </c:pt>
                <c:pt idx="829">
                  <c:v>34.530400000001229</c:v>
                </c:pt>
                <c:pt idx="830">
                  <c:v>34.530500000001233</c:v>
                </c:pt>
                <c:pt idx="831">
                  <c:v>34.530600000001236</c:v>
                </c:pt>
                <c:pt idx="832">
                  <c:v>34.530700000001239</c:v>
                </c:pt>
                <c:pt idx="833">
                  <c:v>34.530800000001243</c:v>
                </c:pt>
                <c:pt idx="834">
                  <c:v>34.530900000001246</c:v>
                </c:pt>
                <c:pt idx="835">
                  <c:v>34.531000000001249</c:v>
                </c:pt>
                <c:pt idx="836">
                  <c:v>34.531100000001253</c:v>
                </c:pt>
                <c:pt idx="837">
                  <c:v>34.531200000001256</c:v>
                </c:pt>
                <c:pt idx="838">
                  <c:v>34.531300000001259</c:v>
                </c:pt>
                <c:pt idx="839">
                  <c:v>34.531400000001263</c:v>
                </c:pt>
                <c:pt idx="840">
                  <c:v>34.531500000001266</c:v>
                </c:pt>
                <c:pt idx="841">
                  <c:v>34.531600000001269</c:v>
                </c:pt>
                <c:pt idx="842">
                  <c:v>34.531700000001273</c:v>
                </c:pt>
                <c:pt idx="843">
                  <c:v>34.531800000001276</c:v>
                </c:pt>
                <c:pt idx="844">
                  <c:v>34.531900000001279</c:v>
                </c:pt>
                <c:pt idx="845">
                  <c:v>34.532000000001283</c:v>
                </c:pt>
                <c:pt idx="846">
                  <c:v>34.532100000001286</c:v>
                </c:pt>
                <c:pt idx="847">
                  <c:v>34.532200000001289</c:v>
                </c:pt>
                <c:pt idx="848">
                  <c:v>34.532300000001293</c:v>
                </c:pt>
                <c:pt idx="849">
                  <c:v>34.532400000001296</c:v>
                </c:pt>
                <c:pt idx="850">
                  <c:v>34.532500000001299</c:v>
                </c:pt>
                <c:pt idx="851">
                  <c:v>34.532600000001302</c:v>
                </c:pt>
                <c:pt idx="852">
                  <c:v>34.532700000001306</c:v>
                </c:pt>
                <c:pt idx="853">
                  <c:v>34.532800000001309</c:v>
                </c:pt>
                <c:pt idx="854">
                  <c:v>34.532900000001312</c:v>
                </c:pt>
                <c:pt idx="855">
                  <c:v>34.533000000001316</c:v>
                </c:pt>
                <c:pt idx="856">
                  <c:v>34.533100000001319</c:v>
                </c:pt>
                <c:pt idx="857">
                  <c:v>34.533200000001322</c:v>
                </c:pt>
                <c:pt idx="858">
                  <c:v>34.533300000001326</c:v>
                </c:pt>
                <c:pt idx="859">
                  <c:v>34.533400000001329</c:v>
                </c:pt>
                <c:pt idx="860">
                  <c:v>34.533500000001332</c:v>
                </c:pt>
                <c:pt idx="861">
                  <c:v>34.533600000001336</c:v>
                </c:pt>
                <c:pt idx="862">
                  <c:v>34.533700000001339</c:v>
                </c:pt>
                <c:pt idx="863">
                  <c:v>34.533800000001342</c:v>
                </c:pt>
                <c:pt idx="864">
                  <c:v>34.533900000001346</c:v>
                </c:pt>
                <c:pt idx="865">
                  <c:v>34.534000000001349</c:v>
                </c:pt>
                <c:pt idx="866">
                  <c:v>34.534100000001352</c:v>
                </c:pt>
                <c:pt idx="867">
                  <c:v>34.534200000001356</c:v>
                </c:pt>
                <c:pt idx="868">
                  <c:v>34.534300000001359</c:v>
                </c:pt>
                <c:pt idx="869">
                  <c:v>34.534400000001362</c:v>
                </c:pt>
                <c:pt idx="870">
                  <c:v>34.534500000001366</c:v>
                </c:pt>
                <c:pt idx="871">
                  <c:v>34.534600000001369</c:v>
                </c:pt>
                <c:pt idx="872">
                  <c:v>34.534700000001372</c:v>
                </c:pt>
                <c:pt idx="873">
                  <c:v>34.534800000001376</c:v>
                </c:pt>
                <c:pt idx="874">
                  <c:v>34.534900000001379</c:v>
                </c:pt>
                <c:pt idx="875">
                  <c:v>34.535000000001382</c:v>
                </c:pt>
                <c:pt idx="876">
                  <c:v>34.535100000001385</c:v>
                </c:pt>
                <c:pt idx="877">
                  <c:v>34.535200000001389</c:v>
                </c:pt>
                <c:pt idx="878">
                  <c:v>34.535300000001392</c:v>
                </c:pt>
                <c:pt idx="879">
                  <c:v>34.535400000001395</c:v>
                </c:pt>
                <c:pt idx="880">
                  <c:v>34.535500000001399</c:v>
                </c:pt>
                <c:pt idx="881">
                  <c:v>34.535600000001402</c:v>
                </c:pt>
                <c:pt idx="882">
                  <c:v>34.535700000001405</c:v>
                </c:pt>
                <c:pt idx="883">
                  <c:v>34.535800000001409</c:v>
                </c:pt>
                <c:pt idx="884">
                  <c:v>34.535900000001412</c:v>
                </c:pt>
                <c:pt idx="885">
                  <c:v>34.536000000001415</c:v>
                </c:pt>
                <c:pt idx="886">
                  <c:v>34.536100000001419</c:v>
                </c:pt>
                <c:pt idx="887">
                  <c:v>34.536200000001422</c:v>
                </c:pt>
                <c:pt idx="888">
                  <c:v>34.536300000001425</c:v>
                </c:pt>
                <c:pt idx="889">
                  <c:v>34.536400000001429</c:v>
                </c:pt>
                <c:pt idx="890">
                  <c:v>34.536500000001432</c:v>
                </c:pt>
                <c:pt idx="891">
                  <c:v>34.536600000001435</c:v>
                </c:pt>
                <c:pt idx="892">
                  <c:v>34.536700000001439</c:v>
                </c:pt>
                <c:pt idx="893">
                  <c:v>34.536800000001442</c:v>
                </c:pt>
                <c:pt idx="894">
                  <c:v>34.536900000001445</c:v>
                </c:pt>
                <c:pt idx="895">
                  <c:v>34.537000000001449</c:v>
                </c:pt>
                <c:pt idx="896">
                  <c:v>34.537100000001452</c:v>
                </c:pt>
                <c:pt idx="897">
                  <c:v>34.537200000001455</c:v>
                </c:pt>
                <c:pt idx="898">
                  <c:v>34.537300000001458</c:v>
                </c:pt>
                <c:pt idx="899">
                  <c:v>34.537400000001462</c:v>
                </c:pt>
                <c:pt idx="900">
                  <c:v>34.537500000001465</c:v>
                </c:pt>
                <c:pt idx="901">
                  <c:v>34.537600000001468</c:v>
                </c:pt>
                <c:pt idx="902">
                  <c:v>34.537700000001472</c:v>
                </c:pt>
                <c:pt idx="903">
                  <c:v>34.537800000001475</c:v>
                </c:pt>
                <c:pt idx="904">
                  <c:v>34.537900000001478</c:v>
                </c:pt>
                <c:pt idx="905">
                  <c:v>34.538000000001482</c:v>
                </c:pt>
                <c:pt idx="906">
                  <c:v>34.538100000001485</c:v>
                </c:pt>
                <c:pt idx="907">
                  <c:v>34.538200000001488</c:v>
                </c:pt>
                <c:pt idx="908">
                  <c:v>34.538300000001492</c:v>
                </c:pt>
                <c:pt idx="909">
                  <c:v>34.538400000001495</c:v>
                </c:pt>
                <c:pt idx="910">
                  <c:v>34.538500000001498</c:v>
                </c:pt>
                <c:pt idx="911">
                  <c:v>34.538600000001502</c:v>
                </c:pt>
                <c:pt idx="912">
                  <c:v>34.538700000001505</c:v>
                </c:pt>
                <c:pt idx="913">
                  <c:v>34.538800000001508</c:v>
                </c:pt>
                <c:pt idx="914">
                  <c:v>34.538900000001512</c:v>
                </c:pt>
                <c:pt idx="915">
                  <c:v>34.539000000001515</c:v>
                </c:pt>
                <c:pt idx="916">
                  <c:v>34.539100000001518</c:v>
                </c:pt>
                <c:pt idx="917">
                  <c:v>34.539200000001522</c:v>
                </c:pt>
                <c:pt idx="918">
                  <c:v>34.539300000001525</c:v>
                </c:pt>
                <c:pt idx="919">
                  <c:v>34.539400000001528</c:v>
                </c:pt>
                <c:pt idx="920">
                  <c:v>34.539500000001532</c:v>
                </c:pt>
                <c:pt idx="921">
                  <c:v>34.539600000001535</c:v>
                </c:pt>
                <c:pt idx="922">
                  <c:v>34.539700000001538</c:v>
                </c:pt>
                <c:pt idx="923">
                  <c:v>34.539800000001541</c:v>
                </c:pt>
                <c:pt idx="924">
                  <c:v>34.539900000001545</c:v>
                </c:pt>
                <c:pt idx="925">
                  <c:v>34.540000000001548</c:v>
                </c:pt>
                <c:pt idx="926">
                  <c:v>34.540100000001551</c:v>
                </c:pt>
                <c:pt idx="927">
                  <c:v>34.540200000001555</c:v>
                </c:pt>
                <c:pt idx="928">
                  <c:v>34.540300000001558</c:v>
                </c:pt>
                <c:pt idx="929">
                  <c:v>34.540400000001561</c:v>
                </c:pt>
                <c:pt idx="930">
                  <c:v>34.540500000001565</c:v>
                </c:pt>
                <c:pt idx="931">
                  <c:v>34.540600000001568</c:v>
                </c:pt>
                <c:pt idx="932">
                  <c:v>34.540700000001571</c:v>
                </c:pt>
                <c:pt idx="933">
                  <c:v>34.540800000001575</c:v>
                </c:pt>
                <c:pt idx="934">
                  <c:v>34.540900000001578</c:v>
                </c:pt>
                <c:pt idx="935">
                  <c:v>34.541000000001581</c:v>
                </c:pt>
                <c:pt idx="936">
                  <c:v>34.541100000001585</c:v>
                </c:pt>
                <c:pt idx="937">
                  <c:v>34.541200000001588</c:v>
                </c:pt>
                <c:pt idx="938">
                  <c:v>34.541300000001591</c:v>
                </c:pt>
                <c:pt idx="939">
                  <c:v>34.541400000001595</c:v>
                </c:pt>
                <c:pt idx="940">
                  <c:v>34.541500000001598</c:v>
                </c:pt>
                <c:pt idx="941">
                  <c:v>34.541600000001601</c:v>
                </c:pt>
                <c:pt idx="942">
                  <c:v>34.541700000001605</c:v>
                </c:pt>
                <c:pt idx="943">
                  <c:v>34.541800000001608</c:v>
                </c:pt>
                <c:pt idx="944">
                  <c:v>34.541900000001611</c:v>
                </c:pt>
                <c:pt idx="945">
                  <c:v>34.542000000001615</c:v>
                </c:pt>
                <c:pt idx="946">
                  <c:v>34.542100000001618</c:v>
                </c:pt>
                <c:pt idx="947">
                  <c:v>34.542200000001621</c:v>
                </c:pt>
                <c:pt idx="948">
                  <c:v>34.542300000001624</c:v>
                </c:pt>
                <c:pt idx="949">
                  <c:v>34.542400000001628</c:v>
                </c:pt>
                <c:pt idx="950">
                  <c:v>34.542500000001631</c:v>
                </c:pt>
                <c:pt idx="951">
                  <c:v>34.542600000001634</c:v>
                </c:pt>
                <c:pt idx="952">
                  <c:v>34.542700000001638</c:v>
                </c:pt>
                <c:pt idx="953">
                  <c:v>34.542800000001641</c:v>
                </c:pt>
                <c:pt idx="954">
                  <c:v>34.542900000001644</c:v>
                </c:pt>
                <c:pt idx="955">
                  <c:v>34.543000000001648</c:v>
                </c:pt>
                <c:pt idx="956">
                  <c:v>34.543100000001651</c:v>
                </c:pt>
                <c:pt idx="957">
                  <c:v>34.543200000001654</c:v>
                </c:pt>
                <c:pt idx="958">
                  <c:v>34.543300000001658</c:v>
                </c:pt>
                <c:pt idx="959">
                  <c:v>34.543400000001661</c:v>
                </c:pt>
                <c:pt idx="960">
                  <c:v>34.543500000001664</c:v>
                </c:pt>
                <c:pt idx="961">
                  <c:v>34.543600000001668</c:v>
                </c:pt>
                <c:pt idx="962">
                  <c:v>34.543700000001671</c:v>
                </c:pt>
                <c:pt idx="963">
                  <c:v>34.543800000001674</c:v>
                </c:pt>
                <c:pt idx="964">
                  <c:v>34.543900000001678</c:v>
                </c:pt>
                <c:pt idx="965">
                  <c:v>34.544000000001681</c:v>
                </c:pt>
                <c:pt idx="966">
                  <c:v>34.544100000001684</c:v>
                </c:pt>
                <c:pt idx="967">
                  <c:v>34.544200000001688</c:v>
                </c:pt>
                <c:pt idx="968">
                  <c:v>34.544300000001691</c:v>
                </c:pt>
                <c:pt idx="969">
                  <c:v>34.544400000001694</c:v>
                </c:pt>
                <c:pt idx="970">
                  <c:v>34.544500000001698</c:v>
                </c:pt>
                <c:pt idx="971">
                  <c:v>34.544600000001701</c:v>
                </c:pt>
                <c:pt idx="972">
                  <c:v>34.544700000001704</c:v>
                </c:pt>
                <c:pt idx="973">
                  <c:v>34.544800000001707</c:v>
                </c:pt>
                <c:pt idx="974">
                  <c:v>34.544900000001711</c:v>
                </c:pt>
                <c:pt idx="975">
                  <c:v>34.545000000001714</c:v>
                </c:pt>
                <c:pt idx="976">
                  <c:v>34.545100000001717</c:v>
                </c:pt>
                <c:pt idx="977">
                  <c:v>34.545200000001721</c:v>
                </c:pt>
                <c:pt idx="978">
                  <c:v>34.545300000001724</c:v>
                </c:pt>
                <c:pt idx="979">
                  <c:v>34.545400000001727</c:v>
                </c:pt>
                <c:pt idx="980">
                  <c:v>34.545500000001731</c:v>
                </c:pt>
                <c:pt idx="981">
                  <c:v>34.545600000001734</c:v>
                </c:pt>
                <c:pt idx="982">
                  <c:v>34.545700000001737</c:v>
                </c:pt>
                <c:pt idx="983">
                  <c:v>34.545800000001741</c:v>
                </c:pt>
                <c:pt idx="984">
                  <c:v>34.545900000001744</c:v>
                </c:pt>
                <c:pt idx="985">
                  <c:v>34.546000000001747</c:v>
                </c:pt>
                <c:pt idx="986">
                  <c:v>34.546100000001751</c:v>
                </c:pt>
                <c:pt idx="987">
                  <c:v>34.546200000001754</c:v>
                </c:pt>
                <c:pt idx="988">
                  <c:v>34.546300000001757</c:v>
                </c:pt>
                <c:pt idx="989">
                  <c:v>34.546400000001761</c:v>
                </c:pt>
                <c:pt idx="990">
                  <c:v>34.546500000001764</c:v>
                </c:pt>
                <c:pt idx="991">
                  <c:v>34.546600000001767</c:v>
                </c:pt>
                <c:pt idx="992">
                  <c:v>34.546700000001771</c:v>
                </c:pt>
                <c:pt idx="993">
                  <c:v>34.546800000001774</c:v>
                </c:pt>
                <c:pt idx="994">
                  <c:v>34.546900000001777</c:v>
                </c:pt>
                <c:pt idx="995">
                  <c:v>34.547000000001781</c:v>
                </c:pt>
                <c:pt idx="996">
                  <c:v>34.547100000001784</c:v>
                </c:pt>
                <c:pt idx="997">
                  <c:v>34.547200000001787</c:v>
                </c:pt>
                <c:pt idx="998">
                  <c:v>34.54730000000179</c:v>
                </c:pt>
                <c:pt idx="999">
                  <c:v>34.547400000001794</c:v>
                </c:pt>
                <c:pt idx="1000">
                  <c:v>34.547500000001797</c:v>
                </c:pt>
              </c:numCache>
            </c:numRef>
          </c:xVal>
          <c:yVal>
            <c:numRef>
              <c:f>Calculs!$Q$4:$Q$1004</c:f>
              <c:numCache>
                <c:formatCode>0.00</c:formatCode>
                <c:ptCount val="1001"/>
                <c:pt idx="0">
                  <c:v>0</c:v>
                </c:pt>
                <c:pt idx="1">
                  <c:v>246.125</c:v>
                </c:pt>
                <c:pt idx="2">
                  <c:v>930.85500000000002</c:v>
                </c:pt>
                <c:pt idx="3">
                  <c:v>1347.2183333333335</c:v>
                </c:pt>
                <c:pt idx="4">
                  <c:v>1302.7349999999999</c:v>
                </c:pt>
                <c:pt idx="5">
                  <c:v>1258.2516666666666</c:v>
                </c:pt>
                <c:pt idx="6">
                  <c:v>1240.356</c:v>
                </c:pt>
                <c:pt idx="7">
                  <c:v>1249.048</c:v>
                </c:pt>
                <c:pt idx="8">
                  <c:v>1257.74</c:v>
                </c:pt>
                <c:pt idx="9">
                  <c:v>1266.432</c:v>
                </c:pt>
                <c:pt idx="10">
                  <c:v>1275.124</c:v>
                </c:pt>
                <c:pt idx="11">
                  <c:v>1281.066</c:v>
                </c:pt>
                <c:pt idx="12">
                  <c:v>1284.258</c:v>
                </c:pt>
                <c:pt idx="13">
                  <c:v>1287.45</c:v>
                </c:pt>
                <c:pt idx="14">
                  <c:v>1290.6420000000001</c:v>
                </c:pt>
                <c:pt idx="15">
                  <c:v>1293.8340000000001</c:v>
                </c:pt>
                <c:pt idx="16">
                  <c:v>1297.0260000000001</c:v>
                </c:pt>
                <c:pt idx="17">
                  <c:v>1300.2180000000001</c:v>
                </c:pt>
                <c:pt idx="18">
                  <c:v>1303.4100000000001</c:v>
                </c:pt>
                <c:pt idx="19">
                  <c:v>1306.6020000000001</c:v>
                </c:pt>
                <c:pt idx="20">
                  <c:v>1309.7940000000001</c:v>
                </c:pt>
                <c:pt idx="21">
                  <c:v>1311.89</c:v>
                </c:pt>
                <c:pt idx="22">
                  <c:v>1312.89</c:v>
                </c:pt>
                <c:pt idx="23">
                  <c:v>1313.89</c:v>
                </c:pt>
                <c:pt idx="24">
                  <c:v>1314.89</c:v>
                </c:pt>
                <c:pt idx="25">
                  <c:v>1315.89</c:v>
                </c:pt>
                <c:pt idx="26">
                  <c:v>1316.89</c:v>
                </c:pt>
                <c:pt idx="27">
                  <c:v>1317.89</c:v>
                </c:pt>
                <c:pt idx="28">
                  <c:v>1318.89</c:v>
                </c:pt>
                <c:pt idx="29">
                  <c:v>1319.89</c:v>
                </c:pt>
                <c:pt idx="30">
                  <c:v>1320.89</c:v>
                </c:pt>
                <c:pt idx="31">
                  <c:v>1321.89</c:v>
                </c:pt>
                <c:pt idx="32">
                  <c:v>1322.89</c:v>
                </c:pt>
                <c:pt idx="33">
                  <c:v>1323.89</c:v>
                </c:pt>
                <c:pt idx="34">
                  <c:v>1324.89</c:v>
                </c:pt>
                <c:pt idx="35">
                  <c:v>1325.89</c:v>
                </c:pt>
                <c:pt idx="36">
                  <c:v>1326.89</c:v>
                </c:pt>
                <c:pt idx="37">
                  <c:v>1327.89</c:v>
                </c:pt>
                <c:pt idx="38">
                  <c:v>1328.89</c:v>
                </c:pt>
                <c:pt idx="39">
                  <c:v>1329.89</c:v>
                </c:pt>
                <c:pt idx="40">
                  <c:v>1330.89</c:v>
                </c:pt>
                <c:pt idx="41">
                  <c:v>1331.0486250000001</c:v>
                </c:pt>
                <c:pt idx="42">
                  <c:v>1330.3658750000002</c:v>
                </c:pt>
                <c:pt idx="43">
                  <c:v>1329.683125</c:v>
                </c:pt>
                <c:pt idx="44">
                  <c:v>1329.0003750000001</c:v>
                </c:pt>
                <c:pt idx="45">
                  <c:v>1328.3176250000001</c:v>
                </c:pt>
                <c:pt idx="46">
                  <c:v>1327.634875</c:v>
                </c:pt>
                <c:pt idx="47">
                  <c:v>1326.952125</c:v>
                </c:pt>
                <c:pt idx="48">
                  <c:v>1326.2693750000001</c:v>
                </c:pt>
                <c:pt idx="49">
                  <c:v>1325.5866250000001</c:v>
                </c:pt>
                <c:pt idx="50">
                  <c:v>1324.903875</c:v>
                </c:pt>
                <c:pt idx="51">
                  <c:v>1324.221125</c:v>
                </c:pt>
                <c:pt idx="52">
                  <c:v>1323.5383750000001</c:v>
                </c:pt>
                <c:pt idx="53">
                  <c:v>1322.8556249999999</c:v>
                </c:pt>
                <c:pt idx="54">
                  <c:v>1322.172875</c:v>
                </c:pt>
                <c:pt idx="55">
                  <c:v>1321.490125</c:v>
                </c:pt>
                <c:pt idx="56">
                  <c:v>1320.8073750000001</c:v>
                </c:pt>
                <c:pt idx="57">
                  <c:v>1320.1246249999999</c:v>
                </c:pt>
                <c:pt idx="58">
                  <c:v>1319.441875</c:v>
                </c:pt>
                <c:pt idx="59">
                  <c:v>1318.759125</c:v>
                </c:pt>
                <c:pt idx="60">
                  <c:v>1318.0763750000001</c:v>
                </c:pt>
                <c:pt idx="61">
                  <c:v>1317.3936249999999</c:v>
                </c:pt>
                <c:pt idx="62">
                  <c:v>1316.710875</c:v>
                </c:pt>
                <c:pt idx="63">
                  <c:v>1316.028125</c:v>
                </c:pt>
                <c:pt idx="64">
                  <c:v>1315.3453749999999</c:v>
                </c:pt>
                <c:pt idx="65">
                  <c:v>1314.6626249999999</c:v>
                </c:pt>
                <c:pt idx="66">
                  <c:v>1313.979875</c:v>
                </c:pt>
                <c:pt idx="67">
                  <c:v>1313.2971250000001</c:v>
                </c:pt>
                <c:pt idx="68">
                  <c:v>1312.6143749999999</c:v>
                </c:pt>
                <c:pt idx="69">
                  <c:v>1311.9316249999999</c:v>
                </c:pt>
                <c:pt idx="70">
                  <c:v>1311.248875</c:v>
                </c:pt>
                <c:pt idx="71">
                  <c:v>1310.5661249999998</c:v>
                </c:pt>
                <c:pt idx="72">
                  <c:v>1309.8833749999999</c:v>
                </c:pt>
                <c:pt idx="73">
                  <c:v>1309.2006249999999</c:v>
                </c:pt>
                <c:pt idx="74">
                  <c:v>1308.517875</c:v>
                </c:pt>
                <c:pt idx="75">
                  <c:v>1307.8351249999998</c:v>
                </c:pt>
                <c:pt idx="76">
                  <c:v>1307.1523749999999</c:v>
                </c:pt>
                <c:pt idx="77">
                  <c:v>1306.469625</c:v>
                </c:pt>
                <c:pt idx="78">
                  <c:v>1305.786875</c:v>
                </c:pt>
                <c:pt idx="79">
                  <c:v>1305.1041249999998</c:v>
                </c:pt>
                <c:pt idx="80">
                  <c:v>1304.4213749999999</c:v>
                </c:pt>
                <c:pt idx="81">
                  <c:v>1302.9069999999999</c:v>
                </c:pt>
                <c:pt idx="82">
                  <c:v>1300.5609999999999</c:v>
                </c:pt>
                <c:pt idx="83">
                  <c:v>1298.2149999999999</c:v>
                </c:pt>
                <c:pt idx="84">
                  <c:v>1295.8689999999997</c:v>
                </c:pt>
                <c:pt idx="85">
                  <c:v>1293.5229999999997</c:v>
                </c:pt>
                <c:pt idx="86">
                  <c:v>1291.1769999999997</c:v>
                </c:pt>
                <c:pt idx="87">
                  <c:v>1288.8309999999997</c:v>
                </c:pt>
                <c:pt idx="88">
                  <c:v>1286.4849999999997</c:v>
                </c:pt>
                <c:pt idx="89">
                  <c:v>1284.1389999999997</c:v>
                </c:pt>
                <c:pt idx="90">
                  <c:v>1281.7929999999997</c:v>
                </c:pt>
                <c:pt idx="91">
                  <c:v>1279.0819999999997</c:v>
                </c:pt>
                <c:pt idx="92">
                  <c:v>1276.0059999999996</c:v>
                </c:pt>
                <c:pt idx="93">
                  <c:v>1272.9299999999996</c:v>
                </c:pt>
                <c:pt idx="94">
                  <c:v>1269.8539999999998</c:v>
                </c:pt>
                <c:pt idx="95">
                  <c:v>1266.7779999999998</c:v>
                </c:pt>
                <c:pt idx="96">
                  <c:v>1263.7019999999998</c:v>
                </c:pt>
                <c:pt idx="97">
                  <c:v>1260.6259999999997</c:v>
                </c:pt>
                <c:pt idx="98">
                  <c:v>1257.5499999999997</c:v>
                </c:pt>
                <c:pt idx="99">
                  <c:v>1254.4739999999997</c:v>
                </c:pt>
                <c:pt idx="100">
                  <c:v>1251.3979999999997</c:v>
                </c:pt>
                <c:pt idx="101">
                  <c:v>1248.2639999999997</c:v>
                </c:pt>
                <c:pt idx="102">
                  <c:v>1245.0719999999997</c:v>
                </c:pt>
                <c:pt idx="103">
                  <c:v>1241.8799999999997</c:v>
                </c:pt>
                <c:pt idx="104">
                  <c:v>1238.6879999999996</c:v>
                </c:pt>
                <c:pt idx="105">
                  <c:v>1235.4959999999996</c:v>
                </c:pt>
                <c:pt idx="106">
                  <c:v>1232.3039999999996</c:v>
                </c:pt>
                <c:pt idx="107">
                  <c:v>1229.1119999999999</c:v>
                </c:pt>
                <c:pt idx="108">
                  <c:v>1225.9199999999998</c:v>
                </c:pt>
                <c:pt idx="109">
                  <c:v>1222.7279999999998</c:v>
                </c:pt>
                <c:pt idx="110">
                  <c:v>1219.5359999999998</c:v>
                </c:pt>
                <c:pt idx="111">
                  <c:v>1217.0074999999999</c:v>
                </c:pt>
                <c:pt idx="112">
                  <c:v>1215.1424999999999</c:v>
                </c:pt>
                <c:pt idx="113">
                  <c:v>1213.2774999999999</c:v>
                </c:pt>
                <c:pt idx="114">
                  <c:v>1211.4124999999999</c:v>
                </c:pt>
                <c:pt idx="115">
                  <c:v>1209.5474999999999</c:v>
                </c:pt>
                <c:pt idx="116">
                  <c:v>1207.6824999999999</c:v>
                </c:pt>
                <c:pt idx="117">
                  <c:v>1205.8174999999999</c:v>
                </c:pt>
                <c:pt idx="118">
                  <c:v>1203.9524999999999</c:v>
                </c:pt>
                <c:pt idx="119">
                  <c:v>1202.0874999999999</c:v>
                </c:pt>
                <c:pt idx="120">
                  <c:v>1200.2224999999999</c:v>
                </c:pt>
                <c:pt idx="121">
                  <c:v>1197.2639999999997</c:v>
                </c:pt>
                <c:pt idx="122">
                  <c:v>1193.2119999999995</c:v>
                </c:pt>
                <c:pt idx="123">
                  <c:v>1189.1599999999996</c:v>
                </c:pt>
                <c:pt idx="124">
                  <c:v>1185.1079999999995</c:v>
                </c:pt>
                <c:pt idx="125">
                  <c:v>1181.0559999999996</c:v>
                </c:pt>
                <c:pt idx="126">
                  <c:v>1177.0039999999997</c:v>
                </c:pt>
                <c:pt idx="127">
                  <c:v>1172.9519999999995</c:v>
                </c:pt>
                <c:pt idx="128">
                  <c:v>1168.8999999999996</c:v>
                </c:pt>
                <c:pt idx="129">
                  <c:v>1164.8479999999995</c:v>
                </c:pt>
                <c:pt idx="130">
                  <c:v>1160.7959999999996</c:v>
                </c:pt>
                <c:pt idx="131">
                  <c:v>1156.4594999999995</c:v>
                </c:pt>
                <c:pt idx="132">
                  <c:v>1151.8384999999994</c:v>
                </c:pt>
                <c:pt idx="133">
                  <c:v>1147.2174999999995</c:v>
                </c:pt>
                <c:pt idx="134">
                  <c:v>1142.5964999999994</c:v>
                </c:pt>
                <c:pt idx="135">
                  <c:v>1137.9754999999996</c:v>
                </c:pt>
                <c:pt idx="136">
                  <c:v>1133.3544999999995</c:v>
                </c:pt>
                <c:pt idx="137">
                  <c:v>1128.7334999999994</c:v>
                </c:pt>
                <c:pt idx="138">
                  <c:v>1124.1124999999995</c:v>
                </c:pt>
                <c:pt idx="139">
                  <c:v>1119.4914999999994</c:v>
                </c:pt>
                <c:pt idx="140">
                  <c:v>1114.8704999999993</c:v>
                </c:pt>
                <c:pt idx="141">
                  <c:v>1106.868333333332</c:v>
                </c:pt>
                <c:pt idx="142">
                  <c:v>1095.4849999999985</c:v>
                </c:pt>
                <c:pt idx="143">
                  <c:v>1084.1016666666653</c:v>
                </c:pt>
                <c:pt idx="144">
                  <c:v>1072.7183333333319</c:v>
                </c:pt>
                <c:pt idx="145">
                  <c:v>1061.3349999999984</c:v>
                </c:pt>
                <c:pt idx="146">
                  <c:v>1049.9516666666652</c:v>
                </c:pt>
                <c:pt idx="147">
                  <c:v>1038.5683333333318</c:v>
                </c:pt>
                <c:pt idx="148">
                  <c:v>1027.1849999999986</c:v>
                </c:pt>
                <c:pt idx="149">
                  <c:v>1015.8016666666653</c:v>
                </c:pt>
                <c:pt idx="150">
                  <c:v>1004.4183333333319</c:v>
                </c:pt>
                <c:pt idx="151">
                  <c:v>993.03499999999849</c:v>
                </c:pt>
                <c:pt idx="152">
                  <c:v>981.65166666666528</c:v>
                </c:pt>
                <c:pt idx="153">
                  <c:v>970.26833333333184</c:v>
                </c:pt>
                <c:pt idx="154">
                  <c:v>958.88499999999851</c:v>
                </c:pt>
                <c:pt idx="155">
                  <c:v>947.50166666666519</c:v>
                </c:pt>
                <c:pt idx="156">
                  <c:v>920.23599999999465</c:v>
                </c:pt>
                <c:pt idx="157">
                  <c:v>877.08799999999474</c:v>
                </c:pt>
                <c:pt idx="158">
                  <c:v>833.93999999999471</c:v>
                </c:pt>
                <c:pt idx="159">
                  <c:v>790.7919999999948</c:v>
                </c:pt>
                <c:pt idx="160">
                  <c:v>747.64399999999478</c:v>
                </c:pt>
                <c:pt idx="161">
                  <c:v>684.3449999999898</c:v>
                </c:pt>
                <c:pt idx="162">
                  <c:v>600.89499999998975</c:v>
                </c:pt>
                <c:pt idx="163">
                  <c:v>519.36499999998978</c:v>
                </c:pt>
                <c:pt idx="164">
                  <c:v>439.75499999998891</c:v>
                </c:pt>
                <c:pt idx="165">
                  <c:v>379.37749999999403</c:v>
                </c:pt>
                <c:pt idx="166">
                  <c:v>338.23249999999405</c:v>
                </c:pt>
                <c:pt idx="167">
                  <c:v>282.46999999998985</c:v>
                </c:pt>
                <c:pt idx="168">
                  <c:v>222.66499999999292</c:v>
                </c:pt>
                <c:pt idx="169">
                  <c:v>132.67499999998114</c:v>
                </c:pt>
                <c:pt idx="170">
                  <c:v>33.649999999990285</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numCache>
            </c:numRef>
          </c:yVal>
          <c:smooth val="0"/>
          <c:extLst>
            <c:ext xmlns:c16="http://schemas.microsoft.com/office/drawing/2014/chart" uri="{C3380CC4-5D6E-409C-BE32-E72D297353CC}">
              <c16:uniqueId val="{00000000-B98B-46BB-BB51-DAAA2071230C}"/>
            </c:ext>
          </c:extLst>
        </c:ser>
        <c:ser>
          <c:idx val="2"/>
          <c:order val="1"/>
          <c:tx>
            <c:strRef>
              <c:f>Courbes!$B$135</c:f>
              <c:strCache>
                <c:ptCount val="1"/>
                <c:pt idx="0">
                  <c:v>Poids</c:v>
                </c:pt>
              </c:strCache>
            </c:strRef>
          </c:tx>
          <c:spPr>
            <a:ln w="25400">
              <a:solidFill>
                <a:srgbClr val="0000FF"/>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34.500100000000224</c:v>
                </c:pt>
                <c:pt idx="527">
                  <c:v>34.500200000000227</c:v>
                </c:pt>
                <c:pt idx="528">
                  <c:v>34.50030000000023</c:v>
                </c:pt>
                <c:pt idx="529">
                  <c:v>34.500400000000234</c:v>
                </c:pt>
                <c:pt idx="530">
                  <c:v>34.500500000000237</c:v>
                </c:pt>
                <c:pt idx="531">
                  <c:v>34.50060000000024</c:v>
                </c:pt>
                <c:pt idx="532">
                  <c:v>34.500700000000244</c:v>
                </c:pt>
                <c:pt idx="533">
                  <c:v>34.500800000000247</c:v>
                </c:pt>
                <c:pt idx="534">
                  <c:v>34.50090000000025</c:v>
                </c:pt>
                <c:pt idx="535">
                  <c:v>34.501000000000253</c:v>
                </c:pt>
                <c:pt idx="536">
                  <c:v>34.501100000000257</c:v>
                </c:pt>
                <c:pt idx="537">
                  <c:v>34.50120000000026</c:v>
                </c:pt>
                <c:pt idx="538">
                  <c:v>34.501300000000263</c:v>
                </c:pt>
                <c:pt idx="539">
                  <c:v>34.501400000000267</c:v>
                </c:pt>
                <c:pt idx="540">
                  <c:v>34.50150000000027</c:v>
                </c:pt>
                <c:pt idx="541">
                  <c:v>34.501600000000273</c:v>
                </c:pt>
                <c:pt idx="542">
                  <c:v>34.501700000000277</c:v>
                </c:pt>
                <c:pt idx="543">
                  <c:v>34.50180000000028</c:v>
                </c:pt>
                <c:pt idx="544">
                  <c:v>34.501900000000283</c:v>
                </c:pt>
                <c:pt idx="545">
                  <c:v>34.502000000000287</c:v>
                </c:pt>
                <c:pt idx="546">
                  <c:v>34.50210000000029</c:v>
                </c:pt>
                <c:pt idx="547">
                  <c:v>34.502200000000293</c:v>
                </c:pt>
                <c:pt idx="548">
                  <c:v>34.502300000000297</c:v>
                </c:pt>
                <c:pt idx="549">
                  <c:v>34.5024000000003</c:v>
                </c:pt>
                <c:pt idx="550">
                  <c:v>34.502500000000303</c:v>
                </c:pt>
                <c:pt idx="551">
                  <c:v>34.502600000000307</c:v>
                </c:pt>
                <c:pt idx="552">
                  <c:v>34.50270000000031</c:v>
                </c:pt>
                <c:pt idx="553">
                  <c:v>34.502800000000313</c:v>
                </c:pt>
                <c:pt idx="554">
                  <c:v>34.502900000000317</c:v>
                </c:pt>
                <c:pt idx="555">
                  <c:v>34.50300000000032</c:v>
                </c:pt>
                <c:pt idx="556">
                  <c:v>34.503100000000323</c:v>
                </c:pt>
                <c:pt idx="557">
                  <c:v>34.503200000000326</c:v>
                </c:pt>
                <c:pt idx="558">
                  <c:v>34.50330000000033</c:v>
                </c:pt>
                <c:pt idx="559">
                  <c:v>34.503400000000333</c:v>
                </c:pt>
                <c:pt idx="560">
                  <c:v>34.503500000000336</c:v>
                </c:pt>
                <c:pt idx="561">
                  <c:v>34.50360000000034</c:v>
                </c:pt>
                <c:pt idx="562">
                  <c:v>34.503700000000343</c:v>
                </c:pt>
                <c:pt idx="563">
                  <c:v>34.503800000000346</c:v>
                </c:pt>
                <c:pt idx="564">
                  <c:v>34.50390000000035</c:v>
                </c:pt>
                <c:pt idx="565">
                  <c:v>34.504000000000353</c:v>
                </c:pt>
                <c:pt idx="566">
                  <c:v>34.504100000000356</c:v>
                </c:pt>
                <c:pt idx="567">
                  <c:v>34.50420000000036</c:v>
                </c:pt>
                <c:pt idx="568">
                  <c:v>34.504300000000363</c:v>
                </c:pt>
                <c:pt idx="569">
                  <c:v>34.504400000000366</c:v>
                </c:pt>
                <c:pt idx="570">
                  <c:v>34.50450000000037</c:v>
                </c:pt>
                <c:pt idx="571">
                  <c:v>34.504600000000373</c:v>
                </c:pt>
                <c:pt idx="572">
                  <c:v>34.504700000000376</c:v>
                </c:pt>
                <c:pt idx="573">
                  <c:v>34.50480000000038</c:v>
                </c:pt>
                <c:pt idx="574">
                  <c:v>34.504900000000383</c:v>
                </c:pt>
                <c:pt idx="575">
                  <c:v>34.505000000000386</c:v>
                </c:pt>
                <c:pt idx="576">
                  <c:v>34.50510000000039</c:v>
                </c:pt>
                <c:pt idx="577">
                  <c:v>34.505200000000393</c:v>
                </c:pt>
                <c:pt idx="578">
                  <c:v>34.505300000000396</c:v>
                </c:pt>
                <c:pt idx="579">
                  <c:v>34.5054000000004</c:v>
                </c:pt>
                <c:pt idx="580">
                  <c:v>34.505500000000403</c:v>
                </c:pt>
                <c:pt idx="581">
                  <c:v>34.505600000000406</c:v>
                </c:pt>
                <c:pt idx="582">
                  <c:v>34.505700000000409</c:v>
                </c:pt>
                <c:pt idx="583">
                  <c:v>34.505800000000413</c:v>
                </c:pt>
                <c:pt idx="584">
                  <c:v>34.505900000000416</c:v>
                </c:pt>
                <c:pt idx="585">
                  <c:v>34.506000000000419</c:v>
                </c:pt>
                <c:pt idx="586">
                  <c:v>34.506100000000423</c:v>
                </c:pt>
                <c:pt idx="587">
                  <c:v>34.506200000000426</c:v>
                </c:pt>
                <c:pt idx="588">
                  <c:v>34.506300000000429</c:v>
                </c:pt>
                <c:pt idx="589">
                  <c:v>34.506400000000433</c:v>
                </c:pt>
                <c:pt idx="590">
                  <c:v>34.506500000000436</c:v>
                </c:pt>
                <c:pt idx="591">
                  <c:v>34.506600000000439</c:v>
                </c:pt>
                <c:pt idx="592">
                  <c:v>34.506700000000443</c:v>
                </c:pt>
                <c:pt idx="593">
                  <c:v>34.506800000000446</c:v>
                </c:pt>
                <c:pt idx="594">
                  <c:v>34.506900000000449</c:v>
                </c:pt>
                <c:pt idx="595">
                  <c:v>34.507000000000453</c:v>
                </c:pt>
                <c:pt idx="596">
                  <c:v>34.507100000000456</c:v>
                </c:pt>
                <c:pt idx="597">
                  <c:v>34.507200000000459</c:v>
                </c:pt>
                <c:pt idx="598">
                  <c:v>34.507300000000463</c:v>
                </c:pt>
                <c:pt idx="599">
                  <c:v>34.507400000000466</c:v>
                </c:pt>
                <c:pt idx="600">
                  <c:v>34.507500000000469</c:v>
                </c:pt>
                <c:pt idx="601">
                  <c:v>34.507600000000473</c:v>
                </c:pt>
                <c:pt idx="602">
                  <c:v>34.507700000000476</c:v>
                </c:pt>
                <c:pt idx="603">
                  <c:v>34.507800000000479</c:v>
                </c:pt>
                <c:pt idx="604">
                  <c:v>34.507900000000483</c:v>
                </c:pt>
                <c:pt idx="605">
                  <c:v>34.508000000000486</c:v>
                </c:pt>
                <c:pt idx="606">
                  <c:v>34.508100000000489</c:v>
                </c:pt>
                <c:pt idx="607">
                  <c:v>34.508200000000492</c:v>
                </c:pt>
                <c:pt idx="608">
                  <c:v>34.508300000000496</c:v>
                </c:pt>
                <c:pt idx="609">
                  <c:v>34.508400000000499</c:v>
                </c:pt>
                <c:pt idx="610">
                  <c:v>34.508500000000502</c:v>
                </c:pt>
                <c:pt idx="611">
                  <c:v>34.508600000000506</c:v>
                </c:pt>
                <c:pt idx="612">
                  <c:v>34.508700000000509</c:v>
                </c:pt>
                <c:pt idx="613">
                  <c:v>34.508800000000512</c:v>
                </c:pt>
                <c:pt idx="614">
                  <c:v>34.508900000000516</c:v>
                </c:pt>
                <c:pt idx="615">
                  <c:v>34.509000000000519</c:v>
                </c:pt>
                <c:pt idx="616">
                  <c:v>34.509100000000522</c:v>
                </c:pt>
                <c:pt idx="617">
                  <c:v>34.509200000000526</c:v>
                </c:pt>
                <c:pt idx="618">
                  <c:v>34.509300000000529</c:v>
                </c:pt>
                <c:pt idx="619">
                  <c:v>34.509400000000532</c:v>
                </c:pt>
                <c:pt idx="620">
                  <c:v>34.509500000000536</c:v>
                </c:pt>
                <c:pt idx="621">
                  <c:v>34.509600000000539</c:v>
                </c:pt>
                <c:pt idx="622">
                  <c:v>34.509700000000542</c:v>
                </c:pt>
                <c:pt idx="623">
                  <c:v>34.509800000000546</c:v>
                </c:pt>
                <c:pt idx="624">
                  <c:v>34.509900000000549</c:v>
                </c:pt>
                <c:pt idx="625">
                  <c:v>34.510000000000552</c:v>
                </c:pt>
                <c:pt idx="626">
                  <c:v>34.510100000000556</c:v>
                </c:pt>
                <c:pt idx="627">
                  <c:v>34.510200000000559</c:v>
                </c:pt>
                <c:pt idx="628">
                  <c:v>34.510300000000562</c:v>
                </c:pt>
                <c:pt idx="629">
                  <c:v>34.510400000000566</c:v>
                </c:pt>
                <c:pt idx="630">
                  <c:v>34.510500000000569</c:v>
                </c:pt>
                <c:pt idx="631">
                  <c:v>34.510600000000572</c:v>
                </c:pt>
                <c:pt idx="632">
                  <c:v>34.510700000000575</c:v>
                </c:pt>
                <c:pt idx="633">
                  <c:v>34.510800000000579</c:v>
                </c:pt>
                <c:pt idx="634">
                  <c:v>34.510900000000582</c:v>
                </c:pt>
                <c:pt idx="635">
                  <c:v>34.511000000000585</c:v>
                </c:pt>
                <c:pt idx="636">
                  <c:v>34.511100000000589</c:v>
                </c:pt>
                <c:pt idx="637">
                  <c:v>34.511200000000592</c:v>
                </c:pt>
                <c:pt idx="638">
                  <c:v>34.511300000000595</c:v>
                </c:pt>
                <c:pt idx="639">
                  <c:v>34.511400000000599</c:v>
                </c:pt>
                <c:pt idx="640">
                  <c:v>34.511500000000602</c:v>
                </c:pt>
                <c:pt idx="641">
                  <c:v>34.511600000000605</c:v>
                </c:pt>
                <c:pt idx="642">
                  <c:v>34.511700000000609</c:v>
                </c:pt>
                <c:pt idx="643">
                  <c:v>34.511800000000612</c:v>
                </c:pt>
                <c:pt idx="644">
                  <c:v>34.511900000000615</c:v>
                </c:pt>
                <c:pt idx="645">
                  <c:v>34.512000000000619</c:v>
                </c:pt>
                <c:pt idx="646">
                  <c:v>34.512100000000622</c:v>
                </c:pt>
                <c:pt idx="647">
                  <c:v>34.512200000000625</c:v>
                </c:pt>
                <c:pt idx="648">
                  <c:v>34.512300000000629</c:v>
                </c:pt>
                <c:pt idx="649">
                  <c:v>34.512400000000632</c:v>
                </c:pt>
                <c:pt idx="650">
                  <c:v>34.512500000000635</c:v>
                </c:pt>
                <c:pt idx="651">
                  <c:v>34.512600000000639</c:v>
                </c:pt>
                <c:pt idx="652">
                  <c:v>34.512700000000642</c:v>
                </c:pt>
                <c:pt idx="653">
                  <c:v>34.512800000000645</c:v>
                </c:pt>
                <c:pt idx="654">
                  <c:v>34.512900000000649</c:v>
                </c:pt>
                <c:pt idx="655">
                  <c:v>34.513000000000652</c:v>
                </c:pt>
                <c:pt idx="656">
                  <c:v>34.513100000000655</c:v>
                </c:pt>
                <c:pt idx="657">
                  <c:v>34.513200000000658</c:v>
                </c:pt>
                <c:pt idx="658">
                  <c:v>34.513300000000662</c:v>
                </c:pt>
                <c:pt idx="659">
                  <c:v>34.513400000000665</c:v>
                </c:pt>
                <c:pt idx="660">
                  <c:v>34.513500000000668</c:v>
                </c:pt>
                <c:pt idx="661">
                  <c:v>34.513600000000672</c:v>
                </c:pt>
                <c:pt idx="662">
                  <c:v>34.513700000000675</c:v>
                </c:pt>
                <c:pt idx="663">
                  <c:v>34.513800000000678</c:v>
                </c:pt>
                <c:pt idx="664">
                  <c:v>34.513900000000682</c:v>
                </c:pt>
                <c:pt idx="665">
                  <c:v>34.514000000000685</c:v>
                </c:pt>
                <c:pt idx="666">
                  <c:v>34.514100000000688</c:v>
                </c:pt>
                <c:pt idx="667">
                  <c:v>34.514200000000692</c:v>
                </c:pt>
                <c:pt idx="668">
                  <c:v>34.514300000000695</c:v>
                </c:pt>
                <c:pt idx="669">
                  <c:v>34.514400000000698</c:v>
                </c:pt>
                <c:pt idx="670">
                  <c:v>34.514500000000702</c:v>
                </c:pt>
                <c:pt idx="671">
                  <c:v>34.514600000000705</c:v>
                </c:pt>
                <c:pt idx="672">
                  <c:v>34.514700000000708</c:v>
                </c:pt>
                <c:pt idx="673">
                  <c:v>34.514800000000712</c:v>
                </c:pt>
                <c:pt idx="674">
                  <c:v>34.514900000000715</c:v>
                </c:pt>
                <c:pt idx="675">
                  <c:v>34.515000000000718</c:v>
                </c:pt>
                <c:pt idx="676">
                  <c:v>34.515100000000722</c:v>
                </c:pt>
                <c:pt idx="677">
                  <c:v>34.515200000000725</c:v>
                </c:pt>
                <c:pt idx="678">
                  <c:v>34.515300000000728</c:v>
                </c:pt>
                <c:pt idx="679">
                  <c:v>34.515400000000731</c:v>
                </c:pt>
                <c:pt idx="680">
                  <c:v>34.515500000000735</c:v>
                </c:pt>
                <c:pt idx="681">
                  <c:v>34.515600000000738</c:v>
                </c:pt>
                <c:pt idx="682">
                  <c:v>34.515700000000741</c:v>
                </c:pt>
                <c:pt idx="683">
                  <c:v>34.515800000000745</c:v>
                </c:pt>
                <c:pt idx="684">
                  <c:v>34.515900000000748</c:v>
                </c:pt>
                <c:pt idx="685">
                  <c:v>34.516000000000751</c:v>
                </c:pt>
                <c:pt idx="686">
                  <c:v>34.516100000000755</c:v>
                </c:pt>
                <c:pt idx="687">
                  <c:v>34.516200000000758</c:v>
                </c:pt>
                <c:pt idx="688">
                  <c:v>34.516300000000761</c:v>
                </c:pt>
                <c:pt idx="689">
                  <c:v>34.516400000000765</c:v>
                </c:pt>
                <c:pt idx="690">
                  <c:v>34.516500000000768</c:v>
                </c:pt>
                <c:pt idx="691">
                  <c:v>34.516600000000771</c:v>
                </c:pt>
                <c:pt idx="692">
                  <c:v>34.516700000000775</c:v>
                </c:pt>
                <c:pt idx="693">
                  <c:v>34.516800000000778</c:v>
                </c:pt>
                <c:pt idx="694">
                  <c:v>34.516900000000781</c:v>
                </c:pt>
                <c:pt idx="695">
                  <c:v>34.517000000000785</c:v>
                </c:pt>
                <c:pt idx="696">
                  <c:v>34.517100000000788</c:v>
                </c:pt>
                <c:pt idx="697">
                  <c:v>34.517200000000791</c:v>
                </c:pt>
                <c:pt idx="698">
                  <c:v>34.517300000000795</c:v>
                </c:pt>
                <c:pt idx="699">
                  <c:v>34.517400000000798</c:v>
                </c:pt>
                <c:pt idx="700">
                  <c:v>34.517500000000801</c:v>
                </c:pt>
                <c:pt idx="701">
                  <c:v>34.517600000000805</c:v>
                </c:pt>
                <c:pt idx="702">
                  <c:v>34.517700000000808</c:v>
                </c:pt>
                <c:pt idx="703">
                  <c:v>34.517800000000811</c:v>
                </c:pt>
                <c:pt idx="704">
                  <c:v>34.517900000000814</c:v>
                </c:pt>
                <c:pt idx="705">
                  <c:v>34.518000000000818</c:v>
                </c:pt>
                <c:pt idx="706">
                  <c:v>34.518100000000821</c:v>
                </c:pt>
                <c:pt idx="707">
                  <c:v>34.518200000000824</c:v>
                </c:pt>
                <c:pt idx="708">
                  <c:v>34.518300000000828</c:v>
                </c:pt>
                <c:pt idx="709">
                  <c:v>34.518400000000831</c:v>
                </c:pt>
                <c:pt idx="710">
                  <c:v>34.518500000000834</c:v>
                </c:pt>
                <c:pt idx="711">
                  <c:v>34.518600000000838</c:v>
                </c:pt>
                <c:pt idx="712">
                  <c:v>34.518700000000841</c:v>
                </c:pt>
                <c:pt idx="713">
                  <c:v>34.518800000000844</c:v>
                </c:pt>
                <c:pt idx="714">
                  <c:v>34.518900000000848</c:v>
                </c:pt>
                <c:pt idx="715">
                  <c:v>34.519000000000851</c:v>
                </c:pt>
                <c:pt idx="716">
                  <c:v>34.519100000000854</c:v>
                </c:pt>
                <c:pt idx="717">
                  <c:v>34.519200000000858</c:v>
                </c:pt>
                <c:pt idx="718">
                  <c:v>34.519300000000861</c:v>
                </c:pt>
                <c:pt idx="719">
                  <c:v>34.519400000000864</c:v>
                </c:pt>
                <c:pt idx="720">
                  <c:v>34.519500000000868</c:v>
                </c:pt>
                <c:pt idx="721">
                  <c:v>34.519600000000871</c:v>
                </c:pt>
                <c:pt idx="722">
                  <c:v>34.519700000000874</c:v>
                </c:pt>
                <c:pt idx="723">
                  <c:v>34.519800000000878</c:v>
                </c:pt>
                <c:pt idx="724">
                  <c:v>34.519900000000881</c:v>
                </c:pt>
                <c:pt idx="725">
                  <c:v>34.520000000000884</c:v>
                </c:pt>
                <c:pt idx="726">
                  <c:v>34.520100000000888</c:v>
                </c:pt>
                <c:pt idx="727">
                  <c:v>34.520200000000891</c:v>
                </c:pt>
                <c:pt idx="728">
                  <c:v>34.520300000000894</c:v>
                </c:pt>
                <c:pt idx="729">
                  <c:v>34.520400000000897</c:v>
                </c:pt>
                <c:pt idx="730">
                  <c:v>34.520500000000901</c:v>
                </c:pt>
                <c:pt idx="731">
                  <c:v>34.520600000000904</c:v>
                </c:pt>
                <c:pt idx="732">
                  <c:v>34.520700000000907</c:v>
                </c:pt>
                <c:pt idx="733">
                  <c:v>34.520800000000911</c:v>
                </c:pt>
                <c:pt idx="734">
                  <c:v>34.520900000000914</c:v>
                </c:pt>
                <c:pt idx="735">
                  <c:v>34.521000000000917</c:v>
                </c:pt>
                <c:pt idx="736">
                  <c:v>34.521100000000921</c:v>
                </c:pt>
                <c:pt idx="737">
                  <c:v>34.521200000000924</c:v>
                </c:pt>
                <c:pt idx="738">
                  <c:v>34.521300000000927</c:v>
                </c:pt>
                <c:pt idx="739">
                  <c:v>34.521400000000931</c:v>
                </c:pt>
                <c:pt idx="740">
                  <c:v>34.521500000000934</c:v>
                </c:pt>
                <c:pt idx="741">
                  <c:v>34.521600000000937</c:v>
                </c:pt>
                <c:pt idx="742">
                  <c:v>34.521700000000941</c:v>
                </c:pt>
                <c:pt idx="743">
                  <c:v>34.521800000000944</c:v>
                </c:pt>
                <c:pt idx="744">
                  <c:v>34.521900000000947</c:v>
                </c:pt>
                <c:pt idx="745">
                  <c:v>34.522000000000951</c:v>
                </c:pt>
                <c:pt idx="746">
                  <c:v>34.522100000000954</c:v>
                </c:pt>
                <c:pt idx="747">
                  <c:v>34.522200000000957</c:v>
                </c:pt>
                <c:pt idx="748">
                  <c:v>34.522300000000961</c:v>
                </c:pt>
                <c:pt idx="749">
                  <c:v>34.522400000000964</c:v>
                </c:pt>
                <c:pt idx="750">
                  <c:v>34.522500000000967</c:v>
                </c:pt>
                <c:pt idx="751">
                  <c:v>34.522600000000971</c:v>
                </c:pt>
                <c:pt idx="752">
                  <c:v>34.522700000000974</c:v>
                </c:pt>
                <c:pt idx="753">
                  <c:v>34.522800000000977</c:v>
                </c:pt>
                <c:pt idx="754">
                  <c:v>34.52290000000098</c:v>
                </c:pt>
                <c:pt idx="755">
                  <c:v>34.523000000000984</c:v>
                </c:pt>
                <c:pt idx="756">
                  <c:v>34.523100000000987</c:v>
                </c:pt>
                <c:pt idx="757">
                  <c:v>34.52320000000099</c:v>
                </c:pt>
                <c:pt idx="758">
                  <c:v>34.523300000000994</c:v>
                </c:pt>
                <c:pt idx="759">
                  <c:v>34.523400000000997</c:v>
                </c:pt>
                <c:pt idx="760">
                  <c:v>34.523500000001</c:v>
                </c:pt>
                <c:pt idx="761">
                  <c:v>34.523600000001004</c:v>
                </c:pt>
                <c:pt idx="762">
                  <c:v>34.523700000001007</c:v>
                </c:pt>
                <c:pt idx="763">
                  <c:v>34.52380000000101</c:v>
                </c:pt>
                <c:pt idx="764">
                  <c:v>34.523900000001014</c:v>
                </c:pt>
                <c:pt idx="765">
                  <c:v>34.524000000001017</c:v>
                </c:pt>
                <c:pt idx="766">
                  <c:v>34.52410000000102</c:v>
                </c:pt>
                <c:pt idx="767">
                  <c:v>34.524200000001024</c:v>
                </c:pt>
                <c:pt idx="768">
                  <c:v>34.524300000001027</c:v>
                </c:pt>
                <c:pt idx="769">
                  <c:v>34.52440000000103</c:v>
                </c:pt>
                <c:pt idx="770">
                  <c:v>34.524500000001034</c:v>
                </c:pt>
                <c:pt idx="771">
                  <c:v>34.524600000001037</c:v>
                </c:pt>
                <c:pt idx="772">
                  <c:v>34.52470000000104</c:v>
                </c:pt>
                <c:pt idx="773">
                  <c:v>34.524800000001044</c:v>
                </c:pt>
                <c:pt idx="774">
                  <c:v>34.524900000001047</c:v>
                </c:pt>
                <c:pt idx="775">
                  <c:v>34.52500000000105</c:v>
                </c:pt>
                <c:pt idx="776">
                  <c:v>34.525100000001054</c:v>
                </c:pt>
                <c:pt idx="777">
                  <c:v>34.525200000001057</c:v>
                </c:pt>
                <c:pt idx="778">
                  <c:v>34.52530000000106</c:v>
                </c:pt>
                <c:pt idx="779">
                  <c:v>34.525400000001063</c:v>
                </c:pt>
                <c:pt idx="780">
                  <c:v>34.525500000001067</c:v>
                </c:pt>
                <c:pt idx="781">
                  <c:v>34.52560000000107</c:v>
                </c:pt>
                <c:pt idx="782">
                  <c:v>34.525700000001073</c:v>
                </c:pt>
                <c:pt idx="783">
                  <c:v>34.525800000001077</c:v>
                </c:pt>
                <c:pt idx="784">
                  <c:v>34.52590000000108</c:v>
                </c:pt>
                <c:pt idx="785">
                  <c:v>34.526000000001083</c:v>
                </c:pt>
                <c:pt idx="786">
                  <c:v>34.526100000001087</c:v>
                </c:pt>
                <c:pt idx="787">
                  <c:v>34.52620000000109</c:v>
                </c:pt>
                <c:pt idx="788">
                  <c:v>34.526300000001093</c:v>
                </c:pt>
                <c:pt idx="789">
                  <c:v>34.526400000001097</c:v>
                </c:pt>
                <c:pt idx="790">
                  <c:v>34.5265000000011</c:v>
                </c:pt>
                <c:pt idx="791">
                  <c:v>34.526600000001103</c:v>
                </c:pt>
                <c:pt idx="792">
                  <c:v>34.526700000001107</c:v>
                </c:pt>
                <c:pt idx="793">
                  <c:v>34.52680000000111</c:v>
                </c:pt>
                <c:pt idx="794">
                  <c:v>34.526900000001113</c:v>
                </c:pt>
                <c:pt idx="795">
                  <c:v>34.527000000001117</c:v>
                </c:pt>
                <c:pt idx="796">
                  <c:v>34.52710000000112</c:v>
                </c:pt>
                <c:pt idx="797">
                  <c:v>34.527200000001123</c:v>
                </c:pt>
                <c:pt idx="798">
                  <c:v>34.527300000001127</c:v>
                </c:pt>
                <c:pt idx="799">
                  <c:v>34.52740000000113</c:v>
                </c:pt>
                <c:pt idx="800">
                  <c:v>34.527500000001133</c:v>
                </c:pt>
                <c:pt idx="801">
                  <c:v>34.527600000001136</c:v>
                </c:pt>
                <c:pt idx="802">
                  <c:v>34.52770000000114</c:v>
                </c:pt>
                <c:pt idx="803">
                  <c:v>34.527800000001143</c:v>
                </c:pt>
                <c:pt idx="804">
                  <c:v>34.527900000001146</c:v>
                </c:pt>
                <c:pt idx="805">
                  <c:v>34.52800000000115</c:v>
                </c:pt>
                <c:pt idx="806">
                  <c:v>34.528100000001153</c:v>
                </c:pt>
                <c:pt idx="807">
                  <c:v>34.528200000001156</c:v>
                </c:pt>
                <c:pt idx="808">
                  <c:v>34.52830000000116</c:v>
                </c:pt>
                <c:pt idx="809">
                  <c:v>34.528400000001163</c:v>
                </c:pt>
                <c:pt idx="810">
                  <c:v>34.528500000001166</c:v>
                </c:pt>
                <c:pt idx="811">
                  <c:v>34.52860000000117</c:v>
                </c:pt>
                <c:pt idx="812">
                  <c:v>34.528700000001173</c:v>
                </c:pt>
                <c:pt idx="813">
                  <c:v>34.528800000001176</c:v>
                </c:pt>
                <c:pt idx="814">
                  <c:v>34.52890000000118</c:v>
                </c:pt>
                <c:pt idx="815">
                  <c:v>34.529000000001183</c:v>
                </c:pt>
                <c:pt idx="816">
                  <c:v>34.529100000001186</c:v>
                </c:pt>
                <c:pt idx="817">
                  <c:v>34.52920000000119</c:v>
                </c:pt>
                <c:pt idx="818">
                  <c:v>34.529300000001193</c:v>
                </c:pt>
                <c:pt idx="819">
                  <c:v>34.529400000001196</c:v>
                </c:pt>
                <c:pt idx="820">
                  <c:v>34.5295000000012</c:v>
                </c:pt>
                <c:pt idx="821">
                  <c:v>34.529600000001203</c:v>
                </c:pt>
                <c:pt idx="822">
                  <c:v>34.529700000001206</c:v>
                </c:pt>
                <c:pt idx="823">
                  <c:v>34.52980000000121</c:v>
                </c:pt>
                <c:pt idx="824">
                  <c:v>34.529900000001213</c:v>
                </c:pt>
                <c:pt idx="825">
                  <c:v>34.530000000001216</c:v>
                </c:pt>
                <c:pt idx="826">
                  <c:v>34.530100000001219</c:v>
                </c:pt>
                <c:pt idx="827">
                  <c:v>34.530200000001223</c:v>
                </c:pt>
                <c:pt idx="828">
                  <c:v>34.530300000001226</c:v>
                </c:pt>
                <c:pt idx="829">
                  <c:v>34.530400000001229</c:v>
                </c:pt>
                <c:pt idx="830">
                  <c:v>34.530500000001233</c:v>
                </c:pt>
                <c:pt idx="831">
                  <c:v>34.530600000001236</c:v>
                </c:pt>
                <c:pt idx="832">
                  <c:v>34.530700000001239</c:v>
                </c:pt>
                <c:pt idx="833">
                  <c:v>34.530800000001243</c:v>
                </c:pt>
                <c:pt idx="834">
                  <c:v>34.530900000001246</c:v>
                </c:pt>
                <c:pt idx="835">
                  <c:v>34.531000000001249</c:v>
                </c:pt>
                <c:pt idx="836">
                  <c:v>34.531100000001253</c:v>
                </c:pt>
                <c:pt idx="837">
                  <c:v>34.531200000001256</c:v>
                </c:pt>
                <c:pt idx="838">
                  <c:v>34.531300000001259</c:v>
                </c:pt>
                <c:pt idx="839">
                  <c:v>34.531400000001263</c:v>
                </c:pt>
                <c:pt idx="840">
                  <c:v>34.531500000001266</c:v>
                </c:pt>
                <c:pt idx="841">
                  <c:v>34.531600000001269</c:v>
                </c:pt>
                <c:pt idx="842">
                  <c:v>34.531700000001273</c:v>
                </c:pt>
                <c:pt idx="843">
                  <c:v>34.531800000001276</c:v>
                </c:pt>
                <c:pt idx="844">
                  <c:v>34.531900000001279</c:v>
                </c:pt>
                <c:pt idx="845">
                  <c:v>34.532000000001283</c:v>
                </c:pt>
                <c:pt idx="846">
                  <c:v>34.532100000001286</c:v>
                </c:pt>
                <c:pt idx="847">
                  <c:v>34.532200000001289</c:v>
                </c:pt>
                <c:pt idx="848">
                  <c:v>34.532300000001293</c:v>
                </c:pt>
                <c:pt idx="849">
                  <c:v>34.532400000001296</c:v>
                </c:pt>
                <c:pt idx="850">
                  <c:v>34.532500000001299</c:v>
                </c:pt>
                <c:pt idx="851">
                  <c:v>34.532600000001302</c:v>
                </c:pt>
                <c:pt idx="852">
                  <c:v>34.532700000001306</c:v>
                </c:pt>
                <c:pt idx="853">
                  <c:v>34.532800000001309</c:v>
                </c:pt>
                <c:pt idx="854">
                  <c:v>34.532900000001312</c:v>
                </c:pt>
                <c:pt idx="855">
                  <c:v>34.533000000001316</c:v>
                </c:pt>
                <c:pt idx="856">
                  <c:v>34.533100000001319</c:v>
                </c:pt>
                <c:pt idx="857">
                  <c:v>34.533200000001322</c:v>
                </c:pt>
                <c:pt idx="858">
                  <c:v>34.533300000001326</c:v>
                </c:pt>
                <c:pt idx="859">
                  <c:v>34.533400000001329</c:v>
                </c:pt>
                <c:pt idx="860">
                  <c:v>34.533500000001332</c:v>
                </c:pt>
                <c:pt idx="861">
                  <c:v>34.533600000001336</c:v>
                </c:pt>
                <c:pt idx="862">
                  <c:v>34.533700000001339</c:v>
                </c:pt>
                <c:pt idx="863">
                  <c:v>34.533800000001342</c:v>
                </c:pt>
                <c:pt idx="864">
                  <c:v>34.533900000001346</c:v>
                </c:pt>
                <c:pt idx="865">
                  <c:v>34.534000000001349</c:v>
                </c:pt>
                <c:pt idx="866">
                  <c:v>34.534100000001352</c:v>
                </c:pt>
                <c:pt idx="867">
                  <c:v>34.534200000001356</c:v>
                </c:pt>
                <c:pt idx="868">
                  <c:v>34.534300000001359</c:v>
                </c:pt>
                <c:pt idx="869">
                  <c:v>34.534400000001362</c:v>
                </c:pt>
                <c:pt idx="870">
                  <c:v>34.534500000001366</c:v>
                </c:pt>
                <c:pt idx="871">
                  <c:v>34.534600000001369</c:v>
                </c:pt>
                <c:pt idx="872">
                  <c:v>34.534700000001372</c:v>
                </c:pt>
                <c:pt idx="873">
                  <c:v>34.534800000001376</c:v>
                </c:pt>
                <c:pt idx="874">
                  <c:v>34.534900000001379</c:v>
                </c:pt>
                <c:pt idx="875">
                  <c:v>34.535000000001382</c:v>
                </c:pt>
                <c:pt idx="876">
                  <c:v>34.535100000001385</c:v>
                </c:pt>
                <c:pt idx="877">
                  <c:v>34.535200000001389</c:v>
                </c:pt>
                <c:pt idx="878">
                  <c:v>34.535300000001392</c:v>
                </c:pt>
                <c:pt idx="879">
                  <c:v>34.535400000001395</c:v>
                </c:pt>
                <c:pt idx="880">
                  <c:v>34.535500000001399</c:v>
                </c:pt>
                <c:pt idx="881">
                  <c:v>34.535600000001402</c:v>
                </c:pt>
                <c:pt idx="882">
                  <c:v>34.535700000001405</c:v>
                </c:pt>
                <c:pt idx="883">
                  <c:v>34.535800000001409</c:v>
                </c:pt>
                <c:pt idx="884">
                  <c:v>34.535900000001412</c:v>
                </c:pt>
                <c:pt idx="885">
                  <c:v>34.536000000001415</c:v>
                </c:pt>
                <c:pt idx="886">
                  <c:v>34.536100000001419</c:v>
                </c:pt>
                <c:pt idx="887">
                  <c:v>34.536200000001422</c:v>
                </c:pt>
                <c:pt idx="888">
                  <c:v>34.536300000001425</c:v>
                </c:pt>
                <c:pt idx="889">
                  <c:v>34.536400000001429</c:v>
                </c:pt>
                <c:pt idx="890">
                  <c:v>34.536500000001432</c:v>
                </c:pt>
                <c:pt idx="891">
                  <c:v>34.536600000001435</c:v>
                </c:pt>
                <c:pt idx="892">
                  <c:v>34.536700000001439</c:v>
                </c:pt>
                <c:pt idx="893">
                  <c:v>34.536800000001442</c:v>
                </c:pt>
                <c:pt idx="894">
                  <c:v>34.536900000001445</c:v>
                </c:pt>
                <c:pt idx="895">
                  <c:v>34.537000000001449</c:v>
                </c:pt>
                <c:pt idx="896">
                  <c:v>34.537100000001452</c:v>
                </c:pt>
                <c:pt idx="897">
                  <c:v>34.537200000001455</c:v>
                </c:pt>
                <c:pt idx="898">
                  <c:v>34.537300000001458</c:v>
                </c:pt>
                <c:pt idx="899">
                  <c:v>34.537400000001462</c:v>
                </c:pt>
                <c:pt idx="900">
                  <c:v>34.537500000001465</c:v>
                </c:pt>
                <c:pt idx="901">
                  <c:v>34.537600000001468</c:v>
                </c:pt>
                <c:pt idx="902">
                  <c:v>34.537700000001472</c:v>
                </c:pt>
                <c:pt idx="903">
                  <c:v>34.537800000001475</c:v>
                </c:pt>
                <c:pt idx="904">
                  <c:v>34.537900000001478</c:v>
                </c:pt>
                <c:pt idx="905">
                  <c:v>34.538000000001482</c:v>
                </c:pt>
                <c:pt idx="906">
                  <c:v>34.538100000001485</c:v>
                </c:pt>
                <c:pt idx="907">
                  <c:v>34.538200000001488</c:v>
                </c:pt>
                <c:pt idx="908">
                  <c:v>34.538300000001492</c:v>
                </c:pt>
                <c:pt idx="909">
                  <c:v>34.538400000001495</c:v>
                </c:pt>
                <c:pt idx="910">
                  <c:v>34.538500000001498</c:v>
                </c:pt>
                <c:pt idx="911">
                  <c:v>34.538600000001502</c:v>
                </c:pt>
                <c:pt idx="912">
                  <c:v>34.538700000001505</c:v>
                </c:pt>
                <c:pt idx="913">
                  <c:v>34.538800000001508</c:v>
                </c:pt>
                <c:pt idx="914">
                  <c:v>34.538900000001512</c:v>
                </c:pt>
                <c:pt idx="915">
                  <c:v>34.539000000001515</c:v>
                </c:pt>
                <c:pt idx="916">
                  <c:v>34.539100000001518</c:v>
                </c:pt>
                <c:pt idx="917">
                  <c:v>34.539200000001522</c:v>
                </c:pt>
                <c:pt idx="918">
                  <c:v>34.539300000001525</c:v>
                </c:pt>
                <c:pt idx="919">
                  <c:v>34.539400000001528</c:v>
                </c:pt>
                <c:pt idx="920">
                  <c:v>34.539500000001532</c:v>
                </c:pt>
                <c:pt idx="921">
                  <c:v>34.539600000001535</c:v>
                </c:pt>
                <c:pt idx="922">
                  <c:v>34.539700000001538</c:v>
                </c:pt>
                <c:pt idx="923">
                  <c:v>34.539800000001541</c:v>
                </c:pt>
                <c:pt idx="924">
                  <c:v>34.539900000001545</c:v>
                </c:pt>
                <c:pt idx="925">
                  <c:v>34.540000000001548</c:v>
                </c:pt>
                <c:pt idx="926">
                  <c:v>34.540100000001551</c:v>
                </c:pt>
                <c:pt idx="927">
                  <c:v>34.540200000001555</c:v>
                </c:pt>
                <c:pt idx="928">
                  <c:v>34.540300000001558</c:v>
                </c:pt>
                <c:pt idx="929">
                  <c:v>34.540400000001561</c:v>
                </c:pt>
                <c:pt idx="930">
                  <c:v>34.540500000001565</c:v>
                </c:pt>
                <c:pt idx="931">
                  <c:v>34.540600000001568</c:v>
                </c:pt>
                <c:pt idx="932">
                  <c:v>34.540700000001571</c:v>
                </c:pt>
                <c:pt idx="933">
                  <c:v>34.540800000001575</c:v>
                </c:pt>
                <c:pt idx="934">
                  <c:v>34.540900000001578</c:v>
                </c:pt>
                <c:pt idx="935">
                  <c:v>34.541000000001581</c:v>
                </c:pt>
                <c:pt idx="936">
                  <c:v>34.541100000001585</c:v>
                </c:pt>
                <c:pt idx="937">
                  <c:v>34.541200000001588</c:v>
                </c:pt>
                <c:pt idx="938">
                  <c:v>34.541300000001591</c:v>
                </c:pt>
                <c:pt idx="939">
                  <c:v>34.541400000001595</c:v>
                </c:pt>
                <c:pt idx="940">
                  <c:v>34.541500000001598</c:v>
                </c:pt>
                <c:pt idx="941">
                  <c:v>34.541600000001601</c:v>
                </c:pt>
                <c:pt idx="942">
                  <c:v>34.541700000001605</c:v>
                </c:pt>
                <c:pt idx="943">
                  <c:v>34.541800000001608</c:v>
                </c:pt>
                <c:pt idx="944">
                  <c:v>34.541900000001611</c:v>
                </c:pt>
                <c:pt idx="945">
                  <c:v>34.542000000001615</c:v>
                </c:pt>
                <c:pt idx="946">
                  <c:v>34.542100000001618</c:v>
                </c:pt>
                <c:pt idx="947">
                  <c:v>34.542200000001621</c:v>
                </c:pt>
                <c:pt idx="948">
                  <c:v>34.542300000001624</c:v>
                </c:pt>
                <c:pt idx="949">
                  <c:v>34.542400000001628</c:v>
                </c:pt>
                <c:pt idx="950">
                  <c:v>34.542500000001631</c:v>
                </c:pt>
                <c:pt idx="951">
                  <c:v>34.542600000001634</c:v>
                </c:pt>
                <c:pt idx="952">
                  <c:v>34.542700000001638</c:v>
                </c:pt>
                <c:pt idx="953">
                  <c:v>34.542800000001641</c:v>
                </c:pt>
                <c:pt idx="954">
                  <c:v>34.542900000001644</c:v>
                </c:pt>
                <c:pt idx="955">
                  <c:v>34.543000000001648</c:v>
                </c:pt>
                <c:pt idx="956">
                  <c:v>34.543100000001651</c:v>
                </c:pt>
                <c:pt idx="957">
                  <c:v>34.543200000001654</c:v>
                </c:pt>
                <c:pt idx="958">
                  <c:v>34.543300000001658</c:v>
                </c:pt>
                <c:pt idx="959">
                  <c:v>34.543400000001661</c:v>
                </c:pt>
                <c:pt idx="960">
                  <c:v>34.543500000001664</c:v>
                </c:pt>
                <c:pt idx="961">
                  <c:v>34.543600000001668</c:v>
                </c:pt>
                <c:pt idx="962">
                  <c:v>34.543700000001671</c:v>
                </c:pt>
                <c:pt idx="963">
                  <c:v>34.543800000001674</c:v>
                </c:pt>
                <c:pt idx="964">
                  <c:v>34.543900000001678</c:v>
                </c:pt>
                <c:pt idx="965">
                  <c:v>34.544000000001681</c:v>
                </c:pt>
                <c:pt idx="966">
                  <c:v>34.544100000001684</c:v>
                </c:pt>
                <c:pt idx="967">
                  <c:v>34.544200000001688</c:v>
                </c:pt>
                <c:pt idx="968">
                  <c:v>34.544300000001691</c:v>
                </c:pt>
                <c:pt idx="969">
                  <c:v>34.544400000001694</c:v>
                </c:pt>
                <c:pt idx="970">
                  <c:v>34.544500000001698</c:v>
                </c:pt>
                <c:pt idx="971">
                  <c:v>34.544600000001701</c:v>
                </c:pt>
                <c:pt idx="972">
                  <c:v>34.544700000001704</c:v>
                </c:pt>
                <c:pt idx="973">
                  <c:v>34.544800000001707</c:v>
                </c:pt>
                <c:pt idx="974">
                  <c:v>34.544900000001711</c:v>
                </c:pt>
                <c:pt idx="975">
                  <c:v>34.545000000001714</c:v>
                </c:pt>
                <c:pt idx="976">
                  <c:v>34.545100000001717</c:v>
                </c:pt>
                <c:pt idx="977">
                  <c:v>34.545200000001721</c:v>
                </c:pt>
                <c:pt idx="978">
                  <c:v>34.545300000001724</c:v>
                </c:pt>
                <c:pt idx="979">
                  <c:v>34.545400000001727</c:v>
                </c:pt>
                <c:pt idx="980">
                  <c:v>34.545500000001731</c:v>
                </c:pt>
                <c:pt idx="981">
                  <c:v>34.545600000001734</c:v>
                </c:pt>
                <c:pt idx="982">
                  <c:v>34.545700000001737</c:v>
                </c:pt>
                <c:pt idx="983">
                  <c:v>34.545800000001741</c:v>
                </c:pt>
                <c:pt idx="984">
                  <c:v>34.545900000001744</c:v>
                </c:pt>
                <c:pt idx="985">
                  <c:v>34.546000000001747</c:v>
                </c:pt>
                <c:pt idx="986">
                  <c:v>34.546100000001751</c:v>
                </c:pt>
                <c:pt idx="987">
                  <c:v>34.546200000001754</c:v>
                </c:pt>
                <c:pt idx="988">
                  <c:v>34.546300000001757</c:v>
                </c:pt>
                <c:pt idx="989">
                  <c:v>34.546400000001761</c:v>
                </c:pt>
                <c:pt idx="990">
                  <c:v>34.546500000001764</c:v>
                </c:pt>
                <c:pt idx="991">
                  <c:v>34.546600000001767</c:v>
                </c:pt>
                <c:pt idx="992">
                  <c:v>34.546700000001771</c:v>
                </c:pt>
                <c:pt idx="993">
                  <c:v>34.546800000001774</c:v>
                </c:pt>
                <c:pt idx="994">
                  <c:v>34.546900000001777</c:v>
                </c:pt>
                <c:pt idx="995">
                  <c:v>34.547000000001781</c:v>
                </c:pt>
                <c:pt idx="996">
                  <c:v>34.547100000001784</c:v>
                </c:pt>
                <c:pt idx="997">
                  <c:v>34.547200000001787</c:v>
                </c:pt>
                <c:pt idx="998">
                  <c:v>34.54730000000179</c:v>
                </c:pt>
                <c:pt idx="999">
                  <c:v>34.547400000001794</c:v>
                </c:pt>
                <c:pt idx="1000">
                  <c:v>34.547500000001797</c:v>
                </c:pt>
              </c:numCache>
            </c:numRef>
          </c:xVal>
          <c:yVal>
            <c:numRef>
              <c:f>Calculs!$T$4:$T$1004</c:f>
              <c:numCache>
                <c:formatCode>0.00</c:formatCode>
                <c:ptCount val="1001"/>
                <c:pt idx="0">
                  <c:v>82.717920000000007</c:v>
                </c:pt>
                <c:pt idx="1">
                  <c:v>82.706054448031821</c:v>
                </c:pt>
                <c:pt idx="2">
                  <c:v>82.66117843634126</c:v>
                </c:pt>
                <c:pt idx="3">
                  <c:v>82.596229775511787</c:v>
                </c:pt>
                <c:pt idx="4">
                  <c:v>82.533425631912934</c:v>
                </c:pt>
                <c:pt idx="5">
                  <c:v>82.472766005544685</c:v>
                </c:pt>
                <c:pt idx="6">
                  <c:v>82.412969119502847</c:v>
                </c:pt>
                <c:pt idx="7">
                  <c:v>82.352753196883228</c:v>
                </c:pt>
                <c:pt idx="8">
                  <c:v>82.292118237685827</c:v>
                </c:pt>
                <c:pt idx="9">
                  <c:v>82.23106424191063</c:v>
                </c:pt>
                <c:pt idx="10">
                  <c:v>82.169591209557666</c:v>
                </c:pt>
                <c:pt idx="11">
                  <c:v>82.107831716626549</c:v>
                </c:pt>
                <c:pt idx="12">
                  <c:v>82.045918339116923</c:v>
                </c:pt>
                <c:pt idx="13">
                  <c:v>81.983851077028831</c:v>
                </c:pt>
                <c:pt idx="14">
                  <c:v>81.921629930362229</c:v>
                </c:pt>
                <c:pt idx="15">
                  <c:v>81.859254899117133</c:v>
                </c:pt>
                <c:pt idx="16">
                  <c:v>81.796725983293527</c:v>
                </c:pt>
                <c:pt idx="17">
                  <c:v>81.73404318289144</c:v>
                </c:pt>
                <c:pt idx="18">
                  <c:v>81.671206497910831</c:v>
                </c:pt>
                <c:pt idx="19">
                  <c:v>81.608215928351754</c:v>
                </c:pt>
                <c:pt idx="20">
                  <c:v>81.545071474214183</c:v>
                </c:pt>
                <c:pt idx="21">
                  <c:v>81.48182597306014</c:v>
                </c:pt>
                <c:pt idx="22">
                  <c:v>81.418532262451691</c:v>
                </c:pt>
                <c:pt idx="23">
                  <c:v>81.355190342388809</c:v>
                </c:pt>
                <c:pt idx="24">
                  <c:v>81.291800212871522</c:v>
                </c:pt>
                <c:pt idx="25">
                  <c:v>81.228361873899814</c:v>
                </c:pt>
                <c:pt idx="26">
                  <c:v>81.164875325473702</c:v>
                </c:pt>
                <c:pt idx="27">
                  <c:v>81.101340567593169</c:v>
                </c:pt>
                <c:pt idx="28">
                  <c:v>81.037757600258217</c:v>
                </c:pt>
                <c:pt idx="29">
                  <c:v>80.97412642346886</c:v>
                </c:pt>
                <c:pt idx="30">
                  <c:v>80.910447037225069</c:v>
                </c:pt>
                <c:pt idx="31">
                  <c:v>80.846719441526858</c:v>
                </c:pt>
                <c:pt idx="32">
                  <c:v>80.782943636374242</c:v>
                </c:pt>
                <c:pt idx="33">
                  <c:v>80.719119621767206</c:v>
                </c:pt>
                <c:pt idx="34">
                  <c:v>80.655247397705764</c:v>
                </c:pt>
                <c:pt idx="35">
                  <c:v>80.591326964189903</c:v>
                </c:pt>
                <c:pt idx="36">
                  <c:v>80.527358321219623</c:v>
                </c:pt>
                <c:pt idx="37">
                  <c:v>80.463341468794923</c:v>
                </c:pt>
                <c:pt idx="38">
                  <c:v>80.399276406915803</c:v>
                </c:pt>
                <c:pt idx="39">
                  <c:v>80.335163135582278</c:v>
                </c:pt>
                <c:pt idx="40">
                  <c:v>80.271001654794318</c:v>
                </c:pt>
                <c:pt idx="41">
                  <c:v>80.206832526781668</c:v>
                </c:pt>
                <c:pt idx="42">
                  <c:v>80.14269631377401</c:v>
                </c:pt>
                <c:pt idx="43">
                  <c:v>80.078593015771361</c:v>
                </c:pt>
                <c:pt idx="44">
                  <c:v>80.014522632773719</c:v>
                </c:pt>
                <c:pt idx="45">
                  <c:v>79.950485164781085</c:v>
                </c:pt>
                <c:pt idx="46">
                  <c:v>79.886480611793431</c:v>
                </c:pt>
                <c:pt idx="47">
                  <c:v>79.822508973810798</c:v>
                </c:pt>
                <c:pt idx="48">
                  <c:v>79.758570250833159</c:v>
                </c:pt>
                <c:pt idx="49">
                  <c:v>79.694664442860528</c:v>
                </c:pt>
                <c:pt idx="50">
                  <c:v>79.630791549892891</c:v>
                </c:pt>
                <c:pt idx="51">
                  <c:v>79.566951571930275</c:v>
                </c:pt>
                <c:pt idx="52">
                  <c:v>79.503144508972639</c:v>
                </c:pt>
                <c:pt idx="53">
                  <c:v>79.439370361020011</c:v>
                </c:pt>
                <c:pt idx="54">
                  <c:v>79.37562912807239</c:v>
                </c:pt>
                <c:pt idx="55">
                  <c:v>79.311920810129777</c:v>
                </c:pt>
                <c:pt idx="56">
                  <c:v>79.248245407192172</c:v>
                </c:pt>
                <c:pt idx="57">
                  <c:v>79.184602919259561</c:v>
                </c:pt>
                <c:pt idx="58">
                  <c:v>79.120993346331943</c:v>
                </c:pt>
                <c:pt idx="59">
                  <c:v>79.057416688409333</c:v>
                </c:pt>
                <c:pt idx="60">
                  <c:v>78.993872945491731</c:v>
                </c:pt>
                <c:pt idx="61">
                  <c:v>78.930362117579136</c:v>
                </c:pt>
                <c:pt idx="62">
                  <c:v>78.866884204671535</c:v>
                </c:pt>
                <c:pt idx="63">
                  <c:v>78.803439206768957</c:v>
                </c:pt>
                <c:pt idx="64">
                  <c:v>78.740027123871343</c:v>
                </c:pt>
                <c:pt idx="65">
                  <c:v>78.676647955978751</c:v>
                </c:pt>
                <c:pt idx="66">
                  <c:v>78.613301703091167</c:v>
                </c:pt>
                <c:pt idx="67">
                  <c:v>78.549988365208577</c:v>
                </c:pt>
                <c:pt idx="68">
                  <c:v>78.486707942331009</c:v>
                </c:pt>
                <c:pt idx="69">
                  <c:v>78.42346043445842</c:v>
                </c:pt>
                <c:pt idx="70">
                  <c:v>78.360245841590853</c:v>
                </c:pt>
                <c:pt idx="71">
                  <c:v>78.29706416372828</c:v>
                </c:pt>
                <c:pt idx="72">
                  <c:v>78.2339154008707</c:v>
                </c:pt>
                <c:pt idx="73">
                  <c:v>78.170799553018142</c:v>
                </c:pt>
                <c:pt idx="74">
                  <c:v>78.107716620170578</c:v>
                </c:pt>
                <c:pt idx="75">
                  <c:v>78.044666602328007</c:v>
                </c:pt>
                <c:pt idx="76">
                  <c:v>77.981649499490445</c:v>
                </c:pt>
                <c:pt idx="77">
                  <c:v>77.91866531165789</c:v>
                </c:pt>
                <c:pt idx="78">
                  <c:v>77.855714038830342</c:v>
                </c:pt>
                <c:pt idx="79">
                  <c:v>77.792795681007789</c:v>
                </c:pt>
                <c:pt idx="80">
                  <c:v>77.729910238190243</c:v>
                </c:pt>
                <c:pt idx="81">
                  <c:v>77.667097802565223</c:v>
                </c:pt>
                <c:pt idx="82">
                  <c:v>77.604398466320262</c:v>
                </c:pt>
                <c:pt idx="83">
                  <c:v>77.541812229455374</c:v>
                </c:pt>
                <c:pt idx="84">
                  <c:v>77.47933909197053</c:v>
                </c:pt>
                <c:pt idx="85">
                  <c:v>77.416979053865759</c:v>
                </c:pt>
                <c:pt idx="86">
                  <c:v>77.354732115141033</c:v>
                </c:pt>
                <c:pt idx="87">
                  <c:v>77.292598275796379</c:v>
                </c:pt>
                <c:pt idx="88">
                  <c:v>77.23057753583177</c:v>
                </c:pt>
                <c:pt idx="89">
                  <c:v>77.168669895247248</c:v>
                </c:pt>
                <c:pt idx="90">
                  <c:v>77.106875354042771</c:v>
                </c:pt>
                <c:pt idx="91">
                  <c:v>77.045211508669226</c:v>
                </c:pt>
                <c:pt idx="92">
                  <c:v>76.983695955577446</c:v>
                </c:pt>
                <c:pt idx="93">
                  <c:v>76.922328694767458</c:v>
                </c:pt>
                <c:pt idx="94">
                  <c:v>76.861109726239263</c:v>
                </c:pt>
                <c:pt idx="95">
                  <c:v>76.800039049992847</c:v>
                </c:pt>
                <c:pt idx="96">
                  <c:v>76.73911666602821</c:v>
                </c:pt>
                <c:pt idx="97">
                  <c:v>76.678342574345365</c:v>
                </c:pt>
                <c:pt idx="98">
                  <c:v>76.617716774944299</c:v>
                </c:pt>
                <c:pt idx="99">
                  <c:v>76.557239267825025</c:v>
                </c:pt>
                <c:pt idx="100">
                  <c:v>76.496910052987531</c:v>
                </c:pt>
                <c:pt idx="101">
                  <c:v>76.436731926580165</c:v>
                </c:pt>
                <c:pt idx="102">
                  <c:v>76.37670768475131</c:v>
                </c:pt>
                <c:pt idx="103">
                  <c:v>76.316837327500949</c:v>
                </c:pt>
                <c:pt idx="104">
                  <c:v>76.257120854829083</c:v>
                </c:pt>
                <c:pt idx="105">
                  <c:v>76.197558266735712</c:v>
                </c:pt>
                <c:pt idx="106">
                  <c:v>76.138149563220836</c:v>
                </c:pt>
                <c:pt idx="107">
                  <c:v>76.078894744284455</c:v>
                </c:pt>
                <c:pt idx="108">
                  <c:v>76.019793809926583</c:v>
                </c:pt>
                <c:pt idx="109">
                  <c:v>75.960846760147206</c:v>
                </c:pt>
                <c:pt idx="110">
                  <c:v>75.90205359494631</c:v>
                </c:pt>
                <c:pt idx="111">
                  <c:v>75.843382327350923</c:v>
                </c:pt>
                <c:pt idx="112">
                  <c:v>75.784800970388005</c:v>
                </c:pt>
                <c:pt idx="113">
                  <c:v>75.726309524057584</c:v>
                </c:pt>
                <c:pt idx="114">
                  <c:v>75.667907988359644</c:v>
                </c:pt>
                <c:pt idx="115">
                  <c:v>75.609596363294202</c:v>
                </c:pt>
                <c:pt idx="116">
                  <c:v>75.551374648861227</c:v>
                </c:pt>
                <c:pt idx="117">
                  <c:v>75.493242845060749</c:v>
                </c:pt>
                <c:pt idx="118">
                  <c:v>75.435200951892767</c:v>
                </c:pt>
                <c:pt idx="119">
                  <c:v>75.377248969357254</c:v>
                </c:pt>
                <c:pt idx="120">
                  <c:v>75.319386897454237</c:v>
                </c:pt>
                <c:pt idx="121">
                  <c:v>75.261667453222103</c:v>
                </c:pt>
                <c:pt idx="122">
                  <c:v>75.204143353699266</c:v>
                </c:pt>
                <c:pt idx="123">
                  <c:v>75.146814598885726</c:v>
                </c:pt>
                <c:pt idx="124">
                  <c:v>75.089681188781483</c:v>
                </c:pt>
                <c:pt idx="125">
                  <c:v>75.032743123386524</c:v>
                </c:pt>
                <c:pt idx="126">
                  <c:v>74.976000402700876</c:v>
                </c:pt>
                <c:pt idx="127">
                  <c:v>74.919453026724497</c:v>
                </c:pt>
                <c:pt idx="128">
                  <c:v>74.86310099545743</c:v>
                </c:pt>
                <c:pt idx="129">
                  <c:v>74.806944308899659</c:v>
                </c:pt>
                <c:pt idx="130">
                  <c:v>74.750982967051186</c:v>
                </c:pt>
                <c:pt idx="131">
                  <c:v>74.69523068550177</c:v>
                </c:pt>
                <c:pt idx="132">
                  <c:v>74.639701179841225</c:v>
                </c:pt>
                <c:pt idx="133">
                  <c:v>74.584394450069539</c:v>
                </c:pt>
                <c:pt idx="134">
                  <c:v>74.52931049618671</c:v>
                </c:pt>
                <c:pt idx="135">
                  <c:v>74.474449318192725</c:v>
                </c:pt>
                <c:pt idx="136">
                  <c:v>74.419810916087613</c:v>
                </c:pt>
                <c:pt idx="137">
                  <c:v>74.365395289871344</c:v>
                </c:pt>
                <c:pt idx="138">
                  <c:v>74.311202439543948</c:v>
                </c:pt>
                <c:pt idx="139">
                  <c:v>74.257232365105395</c:v>
                </c:pt>
                <c:pt idx="140">
                  <c:v>74.2034850665557</c:v>
                </c:pt>
                <c:pt idx="141">
                  <c:v>74.150123548095166</c:v>
                </c:pt>
                <c:pt idx="142">
                  <c:v>74.097310813924054</c:v>
                </c:pt>
                <c:pt idx="143">
                  <c:v>74.045046864042376</c:v>
                </c:pt>
                <c:pt idx="144">
                  <c:v>73.993331698450149</c:v>
                </c:pt>
                <c:pt idx="145">
                  <c:v>73.942165317147357</c:v>
                </c:pt>
                <c:pt idx="146">
                  <c:v>73.891547720134</c:v>
                </c:pt>
                <c:pt idx="147">
                  <c:v>73.841478907410078</c:v>
                </c:pt>
                <c:pt idx="148">
                  <c:v>73.791958878975606</c:v>
                </c:pt>
                <c:pt idx="149">
                  <c:v>73.742987634830556</c:v>
                </c:pt>
                <c:pt idx="150">
                  <c:v>73.694565174974954</c:v>
                </c:pt>
                <c:pt idx="151">
                  <c:v>73.646691499408789</c:v>
                </c:pt>
                <c:pt idx="152">
                  <c:v>73.599366608132058</c:v>
                </c:pt>
                <c:pt idx="153">
                  <c:v>73.552590501144763</c:v>
                </c:pt>
                <c:pt idx="154">
                  <c:v>73.506363178446904</c:v>
                </c:pt>
                <c:pt idx="155">
                  <c:v>73.460684640038494</c:v>
                </c:pt>
                <c:pt idx="156">
                  <c:v>73.416320564544364</c:v>
                </c:pt>
                <c:pt idx="157">
                  <c:v>73.374036630589387</c:v>
                </c:pt>
                <c:pt idx="158">
                  <c:v>73.333832838173564</c:v>
                </c:pt>
                <c:pt idx="159">
                  <c:v>73.295709187296893</c:v>
                </c:pt>
                <c:pt idx="160">
                  <c:v>73.259665677959362</c:v>
                </c:pt>
                <c:pt idx="161">
                  <c:v>73.226673778876929</c:v>
                </c:pt>
                <c:pt idx="162">
                  <c:v>73.197704958765513</c:v>
                </c:pt>
                <c:pt idx="163">
                  <c:v>73.172666655472653</c:v>
                </c:pt>
                <c:pt idx="164">
                  <c:v>73.151466306845876</c:v>
                </c:pt>
                <c:pt idx="165">
                  <c:v>73.133176724553095</c:v>
                </c:pt>
                <c:pt idx="166">
                  <c:v>73.11687072026227</c:v>
                </c:pt>
                <c:pt idx="167">
                  <c:v>73.103252995673344</c:v>
                </c:pt>
                <c:pt idx="168">
                  <c:v>73.09251843750576</c:v>
                </c:pt>
                <c:pt idx="169">
                  <c:v>73.086122248141095</c:v>
                </c:pt>
                <c:pt idx="170">
                  <c:v>73.084499999999991</c:v>
                </c:pt>
                <c:pt idx="171">
                  <c:v>73.084499999999991</c:v>
                </c:pt>
                <c:pt idx="172">
                  <c:v>73.084499999999991</c:v>
                </c:pt>
                <c:pt idx="173">
                  <c:v>73.084499999999991</c:v>
                </c:pt>
                <c:pt idx="174">
                  <c:v>73.084499999999991</c:v>
                </c:pt>
                <c:pt idx="175">
                  <c:v>73.084499999999991</c:v>
                </c:pt>
                <c:pt idx="176">
                  <c:v>73.084499999999991</c:v>
                </c:pt>
                <c:pt idx="177">
                  <c:v>73.084499999999991</c:v>
                </c:pt>
                <c:pt idx="178">
                  <c:v>73.084499999999991</c:v>
                </c:pt>
                <c:pt idx="179">
                  <c:v>73.084499999999991</c:v>
                </c:pt>
                <c:pt idx="180">
                  <c:v>73.084499999999991</c:v>
                </c:pt>
                <c:pt idx="181">
                  <c:v>73.084499999999991</c:v>
                </c:pt>
                <c:pt idx="182">
                  <c:v>73.084499999999991</c:v>
                </c:pt>
                <c:pt idx="183">
                  <c:v>73.084499999999991</c:v>
                </c:pt>
                <c:pt idx="184">
                  <c:v>73.084499999999991</c:v>
                </c:pt>
                <c:pt idx="185">
                  <c:v>73.084499999999991</c:v>
                </c:pt>
                <c:pt idx="186">
                  <c:v>73.084499999999991</c:v>
                </c:pt>
                <c:pt idx="187">
                  <c:v>73.084499999999991</c:v>
                </c:pt>
                <c:pt idx="188">
                  <c:v>73.084499999999991</c:v>
                </c:pt>
                <c:pt idx="189">
                  <c:v>73.084499999999991</c:v>
                </c:pt>
                <c:pt idx="190">
                  <c:v>73.084499999999991</c:v>
                </c:pt>
                <c:pt idx="191">
                  <c:v>73.084499999999991</c:v>
                </c:pt>
                <c:pt idx="192">
                  <c:v>73.084499999999991</c:v>
                </c:pt>
                <c:pt idx="193">
                  <c:v>73.084499999999991</c:v>
                </c:pt>
                <c:pt idx="194">
                  <c:v>73.084499999999991</c:v>
                </c:pt>
                <c:pt idx="195">
                  <c:v>73.084499999999991</c:v>
                </c:pt>
                <c:pt idx="196">
                  <c:v>73.084499999999991</c:v>
                </c:pt>
                <c:pt idx="197">
                  <c:v>73.084499999999991</c:v>
                </c:pt>
                <c:pt idx="198">
                  <c:v>73.084499999999991</c:v>
                </c:pt>
                <c:pt idx="199">
                  <c:v>73.084499999999991</c:v>
                </c:pt>
                <c:pt idx="200">
                  <c:v>73.084499999999991</c:v>
                </c:pt>
                <c:pt idx="201">
                  <c:v>73.084499999999991</c:v>
                </c:pt>
                <c:pt idx="202">
                  <c:v>73.084499999999991</c:v>
                </c:pt>
                <c:pt idx="203">
                  <c:v>73.084499999999991</c:v>
                </c:pt>
                <c:pt idx="204">
                  <c:v>73.084499999999991</c:v>
                </c:pt>
                <c:pt idx="205">
                  <c:v>73.084499999999991</c:v>
                </c:pt>
                <c:pt idx="206">
                  <c:v>73.084499999999991</c:v>
                </c:pt>
                <c:pt idx="207">
                  <c:v>73.084499999999991</c:v>
                </c:pt>
                <c:pt idx="208">
                  <c:v>73.084499999999991</c:v>
                </c:pt>
                <c:pt idx="209">
                  <c:v>73.084499999999991</c:v>
                </c:pt>
                <c:pt idx="210">
                  <c:v>73.084499999999991</c:v>
                </c:pt>
                <c:pt idx="211">
                  <c:v>73.084499999999991</c:v>
                </c:pt>
                <c:pt idx="212">
                  <c:v>73.084499999999991</c:v>
                </c:pt>
                <c:pt idx="213">
                  <c:v>73.084499999999991</c:v>
                </c:pt>
                <c:pt idx="214">
                  <c:v>73.084499999999991</c:v>
                </c:pt>
                <c:pt idx="215">
                  <c:v>73.084499999999991</c:v>
                </c:pt>
                <c:pt idx="216">
                  <c:v>73.084499999999991</c:v>
                </c:pt>
                <c:pt idx="217">
                  <c:v>73.084499999999991</c:v>
                </c:pt>
                <c:pt idx="218">
                  <c:v>73.084499999999991</c:v>
                </c:pt>
                <c:pt idx="219">
                  <c:v>73.084499999999991</c:v>
                </c:pt>
                <c:pt idx="220">
                  <c:v>73.084499999999991</c:v>
                </c:pt>
                <c:pt idx="221">
                  <c:v>73.084499999999991</c:v>
                </c:pt>
                <c:pt idx="222">
                  <c:v>73.084499999999991</c:v>
                </c:pt>
                <c:pt idx="223">
                  <c:v>73.084499999999991</c:v>
                </c:pt>
                <c:pt idx="224">
                  <c:v>73.084499999999991</c:v>
                </c:pt>
                <c:pt idx="225">
                  <c:v>73.084499999999991</c:v>
                </c:pt>
                <c:pt idx="226">
                  <c:v>73.084499999999991</c:v>
                </c:pt>
                <c:pt idx="227">
                  <c:v>73.084499999999991</c:v>
                </c:pt>
                <c:pt idx="228">
                  <c:v>73.084499999999991</c:v>
                </c:pt>
                <c:pt idx="229">
                  <c:v>73.084499999999991</c:v>
                </c:pt>
                <c:pt idx="230">
                  <c:v>73.084499999999991</c:v>
                </c:pt>
                <c:pt idx="231">
                  <c:v>73.084499999999991</c:v>
                </c:pt>
                <c:pt idx="232">
                  <c:v>73.084499999999991</c:v>
                </c:pt>
                <c:pt idx="233">
                  <c:v>73.084499999999991</c:v>
                </c:pt>
                <c:pt idx="234">
                  <c:v>73.084499999999991</c:v>
                </c:pt>
                <c:pt idx="235">
                  <c:v>73.084499999999991</c:v>
                </c:pt>
                <c:pt idx="236">
                  <c:v>73.084499999999991</c:v>
                </c:pt>
                <c:pt idx="237">
                  <c:v>73.084499999999991</c:v>
                </c:pt>
                <c:pt idx="238">
                  <c:v>73.084499999999991</c:v>
                </c:pt>
                <c:pt idx="239">
                  <c:v>73.084499999999991</c:v>
                </c:pt>
                <c:pt idx="240">
                  <c:v>73.084499999999991</c:v>
                </c:pt>
                <c:pt idx="241">
                  <c:v>73.084499999999991</c:v>
                </c:pt>
                <c:pt idx="242">
                  <c:v>73.084499999999991</c:v>
                </c:pt>
                <c:pt idx="243">
                  <c:v>73.084499999999991</c:v>
                </c:pt>
                <c:pt idx="244">
                  <c:v>73.084499999999991</c:v>
                </c:pt>
                <c:pt idx="245">
                  <c:v>73.084499999999991</c:v>
                </c:pt>
                <c:pt idx="246">
                  <c:v>73.084499999999991</c:v>
                </c:pt>
                <c:pt idx="247">
                  <c:v>73.084499999999991</c:v>
                </c:pt>
                <c:pt idx="248">
                  <c:v>73.084499999999991</c:v>
                </c:pt>
                <c:pt idx="249">
                  <c:v>73.084499999999991</c:v>
                </c:pt>
                <c:pt idx="250">
                  <c:v>73.084499999999991</c:v>
                </c:pt>
                <c:pt idx="251">
                  <c:v>73.084499999999991</c:v>
                </c:pt>
                <c:pt idx="252">
                  <c:v>73.084499999999991</c:v>
                </c:pt>
                <c:pt idx="253">
                  <c:v>73.084499999999991</c:v>
                </c:pt>
                <c:pt idx="254">
                  <c:v>73.084499999999991</c:v>
                </c:pt>
                <c:pt idx="255">
                  <c:v>73.084499999999991</c:v>
                </c:pt>
                <c:pt idx="256">
                  <c:v>73.084499999999991</c:v>
                </c:pt>
                <c:pt idx="257">
                  <c:v>73.084499999999991</c:v>
                </c:pt>
                <c:pt idx="258">
                  <c:v>73.084499999999991</c:v>
                </c:pt>
                <c:pt idx="259">
                  <c:v>73.084499999999991</c:v>
                </c:pt>
                <c:pt idx="260">
                  <c:v>73.084499999999991</c:v>
                </c:pt>
                <c:pt idx="261">
                  <c:v>73.084499999999991</c:v>
                </c:pt>
                <c:pt idx="262">
                  <c:v>73.084499999999991</c:v>
                </c:pt>
                <c:pt idx="263">
                  <c:v>73.084499999999991</c:v>
                </c:pt>
                <c:pt idx="264">
                  <c:v>73.084499999999991</c:v>
                </c:pt>
                <c:pt idx="265">
                  <c:v>73.084499999999991</c:v>
                </c:pt>
                <c:pt idx="266">
                  <c:v>73.084499999999991</c:v>
                </c:pt>
                <c:pt idx="267">
                  <c:v>73.084499999999991</c:v>
                </c:pt>
                <c:pt idx="268">
                  <c:v>73.084499999999991</c:v>
                </c:pt>
                <c:pt idx="269">
                  <c:v>73.084499999999991</c:v>
                </c:pt>
                <c:pt idx="270">
                  <c:v>73.084499999999991</c:v>
                </c:pt>
                <c:pt idx="271">
                  <c:v>73.084499999999991</c:v>
                </c:pt>
                <c:pt idx="272">
                  <c:v>73.084499999999991</c:v>
                </c:pt>
                <c:pt idx="273">
                  <c:v>73.084499999999991</c:v>
                </c:pt>
                <c:pt idx="274">
                  <c:v>73.084499999999991</c:v>
                </c:pt>
                <c:pt idx="275">
                  <c:v>73.084499999999991</c:v>
                </c:pt>
                <c:pt idx="276">
                  <c:v>73.084499999999991</c:v>
                </c:pt>
                <c:pt idx="277">
                  <c:v>73.084499999999991</c:v>
                </c:pt>
                <c:pt idx="278">
                  <c:v>73.084499999999991</c:v>
                </c:pt>
                <c:pt idx="279">
                  <c:v>73.084499999999991</c:v>
                </c:pt>
                <c:pt idx="280">
                  <c:v>73.084499999999991</c:v>
                </c:pt>
                <c:pt idx="281">
                  <c:v>73.084499999999991</c:v>
                </c:pt>
                <c:pt idx="282">
                  <c:v>73.084499999999991</c:v>
                </c:pt>
                <c:pt idx="283">
                  <c:v>73.084499999999991</c:v>
                </c:pt>
                <c:pt idx="284">
                  <c:v>73.084499999999991</c:v>
                </c:pt>
                <c:pt idx="285">
                  <c:v>73.084499999999991</c:v>
                </c:pt>
                <c:pt idx="286">
                  <c:v>73.084499999999991</c:v>
                </c:pt>
                <c:pt idx="287">
                  <c:v>73.084499999999991</c:v>
                </c:pt>
                <c:pt idx="288">
                  <c:v>73.084499999999991</c:v>
                </c:pt>
                <c:pt idx="289">
                  <c:v>73.084499999999991</c:v>
                </c:pt>
                <c:pt idx="290">
                  <c:v>73.084499999999991</c:v>
                </c:pt>
                <c:pt idx="291">
                  <c:v>73.084499999999991</c:v>
                </c:pt>
                <c:pt idx="292">
                  <c:v>73.084499999999991</c:v>
                </c:pt>
                <c:pt idx="293">
                  <c:v>73.084499999999991</c:v>
                </c:pt>
                <c:pt idx="294">
                  <c:v>73.084499999999991</c:v>
                </c:pt>
                <c:pt idx="295">
                  <c:v>73.084499999999991</c:v>
                </c:pt>
                <c:pt idx="296">
                  <c:v>73.084499999999991</c:v>
                </c:pt>
                <c:pt idx="297">
                  <c:v>73.084499999999991</c:v>
                </c:pt>
                <c:pt idx="298">
                  <c:v>73.084499999999991</c:v>
                </c:pt>
                <c:pt idx="299">
                  <c:v>73.084499999999991</c:v>
                </c:pt>
                <c:pt idx="300">
                  <c:v>73.084499999999991</c:v>
                </c:pt>
                <c:pt idx="301">
                  <c:v>73.084499999999991</c:v>
                </c:pt>
                <c:pt idx="302">
                  <c:v>73.084499999999991</c:v>
                </c:pt>
                <c:pt idx="303">
                  <c:v>73.084499999999991</c:v>
                </c:pt>
                <c:pt idx="304">
                  <c:v>73.084499999999991</c:v>
                </c:pt>
                <c:pt idx="305">
                  <c:v>73.084499999999991</c:v>
                </c:pt>
                <c:pt idx="306">
                  <c:v>73.084499999999991</c:v>
                </c:pt>
                <c:pt idx="307">
                  <c:v>73.084499999999991</c:v>
                </c:pt>
                <c:pt idx="308">
                  <c:v>73.084499999999991</c:v>
                </c:pt>
                <c:pt idx="309">
                  <c:v>73.084499999999991</c:v>
                </c:pt>
                <c:pt idx="310">
                  <c:v>73.084499999999991</c:v>
                </c:pt>
                <c:pt idx="311">
                  <c:v>73.084499999999991</c:v>
                </c:pt>
                <c:pt idx="312">
                  <c:v>73.084499999999991</c:v>
                </c:pt>
                <c:pt idx="313">
                  <c:v>73.084499999999991</c:v>
                </c:pt>
                <c:pt idx="314">
                  <c:v>73.084499999999991</c:v>
                </c:pt>
                <c:pt idx="315">
                  <c:v>73.084499999999991</c:v>
                </c:pt>
                <c:pt idx="316">
                  <c:v>73.084499999999991</c:v>
                </c:pt>
                <c:pt idx="317">
                  <c:v>73.084499999999991</c:v>
                </c:pt>
                <c:pt idx="318">
                  <c:v>73.084499999999991</c:v>
                </c:pt>
                <c:pt idx="319">
                  <c:v>73.084499999999991</c:v>
                </c:pt>
                <c:pt idx="320">
                  <c:v>73.084499999999991</c:v>
                </c:pt>
                <c:pt idx="321">
                  <c:v>73.084499999999991</c:v>
                </c:pt>
                <c:pt idx="322">
                  <c:v>73.084499999999991</c:v>
                </c:pt>
                <c:pt idx="323">
                  <c:v>73.084499999999991</c:v>
                </c:pt>
                <c:pt idx="324">
                  <c:v>73.084499999999991</c:v>
                </c:pt>
                <c:pt idx="325">
                  <c:v>73.084499999999991</c:v>
                </c:pt>
                <c:pt idx="326">
                  <c:v>73.084499999999991</c:v>
                </c:pt>
                <c:pt idx="327">
                  <c:v>73.084499999999991</c:v>
                </c:pt>
                <c:pt idx="328">
                  <c:v>73.084499999999991</c:v>
                </c:pt>
                <c:pt idx="329">
                  <c:v>73.084499999999991</c:v>
                </c:pt>
                <c:pt idx="330">
                  <c:v>73.084499999999991</c:v>
                </c:pt>
                <c:pt idx="331">
                  <c:v>73.084499999999991</c:v>
                </c:pt>
                <c:pt idx="332">
                  <c:v>73.084499999999991</c:v>
                </c:pt>
                <c:pt idx="333">
                  <c:v>73.084499999999991</c:v>
                </c:pt>
                <c:pt idx="334">
                  <c:v>73.084499999999991</c:v>
                </c:pt>
                <c:pt idx="335">
                  <c:v>73.084499999999991</c:v>
                </c:pt>
                <c:pt idx="336">
                  <c:v>73.084499999999991</c:v>
                </c:pt>
                <c:pt idx="337">
                  <c:v>73.084499999999991</c:v>
                </c:pt>
                <c:pt idx="338">
                  <c:v>73.084499999999991</c:v>
                </c:pt>
                <c:pt idx="339">
                  <c:v>73.084499999999991</c:v>
                </c:pt>
                <c:pt idx="340">
                  <c:v>73.084499999999991</c:v>
                </c:pt>
                <c:pt idx="341">
                  <c:v>73.084499999999991</c:v>
                </c:pt>
                <c:pt idx="342">
                  <c:v>73.084499999999991</c:v>
                </c:pt>
                <c:pt idx="343">
                  <c:v>73.084499999999991</c:v>
                </c:pt>
                <c:pt idx="344">
                  <c:v>73.084499999999991</c:v>
                </c:pt>
                <c:pt idx="345">
                  <c:v>73.084499999999991</c:v>
                </c:pt>
                <c:pt idx="346">
                  <c:v>73.084499999999991</c:v>
                </c:pt>
                <c:pt idx="347">
                  <c:v>73.084499999999991</c:v>
                </c:pt>
                <c:pt idx="348">
                  <c:v>73.084499999999991</c:v>
                </c:pt>
                <c:pt idx="349">
                  <c:v>73.084499999999991</c:v>
                </c:pt>
                <c:pt idx="350">
                  <c:v>73.084499999999991</c:v>
                </c:pt>
                <c:pt idx="351">
                  <c:v>73.084499999999991</c:v>
                </c:pt>
                <c:pt idx="352">
                  <c:v>73.084499999999991</c:v>
                </c:pt>
                <c:pt idx="353">
                  <c:v>73.084499999999991</c:v>
                </c:pt>
                <c:pt idx="354">
                  <c:v>73.084499999999991</c:v>
                </c:pt>
                <c:pt idx="355">
                  <c:v>73.084499999999991</c:v>
                </c:pt>
                <c:pt idx="356">
                  <c:v>73.084499999999991</c:v>
                </c:pt>
                <c:pt idx="357">
                  <c:v>73.084499999999991</c:v>
                </c:pt>
                <c:pt idx="358">
                  <c:v>73.084499999999991</c:v>
                </c:pt>
                <c:pt idx="359">
                  <c:v>73.084499999999991</c:v>
                </c:pt>
                <c:pt idx="360">
                  <c:v>73.084499999999991</c:v>
                </c:pt>
                <c:pt idx="361">
                  <c:v>73.084499999999991</c:v>
                </c:pt>
                <c:pt idx="362">
                  <c:v>73.084499999999991</c:v>
                </c:pt>
                <c:pt idx="363">
                  <c:v>73.084499999999991</c:v>
                </c:pt>
                <c:pt idx="364">
                  <c:v>73.084499999999991</c:v>
                </c:pt>
                <c:pt idx="365">
                  <c:v>73.084499999999991</c:v>
                </c:pt>
                <c:pt idx="366">
                  <c:v>73.084499999999991</c:v>
                </c:pt>
                <c:pt idx="367">
                  <c:v>73.084499999999991</c:v>
                </c:pt>
                <c:pt idx="368">
                  <c:v>73.084499999999991</c:v>
                </c:pt>
                <c:pt idx="369">
                  <c:v>73.084499999999991</c:v>
                </c:pt>
                <c:pt idx="370">
                  <c:v>73.084499999999991</c:v>
                </c:pt>
                <c:pt idx="371">
                  <c:v>73.084499999999991</c:v>
                </c:pt>
                <c:pt idx="372">
                  <c:v>73.084499999999991</c:v>
                </c:pt>
                <c:pt idx="373">
                  <c:v>73.084499999999991</c:v>
                </c:pt>
                <c:pt idx="374">
                  <c:v>73.084499999999991</c:v>
                </c:pt>
                <c:pt idx="375">
                  <c:v>73.084499999999991</c:v>
                </c:pt>
                <c:pt idx="376">
                  <c:v>73.084499999999991</c:v>
                </c:pt>
                <c:pt idx="377">
                  <c:v>73.084499999999991</c:v>
                </c:pt>
                <c:pt idx="378">
                  <c:v>73.084499999999991</c:v>
                </c:pt>
                <c:pt idx="379">
                  <c:v>73.084499999999991</c:v>
                </c:pt>
                <c:pt idx="380">
                  <c:v>73.084499999999991</c:v>
                </c:pt>
                <c:pt idx="381">
                  <c:v>73.084499999999991</c:v>
                </c:pt>
                <c:pt idx="382">
                  <c:v>73.084499999999991</c:v>
                </c:pt>
                <c:pt idx="383">
                  <c:v>73.084499999999991</c:v>
                </c:pt>
                <c:pt idx="384">
                  <c:v>73.084499999999991</c:v>
                </c:pt>
                <c:pt idx="385">
                  <c:v>73.084499999999991</c:v>
                </c:pt>
                <c:pt idx="386">
                  <c:v>73.084499999999991</c:v>
                </c:pt>
                <c:pt idx="387">
                  <c:v>73.084499999999991</c:v>
                </c:pt>
                <c:pt idx="388">
                  <c:v>73.084499999999991</c:v>
                </c:pt>
                <c:pt idx="389">
                  <c:v>73.084499999999991</c:v>
                </c:pt>
                <c:pt idx="390">
                  <c:v>73.084499999999991</c:v>
                </c:pt>
                <c:pt idx="391">
                  <c:v>73.084499999999991</c:v>
                </c:pt>
                <c:pt idx="392">
                  <c:v>73.084499999999991</c:v>
                </c:pt>
                <c:pt idx="393">
                  <c:v>73.084499999999991</c:v>
                </c:pt>
                <c:pt idx="394">
                  <c:v>73.084499999999991</c:v>
                </c:pt>
                <c:pt idx="395">
                  <c:v>73.084499999999991</c:v>
                </c:pt>
                <c:pt idx="396">
                  <c:v>73.084499999999991</c:v>
                </c:pt>
                <c:pt idx="397">
                  <c:v>73.084499999999991</c:v>
                </c:pt>
                <c:pt idx="398">
                  <c:v>73.084499999999991</c:v>
                </c:pt>
                <c:pt idx="399">
                  <c:v>73.084499999999991</c:v>
                </c:pt>
                <c:pt idx="400">
                  <c:v>73.084499999999991</c:v>
                </c:pt>
                <c:pt idx="401">
                  <c:v>73.084499999999991</c:v>
                </c:pt>
                <c:pt idx="402">
                  <c:v>73.084499999999991</c:v>
                </c:pt>
                <c:pt idx="403">
                  <c:v>73.084499999999991</c:v>
                </c:pt>
                <c:pt idx="404">
                  <c:v>73.084499999999991</c:v>
                </c:pt>
                <c:pt idx="405">
                  <c:v>73.084499999999991</c:v>
                </c:pt>
                <c:pt idx="406">
                  <c:v>73.084499999999991</c:v>
                </c:pt>
                <c:pt idx="407">
                  <c:v>73.084499999999991</c:v>
                </c:pt>
                <c:pt idx="408">
                  <c:v>73.084499999999991</c:v>
                </c:pt>
                <c:pt idx="409">
                  <c:v>73.084499999999991</c:v>
                </c:pt>
                <c:pt idx="410">
                  <c:v>73.084499999999991</c:v>
                </c:pt>
                <c:pt idx="411">
                  <c:v>73.084499999999991</c:v>
                </c:pt>
                <c:pt idx="412">
                  <c:v>73.084499999999991</c:v>
                </c:pt>
                <c:pt idx="413">
                  <c:v>73.084499999999991</c:v>
                </c:pt>
                <c:pt idx="414">
                  <c:v>73.084499999999991</c:v>
                </c:pt>
                <c:pt idx="415">
                  <c:v>73.084499999999991</c:v>
                </c:pt>
                <c:pt idx="416">
                  <c:v>73.084499999999991</c:v>
                </c:pt>
                <c:pt idx="417">
                  <c:v>73.084499999999991</c:v>
                </c:pt>
                <c:pt idx="418">
                  <c:v>73.084499999999991</c:v>
                </c:pt>
                <c:pt idx="419">
                  <c:v>73.084499999999991</c:v>
                </c:pt>
                <c:pt idx="420">
                  <c:v>73.084499999999991</c:v>
                </c:pt>
                <c:pt idx="421">
                  <c:v>73.084499999999991</c:v>
                </c:pt>
                <c:pt idx="422">
                  <c:v>73.084499999999991</c:v>
                </c:pt>
                <c:pt idx="423">
                  <c:v>73.084499999999991</c:v>
                </c:pt>
                <c:pt idx="424">
                  <c:v>73.084499999999991</c:v>
                </c:pt>
                <c:pt idx="425">
                  <c:v>73.084499999999991</c:v>
                </c:pt>
                <c:pt idx="426">
                  <c:v>73.084499999999991</c:v>
                </c:pt>
                <c:pt idx="427">
                  <c:v>73.084499999999991</c:v>
                </c:pt>
                <c:pt idx="428">
                  <c:v>73.084499999999991</c:v>
                </c:pt>
                <c:pt idx="429">
                  <c:v>73.084499999999991</c:v>
                </c:pt>
                <c:pt idx="430">
                  <c:v>73.084499999999991</c:v>
                </c:pt>
                <c:pt idx="431">
                  <c:v>73.084499999999991</c:v>
                </c:pt>
                <c:pt idx="432">
                  <c:v>73.084499999999991</c:v>
                </c:pt>
                <c:pt idx="433">
                  <c:v>73.084499999999991</c:v>
                </c:pt>
                <c:pt idx="434">
                  <c:v>73.084499999999991</c:v>
                </c:pt>
                <c:pt idx="435">
                  <c:v>73.084499999999991</c:v>
                </c:pt>
                <c:pt idx="436">
                  <c:v>73.084499999999991</c:v>
                </c:pt>
                <c:pt idx="437">
                  <c:v>73.084499999999991</c:v>
                </c:pt>
                <c:pt idx="438">
                  <c:v>73.084499999999991</c:v>
                </c:pt>
                <c:pt idx="439">
                  <c:v>73.084499999999991</c:v>
                </c:pt>
                <c:pt idx="440">
                  <c:v>73.084499999999991</c:v>
                </c:pt>
                <c:pt idx="441">
                  <c:v>73.084499999999991</c:v>
                </c:pt>
                <c:pt idx="442">
                  <c:v>73.084499999999991</c:v>
                </c:pt>
                <c:pt idx="443">
                  <c:v>73.084499999999991</c:v>
                </c:pt>
                <c:pt idx="444">
                  <c:v>73.084499999999991</c:v>
                </c:pt>
                <c:pt idx="445">
                  <c:v>73.084499999999991</c:v>
                </c:pt>
                <c:pt idx="446">
                  <c:v>73.084499999999991</c:v>
                </c:pt>
                <c:pt idx="447">
                  <c:v>73.084499999999991</c:v>
                </c:pt>
                <c:pt idx="448">
                  <c:v>73.084499999999991</c:v>
                </c:pt>
                <c:pt idx="449">
                  <c:v>73.084499999999991</c:v>
                </c:pt>
                <c:pt idx="450">
                  <c:v>73.084499999999991</c:v>
                </c:pt>
                <c:pt idx="451">
                  <c:v>73.084499999999991</c:v>
                </c:pt>
                <c:pt idx="452">
                  <c:v>73.084499999999991</c:v>
                </c:pt>
                <c:pt idx="453">
                  <c:v>73.084499999999991</c:v>
                </c:pt>
                <c:pt idx="454">
                  <c:v>73.084499999999991</c:v>
                </c:pt>
                <c:pt idx="455">
                  <c:v>73.084499999999991</c:v>
                </c:pt>
                <c:pt idx="456">
                  <c:v>73.084499999999991</c:v>
                </c:pt>
                <c:pt idx="457">
                  <c:v>73.084499999999991</c:v>
                </c:pt>
                <c:pt idx="458">
                  <c:v>73.084499999999991</c:v>
                </c:pt>
                <c:pt idx="459">
                  <c:v>73.084499999999991</c:v>
                </c:pt>
                <c:pt idx="460">
                  <c:v>73.084499999999991</c:v>
                </c:pt>
                <c:pt idx="461">
                  <c:v>73.084499999999991</c:v>
                </c:pt>
                <c:pt idx="462">
                  <c:v>73.084499999999991</c:v>
                </c:pt>
                <c:pt idx="463">
                  <c:v>73.084499999999991</c:v>
                </c:pt>
                <c:pt idx="464">
                  <c:v>73.084499999999991</c:v>
                </c:pt>
                <c:pt idx="465">
                  <c:v>73.084499999999991</c:v>
                </c:pt>
                <c:pt idx="466">
                  <c:v>73.084499999999991</c:v>
                </c:pt>
                <c:pt idx="467">
                  <c:v>73.084499999999991</c:v>
                </c:pt>
                <c:pt idx="468">
                  <c:v>73.084499999999991</c:v>
                </c:pt>
                <c:pt idx="469">
                  <c:v>73.084499999999991</c:v>
                </c:pt>
                <c:pt idx="470">
                  <c:v>73.084499999999991</c:v>
                </c:pt>
                <c:pt idx="471">
                  <c:v>73.084499999999991</c:v>
                </c:pt>
                <c:pt idx="472">
                  <c:v>73.084499999999991</c:v>
                </c:pt>
                <c:pt idx="473">
                  <c:v>73.084499999999991</c:v>
                </c:pt>
                <c:pt idx="474">
                  <c:v>73.084499999999991</c:v>
                </c:pt>
                <c:pt idx="475">
                  <c:v>73.084499999999991</c:v>
                </c:pt>
                <c:pt idx="476">
                  <c:v>73.084499999999991</c:v>
                </c:pt>
                <c:pt idx="477">
                  <c:v>73.084499999999991</c:v>
                </c:pt>
                <c:pt idx="478">
                  <c:v>73.084499999999991</c:v>
                </c:pt>
                <c:pt idx="479">
                  <c:v>73.084499999999991</c:v>
                </c:pt>
                <c:pt idx="480">
                  <c:v>73.084499999999991</c:v>
                </c:pt>
                <c:pt idx="481">
                  <c:v>73.084499999999991</c:v>
                </c:pt>
                <c:pt idx="482">
                  <c:v>73.084499999999991</c:v>
                </c:pt>
                <c:pt idx="483">
                  <c:v>73.084499999999991</c:v>
                </c:pt>
                <c:pt idx="484">
                  <c:v>73.084499999999991</c:v>
                </c:pt>
                <c:pt idx="485">
                  <c:v>73.084499999999991</c:v>
                </c:pt>
                <c:pt idx="486">
                  <c:v>73.084499999999991</c:v>
                </c:pt>
                <c:pt idx="487">
                  <c:v>73.084499999999991</c:v>
                </c:pt>
                <c:pt idx="488">
                  <c:v>73.084499999999991</c:v>
                </c:pt>
                <c:pt idx="489">
                  <c:v>73.084499999999991</c:v>
                </c:pt>
                <c:pt idx="490">
                  <c:v>73.084499999999991</c:v>
                </c:pt>
                <c:pt idx="491">
                  <c:v>73.084499999999991</c:v>
                </c:pt>
                <c:pt idx="492">
                  <c:v>73.084499999999991</c:v>
                </c:pt>
                <c:pt idx="493">
                  <c:v>73.084499999999991</c:v>
                </c:pt>
                <c:pt idx="494">
                  <c:v>73.084499999999991</c:v>
                </c:pt>
                <c:pt idx="495">
                  <c:v>73.084499999999991</c:v>
                </c:pt>
                <c:pt idx="496">
                  <c:v>73.084499999999991</c:v>
                </c:pt>
                <c:pt idx="497">
                  <c:v>73.084499999999991</c:v>
                </c:pt>
                <c:pt idx="498">
                  <c:v>73.084499999999991</c:v>
                </c:pt>
                <c:pt idx="499">
                  <c:v>73.084499999999991</c:v>
                </c:pt>
                <c:pt idx="500">
                  <c:v>73.084499999999991</c:v>
                </c:pt>
                <c:pt idx="501">
                  <c:v>73.084499999999991</c:v>
                </c:pt>
                <c:pt idx="502">
                  <c:v>73.084499999999991</c:v>
                </c:pt>
                <c:pt idx="503">
                  <c:v>73.084499999999991</c:v>
                </c:pt>
                <c:pt idx="504">
                  <c:v>73.084499999999991</c:v>
                </c:pt>
                <c:pt idx="505">
                  <c:v>73.084499999999991</c:v>
                </c:pt>
                <c:pt idx="506">
                  <c:v>73.084499999999991</c:v>
                </c:pt>
                <c:pt idx="507">
                  <c:v>73.084499999999991</c:v>
                </c:pt>
                <c:pt idx="508">
                  <c:v>73.084499999999991</c:v>
                </c:pt>
                <c:pt idx="509">
                  <c:v>73.084499999999991</c:v>
                </c:pt>
                <c:pt idx="510">
                  <c:v>73.084499999999991</c:v>
                </c:pt>
                <c:pt idx="511">
                  <c:v>73.084499999999991</c:v>
                </c:pt>
                <c:pt idx="512">
                  <c:v>73.084499999999991</c:v>
                </c:pt>
                <c:pt idx="513">
                  <c:v>73.084499999999991</c:v>
                </c:pt>
                <c:pt idx="514">
                  <c:v>73.084499999999991</c:v>
                </c:pt>
                <c:pt idx="515">
                  <c:v>73.084499999999991</c:v>
                </c:pt>
                <c:pt idx="516">
                  <c:v>73.084499999999991</c:v>
                </c:pt>
                <c:pt idx="517">
                  <c:v>73.084499999999991</c:v>
                </c:pt>
                <c:pt idx="518">
                  <c:v>73.084499999999991</c:v>
                </c:pt>
                <c:pt idx="519">
                  <c:v>73.084499999999991</c:v>
                </c:pt>
                <c:pt idx="520">
                  <c:v>73.084499999999991</c:v>
                </c:pt>
                <c:pt idx="521">
                  <c:v>73.084499999999991</c:v>
                </c:pt>
                <c:pt idx="522">
                  <c:v>73.084499999999991</c:v>
                </c:pt>
                <c:pt idx="523">
                  <c:v>73.084499999999991</c:v>
                </c:pt>
                <c:pt idx="524">
                  <c:v>73.084499999999991</c:v>
                </c:pt>
                <c:pt idx="525">
                  <c:v>73.084499999999991</c:v>
                </c:pt>
                <c:pt idx="526">
                  <c:v>73.084499999999991</c:v>
                </c:pt>
                <c:pt idx="527">
                  <c:v>73.084499999999991</c:v>
                </c:pt>
                <c:pt idx="528">
                  <c:v>73.084499999999991</c:v>
                </c:pt>
                <c:pt idx="529">
                  <c:v>73.084499999999991</c:v>
                </c:pt>
                <c:pt idx="530">
                  <c:v>73.084499999999991</c:v>
                </c:pt>
                <c:pt idx="531">
                  <c:v>73.084499999999991</c:v>
                </c:pt>
                <c:pt idx="532">
                  <c:v>73.084499999999991</c:v>
                </c:pt>
                <c:pt idx="533">
                  <c:v>73.084499999999991</c:v>
                </c:pt>
                <c:pt idx="534">
                  <c:v>73.084499999999991</c:v>
                </c:pt>
                <c:pt idx="535">
                  <c:v>73.084499999999991</c:v>
                </c:pt>
                <c:pt idx="536">
                  <c:v>73.084499999999991</c:v>
                </c:pt>
                <c:pt idx="537">
                  <c:v>73.084499999999991</c:v>
                </c:pt>
                <c:pt idx="538">
                  <c:v>73.084499999999991</c:v>
                </c:pt>
                <c:pt idx="539">
                  <c:v>73.084499999999991</c:v>
                </c:pt>
                <c:pt idx="540">
                  <c:v>73.084499999999991</c:v>
                </c:pt>
                <c:pt idx="541">
                  <c:v>73.084499999999991</c:v>
                </c:pt>
                <c:pt idx="542">
                  <c:v>73.084499999999991</c:v>
                </c:pt>
                <c:pt idx="543">
                  <c:v>73.084499999999991</c:v>
                </c:pt>
                <c:pt idx="544">
                  <c:v>73.084499999999991</c:v>
                </c:pt>
                <c:pt idx="545">
                  <c:v>73.084499999999991</c:v>
                </c:pt>
                <c:pt idx="546">
                  <c:v>73.084499999999991</c:v>
                </c:pt>
                <c:pt idx="547">
                  <c:v>73.084499999999991</c:v>
                </c:pt>
                <c:pt idx="548">
                  <c:v>73.084499999999991</c:v>
                </c:pt>
                <c:pt idx="549">
                  <c:v>73.084499999999991</c:v>
                </c:pt>
                <c:pt idx="550">
                  <c:v>73.084499999999991</c:v>
                </c:pt>
                <c:pt idx="551">
                  <c:v>73.084499999999991</c:v>
                </c:pt>
                <c:pt idx="552">
                  <c:v>73.084499999999991</c:v>
                </c:pt>
                <c:pt idx="553">
                  <c:v>73.084499999999991</c:v>
                </c:pt>
                <c:pt idx="554">
                  <c:v>73.084499999999991</c:v>
                </c:pt>
                <c:pt idx="555">
                  <c:v>73.084499999999991</c:v>
                </c:pt>
                <c:pt idx="556">
                  <c:v>73.084499999999991</c:v>
                </c:pt>
                <c:pt idx="557">
                  <c:v>73.084499999999991</c:v>
                </c:pt>
                <c:pt idx="558">
                  <c:v>73.084499999999991</c:v>
                </c:pt>
                <c:pt idx="559">
                  <c:v>73.084499999999991</c:v>
                </c:pt>
                <c:pt idx="560">
                  <c:v>73.084499999999991</c:v>
                </c:pt>
                <c:pt idx="561">
                  <c:v>73.084499999999991</c:v>
                </c:pt>
                <c:pt idx="562">
                  <c:v>73.084499999999991</c:v>
                </c:pt>
                <c:pt idx="563">
                  <c:v>73.084499999999991</c:v>
                </c:pt>
                <c:pt idx="564">
                  <c:v>73.084499999999991</c:v>
                </c:pt>
                <c:pt idx="565">
                  <c:v>73.084499999999991</c:v>
                </c:pt>
                <c:pt idx="566">
                  <c:v>73.084499999999991</c:v>
                </c:pt>
                <c:pt idx="567">
                  <c:v>73.084499999999991</c:v>
                </c:pt>
                <c:pt idx="568">
                  <c:v>73.084499999999991</c:v>
                </c:pt>
                <c:pt idx="569">
                  <c:v>73.084499999999991</c:v>
                </c:pt>
                <c:pt idx="570">
                  <c:v>73.084499999999991</c:v>
                </c:pt>
                <c:pt idx="571">
                  <c:v>73.084499999999991</c:v>
                </c:pt>
                <c:pt idx="572">
                  <c:v>73.084499999999991</c:v>
                </c:pt>
                <c:pt idx="573">
                  <c:v>73.084499999999991</c:v>
                </c:pt>
                <c:pt idx="574">
                  <c:v>73.084499999999991</c:v>
                </c:pt>
                <c:pt idx="575">
                  <c:v>73.084499999999991</c:v>
                </c:pt>
                <c:pt idx="576">
                  <c:v>73.084499999999991</c:v>
                </c:pt>
                <c:pt idx="577">
                  <c:v>73.084499999999991</c:v>
                </c:pt>
                <c:pt idx="578">
                  <c:v>73.084499999999991</c:v>
                </c:pt>
                <c:pt idx="579">
                  <c:v>73.084499999999991</c:v>
                </c:pt>
                <c:pt idx="580">
                  <c:v>73.084499999999991</c:v>
                </c:pt>
                <c:pt idx="581">
                  <c:v>73.084499999999991</c:v>
                </c:pt>
                <c:pt idx="582">
                  <c:v>73.084499999999991</c:v>
                </c:pt>
                <c:pt idx="583">
                  <c:v>73.084499999999991</c:v>
                </c:pt>
                <c:pt idx="584">
                  <c:v>73.084499999999991</c:v>
                </c:pt>
                <c:pt idx="585">
                  <c:v>73.084499999999991</c:v>
                </c:pt>
                <c:pt idx="586">
                  <c:v>73.084499999999991</c:v>
                </c:pt>
                <c:pt idx="587">
                  <c:v>73.084499999999991</c:v>
                </c:pt>
                <c:pt idx="588">
                  <c:v>73.084499999999991</c:v>
                </c:pt>
                <c:pt idx="589">
                  <c:v>73.084499999999991</c:v>
                </c:pt>
                <c:pt idx="590">
                  <c:v>73.084499999999991</c:v>
                </c:pt>
                <c:pt idx="591">
                  <c:v>73.084499999999991</c:v>
                </c:pt>
                <c:pt idx="592">
                  <c:v>73.084499999999991</c:v>
                </c:pt>
                <c:pt idx="593">
                  <c:v>73.084499999999991</c:v>
                </c:pt>
                <c:pt idx="594">
                  <c:v>73.084499999999991</c:v>
                </c:pt>
                <c:pt idx="595">
                  <c:v>73.084499999999991</c:v>
                </c:pt>
                <c:pt idx="596">
                  <c:v>73.084499999999991</c:v>
                </c:pt>
                <c:pt idx="597">
                  <c:v>73.084499999999991</c:v>
                </c:pt>
                <c:pt idx="598">
                  <c:v>73.084499999999991</c:v>
                </c:pt>
                <c:pt idx="599">
                  <c:v>73.084499999999991</c:v>
                </c:pt>
                <c:pt idx="600">
                  <c:v>73.084499999999991</c:v>
                </c:pt>
                <c:pt idx="601">
                  <c:v>73.084499999999991</c:v>
                </c:pt>
                <c:pt idx="602">
                  <c:v>73.084499999999991</c:v>
                </c:pt>
                <c:pt idx="603">
                  <c:v>73.084499999999991</c:v>
                </c:pt>
                <c:pt idx="604">
                  <c:v>73.084499999999991</c:v>
                </c:pt>
                <c:pt idx="605">
                  <c:v>73.084499999999991</c:v>
                </c:pt>
                <c:pt idx="606">
                  <c:v>73.084499999999991</c:v>
                </c:pt>
                <c:pt idx="607">
                  <c:v>73.084499999999991</c:v>
                </c:pt>
                <c:pt idx="608">
                  <c:v>73.084499999999991</c:v>
                </c:pt>
                <c:pt idx="609">
                  <c:v>73.084499999999991</c:v>
                </c:pt>
                <c:pt idx="610">
                  <c:v>73.084499999999991</c:v>
                </c:pt>
                <c:pt idx="611">
                  <c:v>73.084499999999991</c:v>
                </c:pt>
                <c:pt idx="612">
                  <c:v>73.084499999999991</c:v>
                </c:pt>
                <c:pt idx="613">
                  <c:v>73.084499999999991</c:v>
                </c:pt>
                <c:pt idx="614">
                  <c:v>73.084499999999991</c:v>
                </c:pt>
                <c:pt idx="615">
                  <c:v>73.084499999999991</c:v>
                </c:pt>
                <c:pt idx="616">
                  <c:v>73.084499999999991</c:v>
                </c:pt>
                <c:pt idx="617">
                  <c:v>73.084499999999991</c:v>
                </c:pt>
                <c:pt idx="618">
                  <c:v>73.084499999999991</c:v>
                </c:pt>
                <c:pt idx="619">
                  <c:v>73.084499999999991</c:v>
                </c:pt>
                <c:pt idx="620">
                  <c:v>73.084499999999991</c:v>
                </c:pt>
                <c:pt idx="621">
                  <c:v>73.084499999999991</c:v>
                </c:pt>
                <c:pt idx="622">
                  <c:v>73.084499999999991</c:v>
                </c:pt>
                <c:pt idx="623">
                  <c:v>73.084499999999991</c:v>
                </c:pt>
                <c:pt idx="624">
                  <c:v>73.084499999999991</c:v>
                </c:pt>
                <c:pt idx="625">
                  <c:v>73.084499999999991</c:v>
                </c:pt>
                <c:pt idx="626">
                  <c:v>73.084499999999991</c:v>
                </c:pt>
                <c:pt idx="627">
                  <c:v>73.084499999999991</c:v>
                </c:pt>
                <c:pt idx="628">
                  <c:v>73.084499999999991</c:v>
                </c:pt>
                <c:pt idx="629">
                  <c:v>73.084499999999991</c:v>
                </c:pt>
                <c:pt idx="630">
                  <c:v>73.084499999999991</c:v>
                </c:pt>
                <c:pt idx="631">
                  <c:v>73.084499999999991</c:v>
                </c:pt>
                <c:pt idx="632">
                  <c:v>73.084499999999991</c:v>
                </c:pt>
                <c:pt idx="633">
                  <c:v>73.084499999999991</c:v>
                </c:pt>
                <c:pt idx="634">
                  <c:v>73.084499999999991</c:v>
                </c:pt>
                <c:pt idx="635">
                  <c:v>73.084499999999991</c:v>
                </c:pt>
                <c:pt idx="636">
                  <c:v>73.084499999999991</c:v>
                </c:pt>
                <c:pt idx="637">
                  <c:v>73.084499999999991</c:v>
                </c:pt>
                <c:pt idx="638">
                  <c:v>73.084499999999991</c:v>
                </c:pt>
                <c:pt idx="639">
                  <c:v>73.084499999999991</c:v>
                </c:pt>
                <c:pt idx="640">
                  <c:v>73.084499999999991</c:v>
                </c:pt>
                <c:pt idx="641">
                  <c:v>73.084499999999991</c:v>
                </c:pt>
                <c:pt idx="642">
                  <c:v>73.084499999999991</c:v>
                </c:pt>
                <c:pt idx="643">
                  <c:v>73.084499999999991</c:v>
                </c:pt>
                <c:pt idx="644">
                  <c:v>73.084499999999991</c:v>
                </c:pt>
                <c:pt idx="645">
                  <c:v>73.084499999999991</c:v>
                </c:pt>
                <c:pt idx="646">
                  <c:v>73.084499999999991</c:v>
                </c:pt>
                <c:pt idx="647">
                  <c:v>73.084499999999991</c:v>
                </c:pt>
                <c:pt idx="648">
                  <c:v>73.084499999999991</c:v>
                </c:pt>
                <c:pt idx="649">
                  <c:v>73.084499999999991</c:v>
                </c:pt>
                <c:pt idx="650">
                  <c:v>73.084499999999991</c:v>
                </c:pt>
                <c:pt idx="651">
                  <c:v>73.084499999999991</c:v>
                </c:pt>
                <c:pt idx="652">
                  <c:v>73.084499999999991</c:v>
                </c:pt>
                <c:pt idx="653">
                  <c:v>73.084499999999991</c:v>
                </c:pt>
                <c:pt idx="654">
                  <c:v>73.084499999999991</c:v>
                </c:pt>
                <c:pt idx="655">
                  <c:v>73.084499999999991</c:v>
                </c:pt>
                <c:pt idx="656">
                  <c:v>73.084499999999991</c:v>
                </c:pt>
                <c:pt idx="657">
                  <c:v>73.084499999999991</c:v>
                </c:pt>
                <c:pt idx="658">
                  <c:v>73.084499999999991</c:v>
                </c:pt>
                <c:pt idx="659">
                  <c:v>73.084499999999991</c:v>
                </c:pt>
                <c:pt idx="660">
                  <c:v>73.084499999999991</c:v>
                </c:pt>
                <c:pt idx="661">
                  <c:v>73.084499999999991</c:v>
                </c:pt>
                <c:pt idx="662">
                  <c:v>73.084499999999991</c:v>
                </c:pt>
                <c:pt idx="663">
                  <c:v>73.084499999999991</c:v>
                </c:pt>
                <c:pt idx="664">
                  <c:v>73.084499999999991</c:v>
                </c:pt>
                <c:pt idx="665">
                  <c:v>73.084499999999991</c:v>
                </c:pt>
                <c:pt idx="666">
                  <c:v>73.084499999999991</c:v>
                </c:pt>
                <c:pt idx="667">
                  <c:v>73.084499999999991</c:v>
                </c:pt>
                <c:pt idx="668">
                  <c:v>73.084499999999991</c:v>
                </c:pt>
                <c:pt idx="669">
                  <c:v>73.084499999999991</c:v>
                </c:pt>
                <c:pt idx="670">
                  <c:v>73.084499999999991</c:v>
                </c:pt>
                <c:pt idx="671">
                  <c:v>73.084499999999991</c:v>
                </c:pt>
                <c:pt idx="672">
                  <c:v>73.084499999999991</c:v>
                </c:pt>
                <c:pt idx="673">
                  <c:v>73.084499999999991</c:v>
                </c:pt>
                <c:pt idx="674">
                  <c:v>73.084499999999991</c:v>
                </c:pt>
                <c:pt idx="675">
                  <c:v>73.084499999999991</c:v>
                </c:pt>
                <c:pt idx="676">
                  <c:v>73.084499999999991</c:v>
                </c:pt>
                <c:pt idx="677">
                  <c:v>73.084499999999991</c:v>
                </c:pt>
                <c:pt idx="678">
                  <c:v>73.084499999999991</c:v>
                </c:pt>
                <c:pt idx="679">
                  <c:v>73.084499999999991</c:v>
                </c:pt>
                <c:pt idx="680">
                  <c:v>73.084499999999991</c:v>
                </c:pt>
                <c:pt idx="681">
                  <c:v>73.084499999999991</c:v>
                </c:pt>
                <c:pt idx="682">
                  <c:v>73.084499999999991</c:v>
                </c:pt>
                <c:pt idx="683">
                  <c:v>73.084499999999991</c:v>
                </c:pt>
                <c:pt idx="684">
                  <c:v>73.084499999999991</c:v>
                </c:pt>
                <c:pt idx="685">
                  <c:v>73.084499999999991</c:v>
                </c:pt>
                <c:pt idx="686">
                  <c:v>73.084499999999991</c:v>
                </c:pt>
                <c:pt idx="687">
                  <c:v>73.084499999999991</c:v>
                </c:pt>
                <c:pt idx="688">
                  <c:v>73.084499999999991</c:v>
                </c:pt>
                <c:pt idx="689">
                  <c:v>73.084499999999991</c:v>
                </c:pt>
                <c:pt idx="690">
                  <c:v>73.084499999999991</c:v>
                </c:pt>
                <c:pt idx="691">
                  <c:v>73.084499999999991</c:v>
                </c:pt>
                <c:pt idx="692">
                  <c:v>73.084499999999991</c:v>
                </c:pt>
                <c:pt idx="693">
                  <c:v>73.084499999999991</c:v>
                </c:pt>
                <c:pt idx="694">
                  <c:v>73.084499999999991</c:v>
                </c:pt>
                <c:pt idx="695">
                  <c:v>73.084499999999991</c:v>
                </c:pt>
                <c:pt idx="696">
                  <c:v>73.084499999999991</c:v>
                </c:pt>
                <c:pt idx="697">
                  <c:v>73.084499999999991</c:v>
                </c:pt>
                <c:pt idx="698">
                  <c:v>73.084499999999991</c:v>
                </c:pt>
                <c:pt idx="699">
                  <c:v>73.084499999999991</c:v>
                </c:pt>
                <c:pt idx="700">
                  <c:v>73.084499999999991</c:v>
                </c:pt>
                <c:pt idx="701">
                  <c:v>73.084499999999991</c:v>
                </c:pt>
                <c:pt idx="702">
                  <c:v>73.084499999999991</c:v>
                </c:pt>
                <c:pt idx="703">
                  <c:v>73.084499999999991</c:v>
                </c:pt>
                <c:pt idx="704">
                  <c:v>73.084499999999991</c:v>
                </c:pt>
                <c:pt idx="705">
                  <c:v>73.084499999999991</c:v>
                </c:pt>
                <c:pt idx="706">
                  <c:v>73.084499999999991</c:v>
                </c:pt>
                <c:pt idx="707">
                  <c:v>73.084499999999991</c:v>
                </c:pt>
                <c:pt idx="708">
                  <c:v>73.084499999999991</c:v>
                </c:pt>
                <c:pt idx="709">
                  <c:v>73.084499999999991</c:v>
                </c:pt>
                <c:pt idx="710">
                  <c:v>73.084499999999991</c:v>
                </c:pt>
                <c:pt idx="711">
                  <c:v>73.084499999999991</c:v>
                </c:pt>
                <c:pt idx="712">
                  <c:v>73.084499999999991</c:v>
                </c:pt>
                <c:pt idx="713">
                  <c:v>73.084499999999991</c:v>
                </c:pt>
                <c:pt idx="714">
                  <c:v>73.084499999999991</c:v>
                </c:pt>
                <c:pt idx="715">
                  <c:v>73.084499999999991</c:v>
                </c:pt>
                <c:pt idx="716">
                  <c:v>73.084499999999991</c:v>
                </c:pt>
                <c:pt idx="717">
                  <c:v>73.084499999999991</c:v>
                </c:pt>
                <c:pt idx="718">
                  <c:v>73.084499999999991</c:v>
                </c:pt>
                <c:pt idx="719">
                  <c:v>73.084499999999991</c:v>
                </c:pt>
                <c:pt idx="720">
                  <c:v>73.084499999999991</c:v>
                </c:pt>
                <c:pt idx="721">
                  <c:v>73.084499999999991</c:v>
                </c:pt>
                <c:pt idx="722">
                  <c:v>73.084499999999991</c:v>
                </c:pt>
                <c:pt idx="723">
                  <c:v>73.084499999999991</c:v>
                </c:pt>
                <c:pt idx="724">
                  <c:v>73.084499999999991</c:v>
                </c:pt>
                <c:pt idx="725">
                  <c:v>73.084499999999991</c:v>
                </c:pt>
                <c:pt idx="726">
                  <c:v>73.084499999999991</c:v>
                </c:pt>
                <c:pt idx="727">
                  <c:v>73.084499999999991</c:v>
                </c:pt>
                <c:pt idx="728">
                  <c:v>73.084499999999991</c:v>
                </c:pt>
                <c:pt idx="729">
                  <c:v>73.084499999999991</c:v>
                </c:pt>
                <c:pt idx="730">
                  <c:v>73.084499999999991</c:v>
                </c:pt>
                <c:pt idx="731">
                  <c:v>73.084499999999991</c:v>
                </c:pt>
                <c:pt idx="732">
                  <c:v>73.084499999999991</c:v>
                </c:pt>
                <c:pt idx="733">
                  <c:v>73.084499999999991</c:v>
                </c:pt>
                <c:pt idx="734">
                  <c:v>73.084499999999991</c:v>
                </c:pt>
                <c:pt idx="735">
                  <c:v>73.084499999999991</c:v>
                </c:pt>
                <c:pt idx="736">
                  <c:v>73.084499999999991</c:v>
                </c:pt>
                <c:pt idx="737">
                  <c:v>73.084499999999991</c:v>
                </c:pt>
                <c:pt idx="738">
                  <c:v>73.084499999999991</c:v>
                </c:pt>
                <c:pt idx="739">
                  <c:v>73.084499999999991</c:v>
                </c:pt>
                <c:pt idx="740">
                  <c:v>73.084499999999991</c:v>
                </c:pt>
                <c:pt idx="741">
                  <c:v>73.084499999999991</c:v>
                </c:pt>
                <c:pt idx="742">
                  <c:v>73.084499999999991</c:v>
                </c:pt>
                <c:pt idx="743">
                  <c:v>73.084499999999991</c:v>
                </c:pt>
                <c:pt idx="744">
                  <c:v>73.084499999999991</c:v>
                </c:pt>
                <c:pt idx="745">
                  <c:v>73.084499999999991</c:v>
                </c:pt>
                <c:pt idx="746">
                  <c:v>73.084499999999991</c:v>
                </c:pt>
                <c:pt idx="747">
                  <c:v>73.084499999999991</c:v>
                </c:pt>
                <c:pt idx="748">
                  <c:v>73.084499999999991</c:v>
                </c:pt>
                <c:pt idx="749">
                  <c:v>73.084499999999991</c:v>
                </c:pt>
                <c:pt idx="750">
                  <c:v>73.084499999999991</c:v>
                </c:pt>
                <c:pt idx="751">
                  <c:v>73.084499999999991</c:v>
                </c:pt>
                <c:pt idx="752">
                  <c:v>73.084499999999991</c:v>
                </c:pt>
                <c:pt idx="753">
                  <c:v>73.084499999999991</c:v>
                </c:pt>
                <c:pt idx="754">
                  <c:v>73.084499999999991</c:v>
                </c:pt>
                <c:pt idx="755">
                  <c:v>73.084499999999991</c:v>
                </c:pt>
                <c:pt idx="756">
                  <c:v>73.084499999999991</c:v>
                </c:pt>
                <c:pt idx="757">
                  <c:v>73.084499999999991</c:v>
                </c:pt>
                <c:pt idx="758">
                  <c:v>73.084499999999991</c:v>
                </c:pt>
                <c:pt idx="759">
                  <c:v>73.084499999999991</c:v>
                </c:pt>
                <c:pt idx="760">
                  <c:v>73.084499999999991</c:v>
                </c:pt>
                <c:pt idx="761">
                  <c:v>73.084499999999991</c:v>
                </c:pt>
                <c:pt idx="762">
                  <c:v>73.084499999999991</c:v>
                </c:pt>
                <c:pt idx="763">
                  <c:v>73.084499999999991</c:v>
                </c:pt>
                <c:pt idx="764">
                  <c:v>73.084499999999991</c:v>
                </c:pt>
                <c:pt idx="765">
                  <c:v>73.084499999999991</c:v>
                </c:pt>
                <c:pt idx="766">
                  <c:v>73.084499999999991</c:v>
                </c:pt>
                <c:pt idx="767">
                  <c:v>73.084499999999991</c:v>
                </c:pt>
                <c:pt idx="768">
                  <c:v>73.084499999999991</c:v>
                </c:pt>
                <c:pt idx="769">
                  <c:v>73.084499999999991</c:v>
                </c:pt>
                <c:pt idx="770">
                  <c:v>73.084499999999991</c:v>
                </c:pt>
                <c:pt idx="771">
                  <c:v>73.084499999999991</c:v>
                </c:pt>
                <c:pt idx="772">
                  <c:v>73.084499999999991</c:v>
                </c:pt>
                <c:pt idx="773">
                  <c:v>73.084499999999991</c:v>
                </c:pt>
                <c:pt idx="774">
                  <c:v>73.084499999999991</c:v>
                </c:pt>
                <c:pt idx="775">
                  <c:v>73.084499999999991</c:v>
                </c:pt>
                <c:pt idx="776">
                  <c:v>73.084499999999991</c:v>
                </c:pt>
                <c:pt idx="777">
                  <c:v>73.084499999999991</c:v>
                </c:pt>
                <c:pt idx="778">
                  <c:v>73.084499999999991</c:v>
                </c:pt>
                <c:pt idx="779">
                  <c:v>73.084499999999991</c:v>
                </c:pt>
                <c:pt idx="780">
                  <c:v>73.084499999999991</c:v>
                </c:pt>
                <c:pt idx="781">
                  <c:v>73.084499999999991</c:v>
                </c:pt>
                <c:pt idx="782">
                  <c:v>73.084499999999991</c:v>
                </c:pt>
                <c:pt idx="783">
                  <c:v>73.084499999999991</c:v>
                </c:pt>
                <c:pt idx="784">
                  <c:v>73.084499999999991</c:v>
                </c:pt>
                <c:pt idx="785">
                  <c:v>73.084499999999991</c:v>
                </c:pt>
                <c:pt idx="786">
                  <c:v>73.084499999999991</c:v>
                </c:pt>
                <c:pt idx="787">
                  <c:v>73.084499999999991</c:v>
                </c:pt>
                <c:pt idx="788">
                  <c:v>73.084499999999991</c:v>
                </c:pt>
                <c:pt idx="789">
                  <c:v>73.084499999999991</c:v>
                </c:pt>
                <c:pt idx="790">
                  <c:v>73.084499999999991</c:v>
                </c:pt>
                <c:pt idx="791">
                  <c:v>73.084499999999991</c:v>
                </c:pt>
                <c:pt idx="792">
                  <c:v>73.084499999999991</c:v>
                </c:pt>
                <c:pt idx="793">
                  <c:v>73.084499999999991</c:v>
                </c:pt>
                <c:pt idx="794">
                  <c:v>73.084499999999991</c:v>
                </c:pt>
                <c:pt idx="795">
                  <c:v>73.084499999999991</c:v>
                </c:pt>
                <c:pt idx="796">
                  <c:v>73.084499999999991</c:v>
                </c:pt>
                <c:pt idx="797">
                  <c:v>73.084499999999991</c:v>
                </c:pt>
                <c:pt idx="798">
                  <c:v>73.084499999999991</c:v>
                </c:pt>
                <c:pt idx="799">
                  <c:v>73.084499999999991</c:v>
                </c:pt>
                <c:pt idx="800">
                  <c:v>73.084499999999991</c:v>
                </c:pt>
                <c:pt idx="801">
                  <c:v>73.084499999999991</c:v>
                </c:pt>
                <c:pt idx="802">
                  <c:v>73.084499999999991</c:v>
                </c:pt>
                <c:pt idx="803">
                  <c:v>73.084499999999991</c:v>
                </c:pt>
                <c:pt idx="804">
                  <c:v>73.084499999999991</c:v>
                </c:pt>
                <c:pt idx="805">
                  <c:v>73.084499999999991</c:v>
                </c:pt>
                <c:pt idx="806">
                  <c:v>73.084499999999991</c:v>
                </c:pt>
                <c:pt idx="807">
                  <c:v>73.084499999999991</c:v>
                </c:pt>
                <c:pt idx="808">
                  <c:v>73.084499999999991</c:v>
                </c:pt>
                <c:pt idx="809">
                  <c:v>73.084499999999991</c:v>
                </c:pt>
                <c:pt idx="810">
                  <c:v>73.084499999999991</c:v>
                </c:pt>
                <c:pt idx="811">
                  <c:v>73.084499999999991</c:v>
                </c:pt>
                <c:pt idx="812">
                  <c:v>73.084499999999991</c:v>
                </c:pt>
                <c:pt idx="813">
                  <c:v>73.084499999999991</c:v>
                </c:pt>
                <c:pt idx="814">
                  <c:v>73.084499999999991</c:v>
                </c:pt>
                <c:pt idx="815">
                  <c:v>73.084499999999991</c:v>
                </c:pt>
                <c:pt idx="816">
                  <c:v>73.084499999999991</c:v>
                </c:pt>
                <c:pt idx="817">
                  <c:v>73.084499999999991</c:v>
                </c:pt>
                <c:pt idx="818">
                  <c:v>73.084499999999991</c:v>
                </c:pt>
                <c:pt idx="819">
                  <c:v>73.084499999999991</c:v>
                </c:pt>
                <c:pt idx="820">
                  <c:v>73.084499999999991</c:v>
                </c:pt>
                <c:pt idx="821">
                  <c:v>73.084499999999991</c:v>
                </c:pt>
                <c:pt idx="822">
                  <c:v>73.084499999999991</c:v>
                </c:pt>
                <c:pt idx="823">
                  <c:v>73.084499999999991</c:v>
                </c:pt>
                <c:pt idx="824">
                  <c:v>73.084499999999991</c:v>
                </c:pt>
                <c:pt idx="825">
                  <c:v>73.084499999999991</c:v>
                </c:pt>
                <c:pt idx="826">
                  <c:v>73.084499999999991</c:v>
                </c:pt>
                <c:pt idx="827">
                  <c:v>73.084499999999991</c:v>
                </c:pt>
                <c:pt idx="828">
                  <c:v>73.084499999999991</c:v>
                </c:pt>
                <c:pt idx="829">
                  <c:v>73.084499999999991</c:v>
                </c:pt>
                <c:pt idx="830">
                  <c:v>73.084499999999991</c:v>
                </c:pt>
                <c:pt idx="831">
                  <c:v>73.084499999999991</c:v>
                </c:pt>
                <c:pt idx="832">
                  <c:v>73.084499999999991</c:v>
                </c:pt>
                <c:pt idx="833">
                  <c:v>73.084499999999991</c:v>
                </c:pt>
                <c:pt idx="834">
                  <c:v>73.084499999999991</c:v>
                </c:pt>
                <c:pt idx="835">
                  <c:v>73.084499999999991</c:v>
                </c:pt>
                <c:pt idx="836">
                  <c:v>73.084499999999991</c:v>
                </c:pt>
                <c:pt idx="837">
                  <c:v>73.084499999999991</c:v>
                </c:pt>
                <c:pt idx="838">
                  <c:v>73.084499999999991</c:v>
                </c:pt>
                <c:pt idx="839">
                  <c:v>73.084499999999991</c:v>
                </c:pt>
                <c:pt idx="840">
                  <c:v>73.084499999999991</c:v>
                </c:pt>
                <c:pt idx="841">
                  <c:v>73.084499999999991</c:v>
                </c:pt>
                <c:pt idx="842">
                  <c:v>73.084499999999991</c:v>
                </c:pt>
                <c:pt idx="843">
                  <c:v>73.084499999999991</c:v>
                </c:pt>
                <c:pt idx="844">
                  <c:v>73.084499999999991</c:v>
                </c:pt>
                <c:pt idx="845">
                  <c:v>73.084499999999991</c:v>
                </c:pt>
                <c:pt idx="846">
                  <c:v>73.084499999999991</c:v>
                </c:pt>
                <c:pt idx="847">
                  <c:v>73.084499999999991</c:v>
                </c:pt>
                <c:pt idx="848">
                  <c:v>73.084499999999991</c:v>
                </c:pt>
                <c:pt idx="849">
                  <c:v>73.084499999999991</c:v>
                </c:pt>
                <c:pt idx="850">
                  <c:v>73.084499999999991</c:v>
                </c:pt>
                <c:pt idx="851">
                  <c:v>73.084499999999991</c:v>
                </c:pt>
                <c:pt idx="852">
                  <c:v>73.084499999999991</c:v>
                </c:pt>
                <c:pt idx="853">
                  <c:v>73.084499999999991</c:v>
                </c:pt>
                <c:pt idx="854">
                  <c:v>73.084499999999991</c:v>
                </c:pt>
                <c:pt idx="855">
                  <c:v>73.084499999999991</c:v>
                </c:pt>
                <c:pt idx="856">
                  <c:v>73.084499999999991</c:v>
                </c:pt>
                <c:pt idx="857">
                  <c:v>73.084499999999991</c:v>
                </c:pt>
                <c:pt idx="858">
                  <c:v>73.084499999999991</c:v>
                </c:pt>
                <c:pt idx="859">
                  <c:v>73.084499999999991</c:v>
                </c:pt>
                <c:pt idx="860">
                  <c:v>73.084499999999991</c:v>
                </c:pt>
                <c:pt idx="861">
                  <c:v>73.084499999999991</c:v>
                </c:pt>
                <c:pt idx="862">
                  <c:v>73.084499999999991</c:v>
                </c:pt>
                <c:pt idx="863">
                  <c:v>73.084499999999991</c:v>
                </c:pt>
                <c:pt idx="864">
                  <c:v>73.084499999999991</c:v>
                </c:pt>
                <c:pt idx="865">
                  <c:v>73.084499999999991</c:v>
                </c:pt>
                <c:pt idx="866">
                  <c:v>73.084499999999991</c:v>
                </c:pt>
                <c:pt idx="867">
                  <c:v>73.084499999999991</c:v>
                </c:pt>
                <c:pt idx="868">
                  <c:v>73.084499999999991</c:v>
                </c:pt>
                <c:pt idx="869">
                  <c:v>73.084499999999991</c:v>
                </c:pt>
                <c:pt idx="870">
                  <c:v>73.084499999999991</c:v>
                </c:pt>
                <c:pt idx="871">
                  <c:v>73.084499999999991</c:v>
                </c:pt>
                <c:pt idx="872">
                  <c:v>73.084499999999991</c:v>
                </c:pt>
                <c:pt idx="873">
                  <c:v>73.084499999999991</c:v>
                </c:pt>
                <c:pt idx="874">
                  <c:v>73.084499999999991</c:v>
                </c:pt>
                <c:pt idx="875">
                  <c:v>73.084499999999991</c:v>
                </c:pt>
                <c:pt idx="876">
                  <c:v>73.084499999999991</c:v>
                </c:pt>
                <c:pt idx="877">
                  <c:v>73.084499999999991</c:v>
                </c:pt>
                <c:pt idx="878">
                  <c:v>73.084499999999991</c:v>
                </c:pt>
                <c:pt idx="879">
                  <c:v>73.084499999999991</c:v>
                </c:pt>
                <c:pt idx="880">
                  <c:v>73.084499999999991</c:v>
                </c:pt>
                <c:pt idx="881">
                  <c:v>73.084499999999991</c:v>
                </c:pt>
                <c:pt idx="882">
                  <c:v>73.084499999999991</c:v>
                </c:pt>
                <c:pt idx="883">
                  <c:v>73.084499999999991</c:v>
                </c:pt>
                <c:pt idx="884">
                  <c:v>73.084499999999991</c:v>
                </c:pt>
                <c:pt idx="885">
                  <c:v>73.084499999999991</c:v>
                </c:pt>
                <c:pt idx="886">
                  <c:v>73.084499999999991</c:v>
                </c:pt>
                <c:pt idx="887">
                  <c:v>73.084499999999991</c:v>
                </c:pt>
                <c:pt idx="888">
                  <c:v>73.084499999999991</c:v>
                </c:pt>
                <c:pt idx="889">
                  <c:v>73.084499999999991</c:v>
                </c:pt>
                <c:pt idx="890">
                  <c:v>73.084499999999991</c:v>
                </c:pt>
                <c:pt idx="891">
                  <c:v>73.084499999999991</c:v>
                </c:pt>
                <c:pt idx="892">
                  <c:v>73.084499999999991</c:v>
                </c:pt>
                <c:pt idx="893">
                  <c:v>73.084499999999991</c:v>
                </c:pt>
                <c:pt idx="894">
                  <c:v>73.084499999999991</c:v>
                </c:pt>
                <c:pt idx="895">
                  <c:v>73.084499999999991</c:v>
                </c:pt>
                <c:pt idx="896">
                  <c:v>73.084499999999991</c:v>
                </c:pt>
                <c:pt idx="897">
                  <c:v>73.084499999999991</c:v>
                </c:pt>
                <c:pt idx="898">
                  <c:v>73.084499999999991</c:v>
                </c:pt>
                <c:pt idx="899">
                  <c:v>73.084499999999991</c:v>
                </c:pt>
                <c:pt idx="900">
                  <c:v>73.084499999999991</c:v>
                </c:pt>
                <c:pt idx="901">
                  <c:v>73.084499999999991</c:v>
                </c:pt>
                <c:pt idx="902">
                  <c:v>73.084499999999991</c:v>
                </c:pt>
                <c:pt idx="903">
                  <c:v>73.084499999999991</c:v>
                </c:pt>
                <c:pt idx="904">
                  <c:v>73.084499999999991</c:v>
                </c:pt>
                <c:pt idx="905">
                  <c:v>73.084499999999991</c:v>
                </c:pt>
                <c:pt idx="906">
                  <c:v>73.084499999999991</c:v>
                </c:pt>
                <c:pt idx="907">
                  <c:v>73.084499999999991</c:v>
                </c:pt>
                <c:pt idx="908">
                  <c:v>73.084499999999991</c:v>
                </c:pt>
                <c:pt idx="909">
                  <c:v>73.084499999999991</c:v>
                </c:pt>
                <c:pt idx="910">
                  <c:v>73.084499999999991</c:v>
                </c:pt>
                <c:pt idx="911">
                  <c:v>73.084499999999991</c:v>
                </c:pt>
                <c:pt idx="912">
                  <c:v>73.084499999999991</c:v>
                </c:pt>
                <c:pt idx="913">
                  <c:v>73.084499999999991</c:v>
                </c:pt>
                <c:pt idx="914">
                  <c:v>73.084499999999991</c:v>
                </c:pt>
                <c:pt idx="915">
                  <c:v>73.084499999999991</c:v>
                </c:pt>
                <c:pt idx="916">
                  <c:v>73.084499999999991</c:v>
                </c:pt>
                <c:pt idx="917">
                  <c:v>73.084499999999991</c:v>
                </c:pt>
                <c:pt idx="918">
                  <c:v>73.084499999999991</c:v>
                </c:pt>
                <c:pt idx="919">
                  <c:v>73.084499999999991</c:v>
                </c:pt>
                <c:pt idx="920">
                  <c:v>73.084499999999991</c:v>
                </c:pt>
                <c:pt idx="921">
                  <c:v>73.084499999999991</c:v>
                </c:pt>
                <c:pt idx="922">
                  <c:v>73.084499999999991</c:v>
                </c:pt>
                <c:pt idx="923">
                  <c:v>73.084499999999991</c:v>
                </c:pt>
                <c:pt idx="924">
                  <c:v>73.084499999999991</c:v>
                </c:pt>
                <c:pt idx="925">
                  <c:v>73.084499999999991</c:v>
                </c:pt>
                <c:pt idx="926">
                  <c:v>73.084499999999991</c:v>
                </c:pt>
                <c:pt idx="927">
                  <c:v>73.084499999999991</c:v>
                </c:pt>
                <c:pt idx="928">
                  <c:v>73.084499999999991</c:v>
                </c:pt>
                <c:pt idx="929">
                  <c:v>73.084499999999991</c:v>
                </c:pt>
                <c:pt idx="930">
                  <c:v>73.084499999999991</c:v>
                </c:pt>
                <c:pt idx="931">
                  <c:v>73.084499999999991</c:v>
                </c:pt>
                <c:pt idx="932">
                  <c:v>73.084499999999991</c:v>
                </c:pt>
                <c:pt idx="933">
                  <c:v>73.084499999999991</c:v>
                </c:pt>
                <c:pt idx="934">
                  <c:v>73.084499999999991</c:v>
                </c:pt>
                <c:pt idx="935">
                  <c:v>73.084499999999991</c:v>
                </c:pt>
                <c:pt idx="936">
                  <c:v>73.084499999999991</c:v>
                </c:pt>
                <c:pt idx="937">
                  <c:v>73.084499999999991</c:v>
                </c:pt>
                <c:pt idx="938">
                  <c:v>73.084499999999991</c:v>
                </c:pt>
                <c:pt idx="939">
                  <c:v>73.084499999999991</c:v>
                </c:pt>
                <c:pt idx="940">
                  <c:v>73.084499999999991</c:v>
                </c:pt>
                <c:pt idx="941">
                  <c:v>73.084499999999991</c:v>
                </c:pt>
                <c:pt idx="942">
                  <c:v>73.084499999999991</c:v>
                </c:pt>
                <c:pt idx="943">
                  <c:v>73.084499999999991</c:v>
                </c:pt>
                <c:pt idx="944">
                  <c:v>73.084499999999991</c:v>
                </c:pt>
                <c:pt idx="945">
                  <c:v>73.084499999999991</c:v>
                </c:pt>
                <c:pt idx="946">
                  <c:v>73.084499999999991</c:v>
                </c:pt>
                <c:pt idx="947">
                  <c:v>73.084499999999991</c:v>
                </c:pt>
                <c:pt idx="948">
                  <c:v>73.084499999999991</c:v>
                </c:pt>
                <c:pt idx="949">
                  <c:v>73.084499999999991</c:v>
                </c:pt>
                <c:pt idx="950">
                  <c:v>73.084499999999991</c:v>
                </c:pt>
                <c:pt idx="951">
                  <c:v>73.084499999999991</c:v>
                </c:pt>
                <c:pt idx="952">
                  <c:v>73.084499999999991</c:v>
                </c:pt>
                <c:pt idx="953">
                  <c:v>73.084499999999991</c:v>
                </c:pt>
                <c:pt idx="954">
                  <c:v>73.084499999999991</c:v>
                </c:pt>
                <c:pt idx="955">
                  <c:v>73.084499999999991</c:v>
                </c:pt>
                <c:pt idx="956">
                  <c:v>73.084499999999991</c:v>
                </c:pt>
                <c:pt idx="957">
                  <c:v>73.084499999999991</c:v>
                </c:pt>
                <c:pt idx="958">
                  <c:v>73.084499999999991</c:v>
                </c:pt>
                <c:pt idx="959">
                  <c:v>73.084499999999991</c:v>
                </c:pt>
                <c:pt idx="960">
                  <c:v>73.084499999999991</c:v>
                </c:pt>
                <c:pt idx="961">
                  <c:v>73.084499999999991</c:v>
                </c:pt>
                <c:pt idx="962">
                  <c:v>73.084499999999991</c:v>
                </c:pt>
                <c:pt idx="963">
                  <c:v>73.084499999999991</c:v>
                </c:pt>
                <c:pt idx="964">
                  <c:v>73.084499999999991</c:v>
                </c:pt>
                <c:pt idx="965">
                  <c:v>73.084499999999991</c:v>
                </c:pt>
                <c:pt idx="966">
                  <c:v>73.084499999999991</c:v>
                </c:pt>
                <c:pt idx="967">
                  <c:v>73.084499999999991</c:v>
                </c:pt>
                <c:pt idx="968">
                  <c:v>73.084499999999991</c:v>
                </c:pt>
                <c:pt idx="969">
                  <c:v>73.084499999999991</c:v>
                </c:pt>
                <c:pt idx="970">
                  <c:v>73.084499999999991</c:v>
                </c:pt>
                <c:pt idx="971">
                  <c:v>73.084499999999991</c:v>
                </c:pt>
                <c:pt idx="972">
                  <c:v>73.084499999999991</c:v>
                </c:pt>
                <c:pt idx="973">
                  <c:v>73.084499999999991</c:v>
                </c:pt>
                <c:pt idx="974">
                  <c:v>73.084499999999991</c:v>
                </c:pt>
                <c:pt idx="975">
                  <c:v>73.084499999999991</c:v>
                </c:pt>
                <c:pt idx="976">
                  <c:v>73.084499999999991</c:v>
                </c:pt>
                <c:pt idx="977">
                  <c:v>73.084499999999991</c:v>
                </c:pt>
                <c:pt idx="978">
                  <c:v>73.084499999999991</c:v>
                </c:pt>
                <c:pt idx="979">
                  <c:v>73.084499999999991</c:v>
                </c:pt>
                <c:pt idx="980">
                  <c:v>73.084499999999991</c:v>
                </c:pt>
                <c:pt idx="981">
                  <c:v>73.084499999999991</c:v>
                </c:pt>
                <c:pt idx="982">
                  <c:v>73.084499999999991</c:v>
                </c:pt>
                <c:pt idx="983">
                  <c:v>73.084499999999991</c:v>
                </c:pt>
                <c:pt idx="984">
                  <c:v>73.084499999999991</c:v>
                </c:pt>
                <c:pt idx="985">
                  <c:v>73.084499999999991</c:v>
                </c:pt>
                <c:pt idx="986">
                  <c:v>73.084499999999991</c:v>
                </c:pt>
                <c:pt idx="987">
                  <c:v>73.084499999999991</c:v>
                </c:pt>
                <c:pt idx="988">
                  <c:v>73.084499999999991</c:v>
                </c:pt>
                <c:pt idx="989">
                  <c:v>73.084499999999991</c:v>
                </c:pt>
                <c:pt idx="990">
                  <c:v>73.084499999999991</c:v>
                </c:pt>
                <c:pt idx="991">
                  <c:v>73.084499999999991</c:v>
                </c:pt>
                <c:pt idx="992">
                  <c:v>73.084499999999991</c:v>
                </c:pt>
                <c:pt idx="993">
                  <c:v>73.084499999999991</c:v>
                </c:pt>
                <c:pt idx="994">
                  <c:v>73.084499999999991</c:v>
                </c:pt>
                <c:pt idx="995">
                  <c:v>73.084499999999991</c:v>
                </c:pt>
                <c:pt idx="996">
                  <c:v>73.084499999999991</c:v>
                </c:pt>
                <c:pt idx="997">
                  <c:v>73.084499999999991</c:v>
                </c:pt>
                <c:pt idx="998">
                  <c:v>73.084499999999991</c:v>
                </c:pt>
                <c:pt idx="999">
                  <c:v>73.084499999999991</c:v>
                </c:pt>
                <c:pt idx="1000">
                  <c:v>73.084499999999991</c:v>
                </c:pt>
              </c:numCache>
            </c:numRef>
          </c:yVal>
          <c:smooth val="0"/>
          <c:extLst>
            <c:ext xmlns:c16="http://schemas.microsoft.com/office/drawing/2014/chart" uri="{C3380CC4-5D6E-409C-BE32-E72D297353CC}">
              <c16:uniqueId val="{00000001-B98B-46BB-BB51-DAAA2071230C}"/>
            </c:ext>
          </c:extLst>
        </c:ser>
        <c:ser>
          <c:idx val="0"/>
          <c:order val="2"/>
          <c:tx>
            <c:strRef>
              <c:f>Courbes!$B$133</c:f>
              <c:strCache>
                <c:ptCount val="1"/>
                <c:pt idx="0">
                  <c:v>Traînée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34.500100000000224</c:v>
                </c:pt>
                <c:pt idx="527">
                  <c:v>34.500200000000227</c:v>
                </c:pt>
                <c:pt idx="528">
                  <c:v>34.50030000000023</c:v>
                </c:pt>
                <c:pt idx="529">
                  <c:v>34.500400000000234</c:v>
                </c:pt>
                <c:pt idx="530">
                  <c:v>34.500500000000237</c:v>
                </c:pt>
                <c:pt idx="531">
                  <c:v>34.50060000000024</c:v>
                </c:pt>
                <c:pt idx="532">
                  <c:v>34.500700000000244</c:v>
                </c:pt>
                <c:pt idx="533">
                  <c:v>34.500800000000247</c:v>
                </c:pt>
                <c:pt idx="534">
                  <c:v>34.50090000000025</c:v>
                </c:pt>
                <c:pt idx="535">
                  <c:v>34.501000000000253</c:v>
                </c:pt>
                <c:pt idx="536">
                  <c:v>34.501100000000257</c:v>
                </c:pt>
                <c:pt idx="537">
                  <c:v>34.50120000000026</c:v>
                </c:pt>
                <c:pt idx="538">
                  <c:v>34.501300000000263</c:v>
                </c:pt>
                <c:pt idx="539">
                  <c:v>34.501400000000267</c:v>
                </c:pt>
                <c:pt idx="540">
                  <c:v>34.50150000000027</c:v>
                </c:pt>
                <c:pt idx="541">
                  <c:v>34.501600000000273</c:v>
                </c:pt>
                <c:pt idx="542">
                  <c:v>34.501700000000277</c:v>
                </c:pt>
                <c:pt idx="543">
                  <c:v>34.50180000000028</c:v>
                </c:pt>
                <c:pt idx="544">
                  <c:v>34.501900000000283</c:v>
                </c:pt>
                <c:pt idx="545">
                  <c:v>34.502000000000287</c:v>
                </c:pt>
                <c:pt idx="546">
                  <c:v>34.50210000000029</c:v>
                </c:pt>
                <c:pt idx="547">
                  <c:v>34.502200000000293</c:v>
                </c:pt>
                <c:pt idx="548">
                  <c:v>34.502300000000297</c:v>
                </c:pt>
                <c:pt idx="549">
                  <c:v>34.5024000000003</c:v>
                </c:pt>
                <c:pt idx="550">
                  <c:v>34.502500000000303</c:v>
                </c:pt>
                <c:pt idx="551">
                  <c:v>34.502600000000307</c:v>
                </c:pt>
                <c:pt idx="552">
                  <c:v>34.50270000000031</c:v>
                </c:pt>
                <c:pt idx="553">
                  <c:v>34.502800000000313</c:v>
                </c:pt>
                <c:pt idx="554">
                  <c:v>34.502900000000317</c:v>
                </c:pt>
                <c:pt idx="555">
                  <c:v>34.50300000000032</c:v>
                </c:pt>
                <c:pt idx="556">
                  <c:v>34.503100000000323</c:v>
                </c:pt>
                <c:pt idx="557">
                  <c:v>34.503200000000326</c:v>
                </c:pt>
                <c:pt idx="558">
                  <c:v>34.50330000000033</c:v>
                </c:pt>
                <c:pt idx="559">
                  <c:v>34.503400000000333</c:v>
                </c:pt>
                <c:pt idx="560">
                  <c:v>34.503500000000336</c:v>
                </c:pt>
                <c:pt idx="561">
                  <c:v>34.50360000000034</c:v>
                </c:pt>
                <c:pt idx="562">
                  <c:v>34.503700000000343</c:v>
                </c:pt>
                <c:pt idx="563">
                  <c:v>34.503800000000346</c:v>
                </c:pt>
                <c:pt idx="564">
                  <c:v>34.50390000000035</c:v>
                </c:pt>
                <c:pt idx="565">
                  <c:v>34.504000000000353</c:v>
                </c:pt>
                <c:pt idx="566">
                  <c:v>34.504100000000356</c:v>
                </c:pt>
                <c:pt idx="567">
                  <c:v>34.50420000000036</c:v>
                </c:pt>
                <c:pt idx="568">
                  <c:v>34.504300000000363</c:v>
                </c:pt>
                <c:pt idx="569">
                  <c:v>34.504400000000366</c:v>
                </c:pt>
                <c:pt idx="570">
                  <c:v>34.50450000000037</c:v>
                </c:pt>
                <c:pt idx="571">
                  <c:v>34.504600000000373</c:v>
                </c:pt>
                <c:pt idx="572">
                  <c:v>34.504700000000376</c:v>
                </c:pt>
                <c:pt idx="573">
                  <c:v>34.50480000000038</c:v>
                </c:pt>
                <c:pt idx="574">
                  <c:v>34.504900000000383</c:v>
                </c:pt>
                <c:pt idx="575">
                  <c:v>34.505000000000386</c:v>
                </c:pt>
                <c:pt idx="576">
                  <c:v>34.50510000000039</c:v>
                </c:pt>
                <c:pt idx="577">
                  <c:v>34.505200000000393</c:v>
                </c:pt>
                <c:pt idx="578">
                  <c:v>34.505300000000396</c:v>
                </c:pt>
                <c:pt idx="579">
                  <c:v>34.5054000000004</c:v>
                </c:pt>
                <c:pt idx="580">
                  <c:v>34.505500000000403</c:v>
                </c:pt>
                <c:pt idx="581">
                  <c:v>34.505600000000406</c:v>
                </c:pt>
                <c:pt idx="582">
                  <c:v>34.505700000000409</c:v>
                </c:pt>
                <c:pt idx="583">
                  <c:v>34.505800000000413</c:v>
                </c:pt>
                <c:pt idx="584">
                  <c:v>34.505900000000416</c:v>
                </c:pt>
                <c:pt idx="585">
                  <c:v>34.506000000000419</c:v>
                </c:pt>
                <c:pt idx="586">
                  <c:v>34.506100000000423</c:v>
                </c:pt>
                <c:pt idx="587">
                  <c:v>34.506200000000426</c:v>
                </c:pt>
                <c:pt idx="588">
                  <c:v>34.506300000000429</c:v>
                </c:pt>
                <c:pt idx="589">
                  <c:v>34.506400000000433</c:v>
                </c:pt>
                <c:pt idx="590">
                  <c:v>34.506500000000436</c:v>
                </c:pt>
                <c:pt idx="591">
                  <c:v>34.506600000000439</c:v>
                </c:pt>
                <c:pt idx="592">
                  <c:v>34.506700000000443</c:v>
                </c:pt>
                <c:pt idx="593">
                  <c:v>34.506800000000446</c:v>
                </c:pt>
                <c:pt idx="594">
                  <c:v>34.506900000000449</c:v>
                </c:pt>
                <c:pt idx="595">
                  <c:v>34.507000000000453</c:v>
                </c:pt>
                <c:pt idx="596">
                  <c:v>34.507100000000456</c:v>
                </c:pt>
                <c:pt idx="597">
                  <c:v>34.507200000000459</c:v>
                </c:pt>
                <c:pt idx="598">
                  <c:v>34.507300000000463</c:v>
                </c:pt>
                <c:pt idx="599">
                  <c:v>34.507400000000466</c:v>
                </c:pt>
                <c:pt idx="600">
                  <c:v>34.507500000000469</c:v>
                </c:pt>
                <c:pt idx="601">
                  <c:v>34.507600000000473</c:v>
                </c:pt>
                <c:pt idx="602">
                  <c:v>34.507700000000476</c:v>
                </c:pt>
                <c:pt idx="603">
                  <c:v>34.507800000000479</c:v>
                </c:pt>
                <c:pt idx="604">
                  <c:v>34.507900000000483</c:v>
                </c:pt>
                <c:pt idx="605">
                  <c:v>34.508000000000486</c:v>
                </c:pt>
                <c:pt idx="606">
                  <c:v>34.508100000000489</c:v>
                </c:pt>
                <c:pt idx="607">
                  <c:v>34.508200000000492</c:v>
                </c:pt>
                <c:pt idx="608">
                  <c:v>34.508300000000496</c:v>
                </c:pt>
                <c:pt idx="609">
                  <c:v>34.508400000000499</c:v>
                </c:pt>
                <c:pt idx="610">
                  <c:v>34.508500000000502</c:v>
                </c:pt>
                <c:pt idx="611">
                  <c:v>34.508600000000506</c:v>
                </c:pt>
                <c:pt idx="612">
                  <c:v>34.508700000000509</c:v>
                </c:pt>
                <c:pt idx="613">
                  <c:v>34.508800000000512</c:v>
                </c:pt>
                <c:pt idx="614">
                  <c:v>34.508900000000516</c:v>
                </c:pt>
                <c:pt idx="615">
                  <c:v>34.509000000000519</c:v>
                </c:pt>
                <c:pt idx="616">
                  <c:v>34.509100000000522</c:v>
                </c:pt>
                <c:pt idx="617">
                  <c:v>34.509200000000526</c:v>
                </c:pt>
                <c:pt idx="618">
                  <c:v>34.509300000000529</c:v>
                </c:pt>
                <c:pt idx="619">
                  <c:v>34.509400000000532</c:v>
                </c:pt>
                <c:pt idx="620">
                  <c:v>34.509500000000536</c:v>
                </c:pt>
                <c:pt idx="621">
                  <c:v>34.509600000000539</c:v>
                </c:pt>
                <c:pt idx="622">
                  <c:v>34.509700000000542</c:v>
                </c:pt>
                <c:pt idx="623">
                  <c:v>34.509800000000546</c:v>
                </c:pt>
                <c:pt idx="624">
                  <c:v>34.509900000000549</c:v>
                </c:pt>
                <c:pt idx="625">
                  <c:v>34.510000000000552</c:v>
                </c:pt>
                <c:pt idx="626">
                  <c:v>34.510100000000556</c:v>
                </c:pt>
                <c:pt idx="627">
                  <c:v>34.510200000000559</c:v>
                </c:pt>
                <c:pt idx="628">
                  <c:v>34.510300000000562</c:v>
                </c:pt>
                <c:pt idx="629">
                  <c:v>34.510400000000566</c:v>
                </c:pt>
                <c:pt idx="630">
                  <c:v>34.510500000000569</c:v>
                </c:pt>
                <c:pt idx="631">
                  <c:v>34.510600000000572</c:v>
                </c:pt>
                <c:pt idx="632">
                  <c:v>34.510700000000575</c:v>
                </c:pt>
                <c:pt idx="633">
                  <c:v>34.510800000000579</c:v>
                </c:pt>
                <c:pt idx="634">
                  <c:v>34.510900000000582</c:v>
                </c:pt>
                <c:pt idx="635">
                  <c:v>34.511000000000585</c:v>
                </c:pt>
                <c:pt idx="636">
                  <c:v>34.511100000000589</c:v>
                </c:pt>
                <c:pt idx="637">
                  <c:v>34.511200000000592</c:v>
                </c:pt>
                <c:pt idx="638">
                  <c:v>34.511300000000595</c:v>
                </c:pt>
                <c:pt idx="639">
                  <c:v>34.511400000000599</c:v>
                </c:pt>
                <c:pt idx="640">
                  <c:v>34.511500000000602</c:v>
                </c:pt>
                <c:pt idx="641">
                  <c:v>34.511600000000605</c:v>
                </c:pt>
                <c:pt idx="642">
                  <c:v>34.511700000000609</c:v>
                </c:pt>
                <c:pt idx="643">
                  <c:v>34.511800000000612</c:v>
                </c:pt>
                <c:pt idx="644">
                  <c:v>34.511900000000615</c:v>
                </c:pt>
                <c:pt idx="645">
                  <c:v>34.512000000000619</c:v>
                </c:pt>
                <c:pt idx="646">
                  <c:v>34.512100000000622</c:v>
                </c:pt>
                <c:pt idx="647">
                  <c:v>34.512200000000625</c:v>
                </c:pt>
                <c:pt idx="648">
                  <c:v>34.512300000000629</c:v>
                </c:pt>
                <c:pt idx="649">
                  <c:v>34.512400000000632</c:v>
                </c:pt>
                <c:pt idx="650">
                  <c:v>34.512500000000635</c:v>
                </c:pt>
                <c:pt idx="651">
                  <c:v>34.512600000000639</c:v>
                </c:pt>
                <c:pt idx="652">
                  <c:v>34.512700000000642</c:v>
                </c:pt>
                <c:pt idx="653">
                  <c:v>34.512800000000645</c:v>
                </c:pt>
                <c:pt idx="654">
                  <c:v>34.512900000000649</c:v>
                </c:pt>
                <c:pt idx="655">
                  <c:v>34.513000000000652</c:v>
                </c:pt>
                <c:pt idx="656">
                  <c:v>34.513100000000655</c:v>
                </c:pt>
                <c:pt idx="657">
                  <c:v>34.513200000000658</c:v>
                </c:pt>
                <c:pt idx="658">
                  <c:v>34.513300000000662</c:v>
                </c:pt>
                <c:pt idx="659">
                  <c:v>34.513400000000665</c:v>
                </c:pt>
                <c:pt idx="660">
                  <c:v>34.513500000000668</c:v>
                </c:pt>
                <c:pt idx="661">
                  <c:v>34.513600000000672</c:v>
                </c:pt>
                <c:pt idx="662">
                  <c:v>34.513700000000675</c:v>
                </c:pt>
                <c:pt idx="663">
                  <c:v>34.513800000000678</c:v>
                </c:pt>
                <c:pt idx="664">
                  <c:v>34.513900000000682</c:v>
                </c:pt>
                <c:pt idx="665">
                  <c:v>34.514000000000685</c:v>
                </c:pt>
                <c:pt idx="666">
                  <c:v>34.514100000000688</c:v>
                </c:pt>
                <c:pt idx="667">
                  <c:v>34.514200000000692</c:v>
                </c:pt>
                <c:pt idx="668">
                  <c:v>34.514300000000695</c:v>
                </c:pt>
                <c:pt idx="669">
                  <c:v>34.514400000000698</c:v>
                </c:pt>
                <c:pt idx="670">
                  <c:v>34.514500000000702</c:v>
                </c:pt>
                <c:pt idx="671">
                  <c:v>34.514600000000705</c:v>
                </c:pt>
                <c:pt idx="672">
                  <c:v>34.514700000000708</c:v>
                </c:pt>
                <c:pt idx="673">
                  <c:v>34.514800000000712</c:v>
                </c:pt>
                <c:pt idx="674">
                  <c:v>34.514900000000715</c:v>
                </c:pt>
                <c:pt idx="675">
                  <c:v>34.515000000000718</c:v>
                </c:pt>
                <c:pt idx="676">
                  <c:v>34.515100000000722</c:v>
                </c:pt>
                <c:pt idx="677">
                  <c:v>34.515200000000725</c:v>
                </c:pt>
                <c:pt idx="678">
                  <c:v>34.515300000000728</c:v>
                </c:pt>
                <c:pt idx="679">
                  <c:v>34.515400000000731</c:v>
                </c:pt>
                <c:pt idx="680">
                  <c:v>34.515500000000735</c:v>
                </c:pt>
                <c:pt idx="681">
                  <c:v>34.515600000000738</c:v>
                </c:pt>
                <c:pt idx="682">
                  <c:v>34.515700000000741</c:v>
                </c:pt>
                <c:pt idx="683">
                  <c:v>34.515800000000745</c:v>
                </c:pt>
                <c:pt idx="684">
                  <c:v>34.515900000000748</c:v>
                </c:pt>
                <c:pt idx="685">
                  <c:v>34.516000000000751</c:v>
                </c:pt>
                <c:pt idx="686">
                  <c:v>34.516100000000755</c:v>
                </c:pt>
                <c:pt idx="687">
                  <c:v>34.516200000000758</c:v>
                </c:pt>
                <c:pt idx="688">
                  <c:v>34.516300000000761</c:v>
                </c:pt>
                <c:pt idx="689">
                  <c:v>34.516400000000765</c:v>
                </c:pt>
                <c:pt idx="690">
                  <c:v>34.516500000000768</c:v>
                </c:pt>
                <c:pt idx="691">
                  <c:v>34.516600000000771</c:v>
                </c:pt>
                <c:pt idx="692">
                  <c:v>34.516700000000775</c:v>
                </c:pt>
                <c:pt idx="693">
                  <c:v>34.516800000000778</c:v>
                </c:pt>
                <c:pt idx="694">
                  <c:v>34.516900000000781</c:v>
                </c:pt>
                <c:pt idx="695">
                  <c:v>34.517000000000785</c:v>
                </c:pt>
                <c:pt idx="696">
                  <c:v>34.517100000000788</c:v>
                </c:pt>
                <c:pt idx="697">
                  <c:v>34.517200000000791</c:v>
                </c:pt>
                <c:pt idx="698">
                  <c:v>34.517300000000795</c:v>
                </c:pt>
                <c:pt idx="699">
                  <c:v>34.517400000000798</c:v>
                </c:pt>
                <c:pt idx="700">
                  <c:v>34.517500000000801</c:v>
                </c:pt>
                <c:pt idx="701">
                  <c:v>34.517600000000805</c:v>
                </c:pt>
                <c:pt idx="702">
                  <c:v>34.517700000000808</c:v>
                </c:pt>
                <c:pt idx="703">
                  <c:v>34.517800000000811</c:v>
                </c:pt>
                <c:pt idx="704">
                  <c:v>34.517900000000814</c:v>
                </c:pt>
                <c:pt idx="705">
                  <c:v>34.518000000000818</c:v>
                </c:pt>
                <c:pt idx="706">
                  <c:v>34.518100000000821</c:v>
                </c:pt>
                <c:pt idx="707">
                  <c:v>34.518200000000824</c:v>
                </c:pt>
                <c:pt idx="708">
                  <c:v>34.518300000000828</c:v>
                </c:pt>
                <c:pt idx="709">
                  <c:v>34.518400000000831</c:v>
                </c:pt>
                <c:pt idx="710">
                  <c:v>34.518500000000834</c:v>
                </c:pt>
                <c:pt idx="711">
                  <c:v>34.518600000000838</c:v>
                </c:pt>
                <c:pt idx="712">
                  <c:v>34.518700000000841</c:v>
                </c:pt>
                <c:pt idx="713">
                  <c:v>34.518800000000844</c:v>
                </c:pt>
                <c:pt idx="714">
                  <c:v>34.518900000000848</c:v>
                </c:pt>
                <c:pt idx="715">
                  <c:v>34.519000000000851</c:v>
                </c:pt>
                <c:pt idx="716">
                  <c:v>34.519100000000854</c:v>
                </c:pt>
                <c:pt idx="717">
                  <c:v>34.519200000000858</c:v>
                </c:pt>
                <c:pt idx="718">
                  <c:v>34.519300000000861</c:v>
                </c:pt>
                <c:pt idx="719">
                  <c:v>34.519400000000864</c:v>
                </c:pt>
                <c:pt idx="720">
                  <c:v>34.519500000000868</c:v>
                </c:pt>
                <c:pt idx="721">
                  <c:v>34.519600000000871</c:v>
                </c:pt>
                <c:pt idx="722">
                  <c:v>34.519700000000874</c:v>
                </c:pt>
                <c:pt idx="723">
                  <c:v>34.519800000000878</c:v>
                </c:pt>
                <c:pt idx="724">
                  <c:v>34.519900000000881</c:v>
                </c:pt>
                <c:pt idx="725">
                  <c:v>34.520000000000884</c:v>
                </c:pt>
                <c:pt idx="726">
                  <c:v>34.520100000000888</c:v>
                </c:pt>
                <c:pt idx="727">
                  <c:v>34.520200000000891</c:v>
                </c:pt>
                <c:pt idx="728">
                  <c:v>34.520300000000894</c:v>
                </c:pt>
                <c:pt idx="729">
                  <c:v>34.520400000000897</c:v>
                </c:pt>
                <c:pt idx="730">
                  <c:v>34.520500000000901</c:v>
                </c:pt>
                <c:pt idx="731">
                  <c:v>34.520600000000904</c:v>
                </c:pt>
                <c:pt idx="732">
                  <c:v>34.520700000000907</c:v>
                </c:pt>
                <c:pt idx="733">
                  <c:v>34.520800000000911</c:v>
                </c:pt>
                <c:pt idx="734">
                  <c:v>34.520900000000914</c:v>
                </c:pt>
                <c:pt idx="735">
                  <c:v>34.521000000000917</c:v>
                </c:pt>
                <c:pt idx="736">
                  <c:v>34.521100000000921</c:v>
                </c:pt>
                <c:pt idx="737">
                  <c:v>34.521200000000924</c:v>
                </c:pt>
                <c:pt idx="738">
                  <c:v>34.521300000000927</c:v>
                </c:pt>
                <c:pt idx="739">
                  <c:v>34.521400000000931</c:v>
                </c:pt>
                <c:pt idx="740">
                  <c:v>34.521500000000934</c:v>
                </c:pt>
                <c:pt idx="741">
                  <c:v>34.521600000000937</c:v>
                </c:pt>
                <c:pt idx="742">
                  <c:v>34.521700000000941</c:v>
                </c:pt>
                <c:pt idx="743">
                  <c:v>34.521800000000944</c:v>
                </c:pt>
                <c:pt idx="744">
                  <c:v>34.521900000000947</c:v>
                </c:pt>
                <c:pt idx="745">
                  <c:v>34.522000000000951</c:v>
                </c:pt>
                <c:pt idx="746">
                  <c:v>34.522100000000954</c:v>
                </c:pt>
                <c:pt idx="747">
                  <c:v>34.522200000000957</c:v>
                </c:pt>
                <c:pt idx="748">
                  <c:v>34.522300000000961</c:v>
                </c:pt>
                <c:pt idx="749">
                  <c:v>34.522400000000964</c:v>
                </c:pt>
                <c:pt idx="750">
                  <c:v>34.522500000000967</c:v>
                </c:pt>
                <c:pt idx="751">
                  <c:v>34.522600000000971</c:v>
                </c:pt>
                <c:pt idx="752">
                  <c:v>34.522700000000974</c:v>
                </c:pt>
                <c:pt idx="753">
                  <c:v>34.522800000000977</c:v>
                </c:pt>
                <c:pt idx="754">
                  <c:v>34.52290000000098</c:v>
                </c:pt>
                <c:pt idx="755">
                  <c:v>34.523000000000984</c:v>
                </c:pt>
                <c:pt idx="756">
                  <c:v>34.523100000000987</c:v>
                </c:pt>
                <c:pt idx="757">
                  <c:v>34.52320000000099</c:v>
                </c:pt>
                <c:pt idx="758">
                  <c:v>34.523300000000994</c:v>
                </c:pt>
                <c:pt idx="759">
                  <c:v>34.523400000000997</c:v>
                </c:pt>
                <c:pt idx="760">
                  <c:v>34.523500000001</c:v>
                </c:pt>
                <c:pt idx="761">
                  <c:v>34.523600000001004</c:v>
                </c:pt>
                <c:pt idx="762">
                  <c:v>34.523700000001007</c:v>
                </c:pt>
                <c:pt idx="763">
                  <c:v>34.52380000000101</c:v>
                </c:pt>
                <c:pt idx="764">
                  <c:v>34.523900000001014</c:v>
                </c:pt>
                <c:pt idx="765">
                  <c:v>34.524000000001017</c:v>
                </c:pt>
                <c:pt idx="766">
                  <c:v>34.52410000000102</c:v>
                </c:pt>
                <c:pt idx="767">
                  <c:v>34.524200000001024</c:v>
                </c:pt>
                <c:pt idx="768">
                  <c:v>34.524300000001027</c:v>
                </c:pt>
                <c:pt idx="769">
                  <c:v>34.52440000000103</c:v>
                </c:pt>
                <c:pt idx="770">
                  <c:v>34.524500000001034</c:v>
                </c:pt>
                <c:pt idx="771">
                  <c:v>34.524600000001037</c:v>
                </c:pt>
                <c:pt idx="772">
                  <c:v>34.52470000000104</c:v>
                </c:pt>
                <c:pt idx="773">
                  <c:v>34.524800000001044</c:v>
                </c:pt>
                <c:pt idx="774">
                  <c:v>34.524900000001047</c:v>
                </c:pt>
                <c:pt idx="775">
                  <c:v>34.52500000000105</c:v>
                </c:pt>
                <c:pt idx="776">
                  <c:v>34.525100000001054</c:v>
                </c:pt>
                <c:pt idx="777">
                  <c:v>34.525200000001057</c:v>
                </c:pt>
                <c:pt idx="778">
                  <c:v>34.52530000000106</c:v>
                </c:pt>
                <c:pt idx="779">
                  <c:v>34.525400000001063</c:v>
                </c:pt>
                <c:pt idx="780">
                  <c:v>34.525500000001067</c:v>
                </c:pt>
                <c:pt idx="781">
                  <c:v>34.52560000000107</c:v>
                </c:pt>
                <c:pt idx="782">
                  <c:v>34.525700000001073</c:v>
                </c:pt>
                <c:pt idx="783">
                  <c:v>34.525800000001077</c:v>
                </c:pt>
                <c:pt idx="784">
                  <c:v>34.52590000000108</c:v>
                </c:pt>
                <c:pt idx="785">
                  <c:v>34.526000000001083</c:v>
                </c:pt>
                <c:pt idx="786">
                  <c:v>34.526100000001087</c:v>
                </c:pt>
                <c:pt idx="787">
                  <c:v>34.52620000000109</c:v>
                </c:pt>
                <c:pt idx="788">
                  <c:v>34.526300000001093</c:v>
                </c:pt>
                <c:pt idx="789">
                  <c:v>34.526400000001097</c:v>
                </c:pt>
                <c:pt idx="790">
                  <c:v>34.5265000000011</c:v>
                </c:pt>
                <c:pt idx="791">
                  <c:v>34.526600000001103</c:v>
                </c:pt>
                <c:pt idx="792">
                  <c:v>34.526700000001107</c:v>
                </c:pt>
                <c:pt idx="793">
                  <c:v>34.52680000000111</c:v>
                </c:pt>
                <c:pt idx="794">
                  <c:v>34.526900000001113</c:v>
                </c:pt>
                <c:pt idx="795">
                  <c:v>34.527000000001117</c:v>
                </c:pt>
                <c:pt idx="796">
                  <c:v>34.52710000000112</c:v>
                </c:pt>
                <c:pt idx="797">
                  <c:v>34.527200000001123</c:v>
                </c:pt>
                <c:pt idx="798">
                  <c:v>34.527300000001127</c:v>
                </c:pt>
                <c:pt idx="799">
                  <c:v>34.52740000000113</c:v>
                </c:pt>
                <c:pt idx="800">
                  <c:v>34.527500000001133</c:v>
                </c:pt>
                <c:pt idx="801">
                  <c:v>34.527600000001136</c:v>
                </c:pt>
                <c:pt idx="802">
                  <c:v>34.52770000000114</c:v>
                </c:pt>
                <c:pt idx="803">
                  <c:v>34.527800000001143</c:v>
                </c:pt>
                <c:pt idx="804">
                  <c:v>34.527900000001146</c:v>
                </c:pt>
                <c:pt idx="805">
                  <c:v>34.52800000000115</c:v>
                </c:pt>
                <c:pt idx="806">
                  <c:v>34.528100000001153</c:v>
                </c:pt>
                <c:pt idx="807">
                  <c:v>34.528200000001156</c:v>
                </c:pt>
                <c:pt idx="808">
                  <c:v>34.52830000000116</c:v>
                </c:pt>
                <c:pt idx="809">
                  <c:v>34.528400000001163</c:v>
                </c:pt>
                <c:pt idx="810">
                  <c:v>34.528500000001166</c:v>
                </c:pt>
                <c:pt idx="811">
                  <c:v>34.52860000000117</c:v>
                </c:pt>
                <c:pt idx="812">
                  <c:v>34.528700000001173</c:v>
                </c:pt>
                <c:pt idx="813">
                  <c:v>34.528800000001176</c:v>
                </c:pt>
                <c:pt idx="814">
                  <c:v>34.52890000000118</c:v>
                </c:pt>
                <c:pt idx="815">
                  <c:v>34.529000000001183</c:v>
                </c:pt>
                <c:pt idx="816">
                  <c:v>34.529100000001186</c:v>
                </c:pt>
                <c:pt idx="817">
                  <c:v>34.52920000000119</c:v>
                </c:pt>
                <c:pt idx="818">
                  <c:v>34.529300000001193</c:v>
                </c:pt>
                <c:pt idx="819">
                  <c:v>34.529400000001196</c:v>
                </c:pt>
                <c:pt idx="820">
                  <c:v>34.5295000000012</c:v>
                </c:pt>
                <c:pt idx="821">
                  <c:v>34.529600000001203</c:v>
                </c:pt>
                <c:pt idx="822">
                  <c:v>34.529700000001206</c:v>
                </c:pt>
                <c:pt idx="823">
                  <c:v>34.52980000000121</c:v>
                </c:pt>
                <c:pt idx="824">
                  <c:v>34.529900000001213</c:v>
                </c:pt>
                <c:pt idx="825">
                  <c:v>34.530000000001216</c:v>
                </c:pt>
                <c:pt idx="826">
                  <c:v>34.530100000001219</c:v>
                </c:pt>
                <c:pt idx="827">
                  <c:v>34.530200000001223</c:v>
                </c:pt>
                <c:pt idx="828">
                  <c:v>34.530300000001226</c:v>
                </c:pt>
                <c:pt idx="829">
                  <c:v>34.530400000001229</c:v>
                </c:pt>
                <c:pt idx="830">
                  <c:v>34.530500000001233</c:v>
                </c:pt>
                <c:pt idx="831">
                  <c:v>34.530600000001236</c:v>
                </c:pt>
                <c:pt idx="832">
                  <c:v>34.530700000001239</c:v>
                </c:pt>
                <c:pt idx="833">
                  <c:v>34.530800000001243</c:v>
                </c:pt>
                <c:pt idx="834">
                  <c:v>34.530900000001246</c:v>
                </c:pt>
                <c:pt idx="835">
                  <c:v>34.531000000001249</c:v>
                </c:pt>
                <c:pt idx="836">
                  <c:v>34.531100000001253</c:v>
                </c:pt>
                <c:pt idx="837">
                  <c:v>34.531200000001256</c:v>
                </c:pt>
                <c:pt idx="838">
                  <c:v>34.531300000001259</c:v>
                </c:pt>
                <c:pt idx="839">
                  <c:v>34.531400000001263</c:v>
                </c:pt>
                <c:pt idx="840">
                  <c:v>34.531500000001266</c:v>
                </c:pt>
                <c:pt idx="841">
                  <c:v>34.531600000001269</c:v>
                </c:pt>
                <c:pt idx="842">
                  <c:v>34.531700000001273</c:v>
                </c:pt>
                <c:pt idx="843">
                  <c:v>34.531800000001276</c:v>
                </c:pt>
                <c:pt idx="844">
                  <c:v>34.531900000001279</c:v>
                </c:pt>
                <c:pt idx="845">
                  <c:v>34.532000000001283</c:v>
                </c:pt>
                <c:pt idx="846">
                  <c:v>34.532100000001286</c:v>
                </c:pt>
                <c:pt idx="847">
                  <c:v>34.532200000001289</c:v>
                </c:pt>
                <c:pt idx="848">
                  <c:v>34.532300000001293</c:v>
                </c:pt>
                <c:pt idx="849">
                  <c:v>34.532400000001296</c:v>
                </c:pt>
                <c:pt idx="850">
                  <c:v>34.532500000001299</c:v>
                </c:pt>
                <c:pt idx="851">
                  <c:v>34.532600000001302</c:v>
                </c:pt>
                <c:pt idx="852">
                  <c:v>34.532700000001306</c:v>
                </c:pt>
                <c:pt idx="853">
                  <c:v>34.532800000001309</c:v>
                </c:pt>
                <c:pt idx="854">
                  <c:v>34.532900000001312</c:v>
                </c:pt>
                <c:pt idx="855">
                  <c:v>34.533000000001316</c:v>
                </c:pt>
                <c:pt idx="856">
                  <c:v>34.533100000001319</c:v>
                </c:pt>
                <c:pt idx="857">
                  <c:v>34.533200000001322</c:v>
                </c:pt>
                <c:pt idx="858">
                  <c:v>34.533300000001326</c:v>
                </c:pt>
                <c:pt idx="859">
                  <c:v>34.533400000001329</c:v>
                </c:pt>
                <c:pt idx="860">
                  <c:v>34.533500000001332</c:v>
                </c:pt>
                <c:pt idx="861">
                  <c:v>34.533600000001336</c:v>
                </c:pt>
                <c:pt idx="862">
                  <c:v>34.533700000001339</c:v>
                </c:pt>
                <c:pt idx="863">
                  <c:v>34.533800000001342</c:v>
                </c:pt>
                <c:pt idx="864">
                  <c:v>34.533900000001346</c:v>
                </c:pt>
                <c:pt idx="865">
                  <c:v>34.534000000001349</c:v>
                </c:pt>
                <c:pt idx="866">
                  <c:v>34.534100000001352</c:v>
                </c:pt>
                <c:pt idx="867">
                  <c:v>34.534200000001356</c:v>
                </c:pt>
                <c:pt idx="868">
                  <c:v>34.534300000001359</c:v>
                </c:pt>
                <c:pt idx="869">
                  <c:v>34.534400000001362</c:v>
                </c:pt>
                <c:pt idx="870">
                  <c:v>34.534500000001366</c:v>
                </c:pt>
                <c:pt idx="871">
                  <c:v>34.534600000001369</c:v>
                </c:pt>
                <c:pt idx="872">
                  <c:v>34.534700000001372</c:v>
                </c:pt>
                <c:pt idx="873">
                  <c:v>34.534800000001376</c:v>
                </c:pt>
                <c:pt idx="874">
                  <c:v>34.534900000001379</c:v>
                </c:pt>
                <c:pt idx="875">
                  <c:v>34.535000000001382</c:v>
                </c:pt>
                <c:pt idx="876">
                  <c:v>34.535100000001385</c:v>
                </c:pt>
                <c:pt idx="877">
                  <c:v>34.535200000001389</c:v>
                </c:pt>
                <c:pt idx="878">
                  <c:v>34.535300000001392</c:v>
                </c:pt>
                <c:pt idx="879">
                  <c:v>34.535400000001395</c:v>
                </c:pt>
                <c:pt idx="880">
                  <c:v>34.535500000001399</c:v>
                </c:pt>
                <c:pt idx="881">
                  <c:v>34.535600000001402</c:v>
                </c:pt>
                <c:pt idx="882">
                  <c:v>34.535700000001405</c:v>
                </c:pt>
                <c:pt idx="883">
                  <c:v>34.535800000001409</c:v>
                </c:pt>
                <c:pt idx="884">
                  <c:v>34.535900000001412</c:v>
                </c:pt>
                <c:pt idx="885">
                  <c:v>34.536000000001415</c:v>
                </c:pt>
                <c:pt idx="886">
                  <c:v>34.536100000001419</c:v>
                </c:pt>
                <c:pt idx="887">
                  <c:v>34.536200000001422</c:v>
                </c:pt>
                <c:pt idx="888">
                  <c:v>34.536300000001425</c:v>
                </c:pt>
                <c:pt idx="889">
                  <c:v>34.536400000001429</c:v>
                </c:pt>
                <c:pt idx="890">
                  <c:v>34.536500000001432</c:v>
                </c:pt>
                <c:pt idx="891">
                  <c:v>34.536600000001435</c:v>
                </c:pt>
                <c:pt idx="892">
                  <c:v>34.536700000001439</c:v>
                </c:pt>
                <c:pt idx="893">
                  <c:v>34.536800000001442</c:v>
                </c:pt>
                <c:pt idx="894">
                  <c:v>34.536900000001445</c:v>
                </c:pt>
                <c:pt idx="895">
                  <c:v>34.537000000001449</c:v>
                </c:pt>
                <c:pt idx="896">
                  <c:v>34.537100000001452</c:v>
                </c:pt>
                <c:pt idx="897">
                  <c:v>34.537200000001455</c:v>
                </c:pt>
                <c:pt idx="898">
                  <c:v>34.537300000001458</c:v>
                </c:pt>
                <c:pt idx="899">
                  <c:v>34.537400000001462</c:v>
                </c:pt>
                <c:pt idx="900">
                  <c:v>34.537500000001465</c:v>
                </c:pt>
                <c:pt idx="901">
                  <c:v>34.537600000001468</c:v>
                </c:pt>
                <c:pt idx="902">
                  <c:v>34.537700000001472</c:v>
                </c:pt>
                <c:pt idx="903">
                  <c:v>34.537800000001475</c:v>
                </c:pt>
                <c:pt idx="904">
                  <c:v>34.537900000001478</c:v>
                </c:pt>
                <c:pt idx="905">
                  <c:v>34.538000000001482</c:v>
                </c:pt>
                <c:pt idx="906">
                  <c:v>34.538100000001485</c:v>
                </c:pt>
                <c:pt idx="907">
                  <c:v>34.538200000001488</c:v>
                </c:pt>
                <c:pt idx="908">
                  <c:v>34.538300000001492</c:v>
                </c:pt>
                <c:pt idx="909">
                  <c:v>34.538400000001495</c:v>
                </c:pt>
                <c:pt idx="910">
                  <c:v>34.538500000001498</c:v>
                </c:pt>
                <c:pt idx="911">
                  <c:v>34.538600000001502</c:v>
                </c:pt>
                <c:pt idx="912">
                  <c:v>34.538700000001505</c:v>
                </c:pt>
                <c:pt idx="913">
                  <c:v>34.538800000001508</c:v>
                </c:pt>
                <c:pt idx="914">
                  <c:v>34.538900000001512</c:v>
                </c:pt>
                <c:pt idx="915">
                  <c:v>34.539000000001515</c:v>
                </c:pt>
                <c:pt idx="916">
                  <c:v>34.539100000001518</c:v>
                </c:pt>
                <c:pt idx="917">
                  <c:v>34.539200000001522</c:v>
                </c:pt>
                <c:pt idx="918">
                  <c:v>34.539300000001525</c:v>
                </c:pt>
                <c:pt idx="919">
                  <c:v>34.539400000001528</c:v>
                </c:pt>
                <c:pt idx="920">
                  <c:v>34.539500000001532</c:v>
                </c:pt>
                <c:pt idx="921">
                  <c:v>34.539600000001535</c:v>
                </c:pt>
                <c:pt idx="922">
                  <c:v>34.539700000001538</c:v>
                </c:pt>
                <c:pt idx="923">
                  <c:v>34.539800000001541</c:v>
                </c:pt>
                <c:pt idx="924">
                  <c:v>34.539900000001545</c:v>
                </c:pt>
                <c:pt idx="925">
                  <c:v>34.540000000001548</c:v>
                </c:pt>
                <c:pt idx="926">
                  <c:v>34.540100000001551</c:v>
                </c:pt>
                <c:pt idx="927">
                  <c:v>34.540200000001555</c:v>
                </c:pt>
                <c:pt idx="928">
                  <c:v>34.540300000001558</c:v>
                </c:pt>
                <c:pt idx="929">
                  <c:v>34.540400000001561</c:v>
                </c:pt>
                <c:pt idx="930">
                  <c:v>34.540500000001565</c:v>
                </c:pt>
                <c:pt idx="931">
                  <c:v>34.540600000001568</c:v>
                </c:pt>
                <c:pt idx="932">
                  <c:v>34.540700000001571</c:v>
                </c:pt>
                <c:pt idx="933">
                  <c:v>34.540800000001575</c:v>
                </c:pt>
                <c:pt idx="934">
                  <c:v>34.540900000001578</c:v>
                </c:pt>
                <c:pt idx="935">
                  <c:v>34.541000000001581</c:v>
                </c:pt>
                <c:pt idx="936">
                  <c:v>34.541100000001585</c:v>
                </c:pt>
                <c:pt idx="937">
                  <c:v>34.541200000001588</c:v>
                </c:pt>
                <c:pt idx="938">
                  <c:v>34.541300000001591</c:v>
                </c:pt>
                <c:pt idx="939">
                  <c:v>34.541400000001595</c:v>
                </c:pt>
                <c:pt idx="940">
                  <c:v>34.541500000001598</c:v>
                </c:pt>
                <c:pt idx="941">
                  <c:v>34.541600000001601</c:v>
                </c:pt>
                <c:pt idx="942">
                  <c:v>34.541700000001605</c:v>
                </c:pt>
                <c:pt idx="943">
                  <c:v>34.541800000001608</c:v>
                </c:pt>
                <c:pt idx="944">
                  <c:v>34.541900000001611</c:v>
                </c:pt>
                <c:pt idx="945">
                  <c:v>34.542000000001615</c:v>
                </c:pt>
                <c:pt idx="946">
                  <c:v>34.542100000001618</c:v>
                </c:pt>
                <c:pt idx="947">
                  <c:v>34.542200000001621</c:v>
                </c:pt>
                <c:pt idx="948">
                  <c:v>34.542300000001624</c:v>
                </c:pt>
                <c:pt idx="949">
                  <c:v>34.542400000001628</c:v>
                </c:pt>
                <c:pt idx="950">
                  <c:v>34.542500000001631</c:v>
                </c:pt>
                <c:pt idx="951">
                  <c:v>34.542600000001634</c:v>
                </c:pt>
                <c:pt idx="952">
                  <c:v>34.542700000001638</c:v>
                </c:pt>
                <c:pt idx="953">
                  <c:v>34.542800000001641</c:v>
                </c:pt>
                <c:pt idx="954">
                  <c:v>34.542900000001644</c:v>
                </c:pt>
                <c:pt idx="955">
                  <c:v>34.543000000001648</c:v>
                </c:pt>
                <c:pt idx="956">
                  <c:v>34.543100000001651</c:v>
                </c:pt>
                <c:pt idx="957">
                  <c:v>34.543200000001654</c:v>
                </c:pt>
                <c:pt idx="958">
                  <c:v>34.543300000001658</c:v>
                </c:pt>
                <c:pt idx="959">
                  <c:v>34.543400000001661</c:v>
                </c:pt>
                <c:pt idx="960">
                  <c:v>34.543500000001664</c:v>
                </c:pt>
                <c:pt idx="961">
                  <c:v>34.543600000001668</c:v>
                </c:pt>
                <c:pt idx="962">
                  <c:v>34.543700000001671</c:v>
                </c:pt>
                <c:pt idx="963">
                  <c:v>34.543800000001674</c:v>
                </c:pt>
                <c:pt idx="964">
                  <c:v>34.543900000001678</c:v>
                </c:pt>
                <c:pt idx="965">
                  <c:v>34.544000000001681</c:v>
                </c:pt>
                <c:pt idx="966">
                  <c:v>34.544100000001684</c:v>
                </c:pt>
                <c:pt idx="967">
                  <c:v>34.544200000001688</c:v>
                </c:pt>
                <c:pt idx="968">
                  <c:v>34.544300000001691</c:v>
                </c:pt>
                <c:pt idx="969">
                  <c:v>34.544400000001694</c:v>
                </c:pt>
                <c:pt idx="970">
                  <c:v>34.544500000001698</c:v>
                </c:pt>
                <c:pt idx="971">
                  <c:v>34.544600000001701</c:v>
                </c:pt>
                <c:pt idx="972">
                  <c:v>34.544700000001704</c:v>
                </c:pt>
                <c:pt idx="973">
                  <c:v>34.544800000001707</c:v>
                </c:pt>
                <c:pt idx="974">
                  <c:v>34.544900000001711</c:v>
                </c:pt>
                <c:pt idx="975">
                  <c:v>34.545000000001714</c:v>
                </c:pt>
                <c:pt idx="976">
                  <c:v>34.545100000001717</c:v>
                </c:pt>
                <c:pt idx="977">
                  <c:v>34.545200000001721</c:v>
                </c:pt>
                <c:pt idx="978">
                  <c:v>34.545300000001724</c:v>
                </c:pt>
                <c:pt idx="979">
                  <c:v>34.545400000001727</c:v>
                </c:pt>
                <c:pt idx="980">
                  <c:v>34.545500000001731</c:v>
                </c:pt>
                <c:pt idx="981">
                  <c:v>34.545600000001734</c:v>
                </c:pt>
                <c:pt idx="982">
                  <c:v>34.545700000001737</c:v>
                </c:pt>
                <c:pt idx="983">
                  <c:v>34.545800000001741</c:v>
                </c:pt>
                <c:pt idx="984">
                  <c:v>34.545900000001744</c:v>
                </c:pt>
                <c:pt idx="985">
                  <c:v>34.546000000001747</c:v>
                </c:pt>
                <c:pt idx="986">
                  <c:v>34.546100000001751</c:v>
                </c:pt>
                <c:pt idx="987">
                  <c:v>34.546200000001754</c:v>
                </c:pt>
                <c:pt idx="988">
                  <c:v>34.546300000001757</c:v>
                </c:pt>
                <c:pt idx="989">
                  <c:v>34.546400000001761</c:v>
                </c:pt>
                <c:pt idx="990">
                  <c:v>34.546500000001764</c:v>
                </c:pt>
                <c:pt idx="991">
                  <c:v>34.546600000001767</c:v>
                </c:pt>
                <c:pt idx="992">
                  <c:v>34.546700000001771</c:v>
                </c:pt>
                <c:pt idx="993">
                  <c:v>34.546800000001774</c:v>
                </c:pt>
                <c:pt idx="994">
                  <c:v>34.546900000001777</c:v>
                </c:pt>
                <c:pt idx="995">
                  <c:v>34.547000000001781</c:v>
                </c:pt>
                <c:pt idx="996">
                  <c:v>34.547100000001784</c:v>
                </c:pt>
                <c:pt idx="997">
                  <c:v>34.547200000001787</c:v>
                </c:pt>
                <c:pt idx="998">
                  <c:v>34.54730000000179</c:v>
                </c:pt>
                <c:pt idx="999">
                  <c:v>34.547400000001794</c:v>
                </c:pt>
                <c:pt idx="1000">
                  <c:v>34.547500000001797</c:v>
                </c:pt>
              </c:numCache>
            </c:numRef>
          </c:xVal>
          <c:yVal>
            <c:numRef>
              <c:f>Calculs!$W$4:$W$1004</c:f>
              <c:numCache>
                <c:formatCode>0.00</c:formatCode>
                <c:ptCount val="1001"/>
                <c:pt idx="0">
                  <c:v>0</c:v>
                </c:pt>
                <c:pt idx="1">
                  <c:v>1.533984239552251E-4</c:v>
                </c:pt>
                <c:pt idx="2">
                  <c:v>5.8229189473073626E-3</c:v>
                </c:pt>
                <c:pt idx="3">
                  <c:v>2.9460954658004034E-2</c:v>
                </c:pt>
                <c:pt idx="4">
                  <c:v>6.9536763232957099E-2</c:v>
                </c:pt>
                <c:pt idx="5">
                  <c:v>0.12423375799430383</c:v>
                </c:pt>
                <c:pt idx="6">
                  <c:v>0.19355707550605308</c:v>
                </c:pt>
                <c:pt idx="7">
                  <c:v>0.27894578948990117</c:v>
                </c:pt>
                <c:pt idx="8">
                  <c:v>0.38078048200330361</c:v>
                </c:pt>
                <c:pt idx="9">
                  <c:v>0.49944489825745481</c:v>
                </c:pt>
                <c:pt idx="10">
                  <c:v>0.63532592808655031</c:v>
                </c:pt>
                <c:pt idx="11">
                  <c:v>0.7884432948836968</c:v>
                </c:pt>
                <c:pt idx="12">
                  <c:v>0.95866606964637746</c:v>
                </c:pt>
                <c:pt idx="13">
                  <c:v>1.1461574552861797</c:v>
                </c:pt>
                <c:pt idx="14">
                  <c:v>1.3510805373350152</c:v>
                </c:pt>
                <c:pt idx="15">
                  <c:v>1.5735982655426923</c:v>
                </c:pt>
                <c:pt idx="16">
                  <c:v>1.8138734353269181</c:v>
                </c:pt>
                <c:pt idx="17">
                  <c:v>2.0720686690779417</c:v>
                </c:pt>
                <c:pt idx="18">
                  <c:v>2.3483463973200451</c:v>
                </c:pt>
                <c:pt idx="19">
                  <c:v>2.64286883973223</c:v>
                </c:pt>
                <c:pt idx="20">
                  <c:v>2.9557979860304728</c:v>
                </c:pt>
                <c:pt idx="21">
                  <c:v>3.2869919910997973</c:v>
                </c:pt>
                <c:pt idx="22">
                  <c:v>3.6362448899222009</c:v>
                </c:pt>
                <c:pt idx="23">
                  <c:v>4.003621646057054</c:v>
                </c:pt>
                <c:pt idx="24">
                  <c:v>4.3891862778030504</c:v>
                </c:pt>
                <c:pt idx="25">
                  <c:v>4.7930018474516078</c:v>
                </c:pt>
                <c:pt idx="26">
                  <c:v>5.2151315821432647</c:v>
                </c:pt>
                <c:pt idx="27">
                  <c:v>5.6556379696353014</c:v>
                </c:pt>
                <c:pt idx="28">
                  <c:v>6.1145813452260116</c:v>
                </c:pt>
                <c:pt idx="29">
                  <c:v>6.5920210401362764</c:v>
                </c:pt>
                <c:pt idx="30">
                  <c:v>7.0880153715774359</c:v>
                </c:pt>
                <c:pt idx="31">
                  <c:v>7.6026216328871428</c:v>
                </c:pt>
                <c:pt idx="32">
                  <c:v>8.1358960837189382</c:v>
                </c:pt>
                <c:pt idx="33">
                  <c:v>8.6878939402930158</c:v>
                </c:pt>
                <c:pt idx="34">
                  <c:v>9.2586693657147574</c:v>
                </c:pt>
                <c:pt idx="35">
                  <c:v>9.8482754603670575</c:v>
                </c:pt>
                <c:pt idx="36">
                  <c:v>10.456764252381911</c:v>
                </c:pt>
                <c:pt idx="37">
                  <c:v>11.08418668819629</c:v>
                </c:pt>
                <c:pt idx="38">
                  <c:v>11.730592623197031</c:v>
                </c:pt>
                <c:pt idx="39">
                  <c:v>12.396030812458992</c:v>
                </c:pt>
                <c:pt idx="40">
                  <c:v>13.0805489015807</c:v>
                </c:pt>
                <c:pt idx="41">
                  <c:v>13.783708792994336</c:v>
                </c:pt>
                <c:pt idx="42">
                  <c:v>14.505019906830853</c:v>
                </c:pt>
                <c:pt idx="43">
                  <c:v>15.244449488124392</c:v>
                </c:pt>
                <c:pt idx="44">
                  <c:v>16.001963475991527</c:v>
                </c:pt>
                <c:pt idx="45">
                  <c:v>16.777526505461481</c:v>
                </c:pt>
                <c:pt idx="46">
                  <c:v>17.57110190949529</c:v>
                </c:pt>
                <c:pt idx="47">
                  <c:v>18.3826517211949</c:v>
                </c:pt>
                <c:pt idx="48">
                  <c:v>19.212136676202565</c:v>
                </c:pt>
                <c:pt idx="49">
                  <c:v>20.059516215291413</c:v>
                </c:pt>
                <c:pt idx="50">
                  <c:v>20.924748487147646</c:v>
                </c:pt>
                <c:pt idx="51">
                  <c:v>21.807790351344423</c:v>
                </c:pt>
                <c:pt idx="52">
                  <c:v>22.708597381507921</c:v>
                </c:pt>
                <c:pt idx="53">
                  <c:v>23.627123868675707</c:v>
                </c:pt>
                <c:pt idx="54">
                  <c:v>24.563322824847305</c:v>
                </c:pt>
                <c:pt idx="55">
                  <c:v>25.51714598672709</c:v>
                </c:pt>
                <c:pt idx="56">
                  <c:v>26.488543819659348</c:v>
                </c:pt>
                <c:pt idx="57">
                  <c:v>27.477465521755153</c:v>
                </c:pt>
                <c:pt idx="58">
                  <c:v>28.483859028211171</c:v>
                </c:pt>
                <c:pt idx="59">
                  <c:v>29.507671015819401</c:v>
                </c:pt>
                <c:pt idx="60">
                  <c:v>30.548846907668263</c:v>
                </c:pt>
                <c:pt idx="61">
                  <c:v>31.607330878033729</c:v>
                </c:pt>
                <c:pt idx="62">
                  <c:v>32.68306585746047</c:v>
                </c:pt>
                <c:pt idx="63">
                  <c:v>33.775993538032317</c:v>
                </c:pt>
                <c:pt idx="64">
                  <c:v>34.886054378831005</c:v>
                </c:pt>
                <c:pt idx="65">
                  <c:v>36.013187611583064</c:v>
                </c:pt>
                <c:pt idx="66">
                  <c:v>37.157331246493392</c:v>
                </c:pt>
                <c:pt idx="67">
                  <c:v>38.31842207826508</c:v>
                </c:pt>
                <c:pt idx="68">
                  <c:v>39.496395692304461</c:v>
                </c:pt>
                <c:pt idx="69">
                  <c:v>40.691186471110228</c:v>
                </c:pt>
                <c:pt idx="70">
                  <c:v>41.9027276008459</c:v>
                </c:pt>
                <c:pt idx="71">
                  <c:v>43.130951078094149</c:v>
                </c:pt>
                <c:pt idx="72">
                  <c:v>44.375787716792239</c:v>
                </c:pt>
                <c:pt idx="73">
                  <c:v>45.637167155346866</c:v>
                </c:pt>
                <c:pt idx="74">
                  <c:v>46.915017863927737</c:v>
                </c:pt>
                <c:pt idx="75">
                  <c:v>48.209267151938214</c:v>
                </c:pt>
                <c:pt idx="76">
                  <c:v>49.519841175661497</c:v>
                </c:pt>
                <c:pt idx="77">
                  <c:v>50.846664946081376</c:v>
                </c:pt>
                <c:pt idx="78">
                  <c:v>52.189662336875806</c:v>
                </c:pt>
                <c:pt idx="79">
                  <c:v>53.548756092581783</c:v>
                </c:pt>
                <c:pt idx="80">
                  <c:v>54.9238678369301</c:v>
                </c:pt>
                <c:pt idx="81">
                  <c:v>56.313919992304193</c:v>
                </c:pt>
                <c:pt idx="82">
                  <c:v>57.717782648824972</c:v>
                </c:pt>
                <c:pt idx="83">
                  <c:v>59.135298124534152</c:v>
                </c:pt>
                <c:pt idx="84">
                  <c:v>60.566307953784026</c:v>
                </c:pt>
                <c:pt idx="85">
                  <c:v>62.010652908335096</c:v>
                </c:pt>
                <c:pt idx="86">
                  <c:v>63.468173018531907</c:v>
                </c:pt>
                <c:pt idx="87">
                  <c:v>64.938707594551843</c:v>
                </c:pt>
                <c:pt idx="88">
                  <c:v>66.422095247722083</c:v>
                </c:pt>
                <c:pt idx="89">
                  <c:v>67.918173911899842</c:v>
                </c:pt>
                <c:pt idx="90">
                  <c:v>69.426780864910157</c:v>
                </c:pt>
                <c:pt idx="91">
                  <c:v>70.947257406127619</c:v>
                </c:pt>
                <c:pt idx="92">
                  <c:v>72.478922207449699</c:v>
                </c:pt>
                <c:pt idx="93">
                  <c:v>74.021578213480467</c:v>
                </c:pt>
                <c:pt idx="94">
                  <c:v>75.575028033295794</c:v>
                </c:pt>
                <c:pt idx="95">
                  <c:v>77.139073967309841</c:v>
                </c:pt>
                <c:pt idx="96">
                  <c:v>78.713518034094335</c:v>
                </c:pt>
                <c:pt idx="97">
                  <c:v>80.298161997145471</c:v>
                </c:pt>
                <c:pt idx="98">
                  <c:v>81.892807391591845</c:v>
                </c:pt>
                <c:pt idx="99">
                  <c:v>83.497255550837551</c:v>
                </c:pt>
                <c:pt idx="100">
                  <c:v>85.111307633133478</c:v>
                </c:pt>
                <c:pt idx="101">
                  <c:v>86.73467698786564</c:v>
                </c:pt>
                <c:pt idx="102">
                  <c:v>88.367073451032127</c:v>
                </c:pt>
                <c:pt idx="103">
                  <c:v>90.008292831683974</c:v>
                </c:pt>
                <c:pt idx="104">
                  <c:v>91.658130915107407</c:v>
                </c:pt>
                <c:pt idx="105">
                  <c:v>93.316383489711356</c:v>
                </c:pt>
                <c:pt idx="106">
                  <c:v>94.98284637379308</c:v>
                </c:pt>
                <c:pt idx="107">
                  <c:v>96.657315442175886</c:v>
                </c:pt>
                <c:pt idx="108">
                  <c:v>98.33958665271291</c:v>
                </c:pt>
                <c:pt idx="109">
                  <c:v>100.02945607265156</c:v>
                </c:pt>
                <c:pt idx="110">
                  <c:v>101.72671990485257</c:v>
                </c:pt>
                <c:pt idx="111">
                  <c:v>103.43227729413199</c:v>
                </c:pt>
                <c:pt idx="112">
                  <c:v>105.14706501646454</c:v>
                </c:pt>
                <c:pt idx="113">
                  <c:v>106.87093465065115</c:v>
                </c:pt>
                <c:pt idx="114">
                  <c:v>108.6037375106033</c:v>
                </c:pt>
                <c:pt idx="115">
                  <c:v>110.34532466312166</c:v>
                </c:pt>
                <c:pt idx="116">
                  <c:v>112.09554694564869</c:v>
                </c:pt>
                <c:pt idx="117">
                  <c:v>113.85425498399169</c:v>
                </c:pt>
                <c:pt idx="118">
                  <c:v>115.62129921001122</c:v>
                </c:pt>
                <c:pt idx="119">
                  <c:v>117.3965298792735</c:v>
                </c:pt>
                <c:pt idx="120">
                  <c:v>119.17979708866109</c:v>
                </c:pt>
                <c:pt idx="121">
                  <c:v>120.96897174646006</c:v>
                </c:pt>
                <c:pt idx="122">
                  <c:v>122.76186462196425</c:v>
                </c:pt>
                <c:pt idx="123">
                  <c:v>124.55823807096951</c:v>
                </c:pt>
                <c:pt idx="124">
                  <c:v>126.35785534500927</c:v>
                </c:pt>
                <c:pt idx="125">
                  <c:v>128.1604806200547</c:v>
                </c:pt>
                <c:pt idx="126">
                  <c:v>129.96587902485314</c:v>
                </c:pt>
                <c:pt idx="127">
                  <c:v>131.77381666889937</c:v>
                </c:pt>
                <c:pt idx="128">
                  <c:v>133.58406067003583</c:v>
                </c:pt>
                <c:pt idx="129">
                  <c:v>135.39637918167665</c:v>
                </c:pt>
                <c:pt idx="130">
                  <c:v>137.21054141965104</c:v>
                </c:pt>
                <c:pt idx="131">
                  <c:v>139.02576202880937</c:v>
                </c:pt>
                <c:pt idx="132">
                  <c:v>140.84124203897878</c:v>
                </c:pt>
                <c:pt idx="133">
                  <c:v>142.65673275577677</c:v>
                </c:pt>
                <c:pt idx="134">
                  <c:v>144.47198699351665</c:v>
                </c:pt>
                <c:pt idx="135">
                  <c:v>146.28675910245795</c:v>
                </c:pt>
                <c:pt idx="136">
                  <c:v>148.10080499554658</c:v>
                </c:pt>
                <c:pt idx="137">
                  <c:v>149.91388217464063</c:v>
                </c:pt>
                <c:pt idx="138">
                  <c:v>151.72574975622001</c:v>
                </c:pt>
                <c:pt idx="139">
                  <c:v>153.5361684965774</c:v>
                </c:pt>
                <c:pt idx="140">
                  <c:v>155.34490081648696</c:v>
                </c:pt>
                <c:pt idx="141">
                  <c:v>157.14464517637276</c:v>
                </c:pt>
                <c:pt idx="142">
                  <c:v>158.92793972683234</c:v>
                </c:pt>
                <c:pt idx="143">
                  <c:v>160.69432184071587</c:v>
                </c:pt>
                <c:pt idx="144">
                  <c:v>162.44333715332974</c:v>
                </c:pt>
                <c:pt idx="145">
                  <c:v>164.17453960022345</c:v>
                </c:pt>
                <c:pt idx="146">
                  <c:v>165.88749145211617</c:v>
                </c:pt>
                <c:pt idx="147">
                  <c:v>167.58176334698479</c:v>
                </c:pt>
                <c:pt idx="148">
                  <c:v>169.25693431934357</c:v>
                </c:pt>
                <c:pt idx="149">
                  <c:v>170.91259182673983</c:v>
                </c:pt>
                <c:pt idx="150">
                  <c:v>172.54833177349363</c:v>
                </c:pt>
                <c:pt idx="151">
                  <c:v>174.16375853171462</c:v>
                </c:pt>
                <c:pt idx="152">
                  <c:v>175.7584849596218</c:v>
                </c:pt>
                <c:pt idx="153">
                  <c:v>177.33213241720134</c:v>
                </c:pt>
                <c:pt idx="154">
                  <c:v>178.88433077923361</c:v>
                </c:pt>
                <c:pt idx="155">
                  <c:v>180.41471844572271</c:v>
                </c:pt>
                <c:pt idx="156">
                  <c:v>181.88693681870845</c:v>
                </c:pt>
                <c:pt idx="157">
                  <c:v>183.26409207584715</c:v>
                </c:pt>
                <c:pt idx="158">
                  <c:v>184.54514278362475</c:v>
                </c:pt>
                <c:pt idx="159">
                  <c:v>185.72914378339763</c:v>
                </c:pt>
                <c:pt idx="160">
                  <c:v>186.81524583892488</c:v>
                </c:pt>
                <c:pt idx="161">
                  <c:v>187.75619251311429</c:v>
                </c:pt>
                <c:pt idx="162">
                  <c:v>188.50448431602766</c:v>
                </c:pt>
                <c:pt idx="163">
                  <c:v>189.06373980409589</c:v>
                </c:pt>
                <c:pt idx="164">
                  <c:v>189.43792426295929</c:v>
                </c:pt>
                <c:pt idx="165">
                  <c:v>189.67149852854428</c:v>
                </c:pt>
                <c:pt idx="166">
                  <c:v>189.80915794468362</c:v>
                </c:pt>
                <c:pt idx="167">
                  <c:v>189.81706918526353</c:v>
                </c:pt>
                <c:pt idx="168">
                  <c:v>189.68614617850434</c:v>
                </c:pt>
                <c:pt idx="169">
                  <c:v>189.34687190425458</c:v>
                </c:pt>
                <c:pt idx="170">
                  <c:v>188.77944415246205</c:v>
                </c:pt>
                <c:pt idx="171">
                  <c:v>188.13657918795121</c:v>
                </c:pt>
                <c:pt idx="172">
                  <c:v>187.49649473950598</c:v>
                </c:pt>
                <c:pt idx="173">
                  <c:v>186.85917480735725</c:v>
                </c:pt>
                <c:pt idx="174">
                  <c:v>186.22460350771721</c:v>
                </c:pt>
                <c:pt idx="175">
                  <c:v>185.59276507176691</c:v>
                </c:pt>
                <c:pt idx="176">
                  <c:v>184.96364384465659</c:v>
                </c:pt>
                <c:pt idx="177">
                  <c:v>184.33722428451384</c:v>
                </c:pt>
                <c:pt idx="178">
                  <c:v>183.71349096146361</c:v>
                </c:pt>
                <c:pt idx="179">
                  <c:v>183.09242855665724</c:v>
                </c:pt>
                <c:pt idx="180">
                  <c:v>182.4740218613114</c:v>
                </c:pt>
                <c:pt idx="181">
                  <c:v>181.85825577575719</c:v>
                </c:pt>
                <c:pt idx="182">
                  <c:v>181.24511530849819</c:v>
                </c:pt>
                <c:pt idx="183">
                  <c:v>180.63458557527858</c:v>
                </c:pt>
                <c:pt idx="184">
                  <c:v>180.02665179816037</c:v>
                </c:pt>
                <c:pt idx="185">
                  <c:v>179.42129930461033</c:v>
                </c:pt>
                <c:pt idx="186">
                  <c:v>178.81851352659481</c:v>
                </c:pt>
                <c:pt idx="187">
                  <c:v>178.21827999968542</c:v>
                </c:pt>
                <c:pt idx="188">
                  <c:v>177.62058436217254</c:v>
                </c:pt>
                <c:pt idx="189">
                  <c:v>177.02541235418764</c:v>
                </c:pt>
                <c:pt idx="190">
                  <c:v>176.43274981683521</c:v>
                </c:pt>
                <c:pt idx="191">
                  <c:v>175.84258269133235</c:v>
                </c:pt>
                <c:pt idx="192">
                  <c:v>175.25489701815749</c:v>
                </c:pt>
                <c:pt idx="193">
                  <c:v>174.66967893620745</c:v>
                </c:pt>
                <c:pt idx="194">
                  <c:v>174.08691468196304</c:v>
                </c:pt>
                <c:pt idx="195">
                  <c:v>173.50659058866253</c:v>
                </c:pt>
                <c:pt idx="196">
                  <c:v>172.92869308548347</c:v>
                </c:pt>
                <c:pt idx="197">
                  <c:v>172.35320869673293</c:v>
                </c:pt>
                <c:pt idx="198">
                  <c:v>171.78012404104538</c:v>
                </c:pt>
                <c:pt idx="199">
                  <c:v>171.20942583058826</c:v>
                </c:pt>
                <c:pt idx="200">
                  <c:v>170.64110087027584</c:v>
                </c:pt>
                <c:pt idx="201">
                  <c:v>165.03124922319125</c:v>
                </c:pt>
                <c:pt idx="202">
                  <c:v>159.65010594802885</c:v>
                </c:pt>
                <c:pt idx="203">
                  <c:v>154.48541994127748</c:v>
                </c:pt>
                <c:pt idx="204">
                  <c:v>149.52575909252818</c:v>
                </c:pt>
                <c:pt idx="205">
                  <c:v>144.76044512759077</c:v>
                </c:pt>
                <c:pt idx="206">
                  <c:v>140.17949444585855</c:v>
                </c:pt>
                <c:pt idx="207">
                  <c:v>135.77356432787803</c:v>
                </c:pt>
                <c:pt idx="208">
                  <c:v>131.53390396141569</c:v>
                </c:pt>
                <c:pt idx="209">
                  <c:v>127.45230979743627</c:v>
                </c:pt>
                <c:pt idx="210">
                  <c:v>123.5210848025819</c:v>
                </c:pt>
                <c:pt idx="211">
                  <c:v>119.7330012230711</c:v>
                </c:pt>
                <c:pt idx="212">
                  <c:v>116.08126651733535</c:v>
                </c:pt>
                <c:pt idx="213">
                  <c:v>112.55949215197477</c:v>
                </c:pt>
                <c:pt idx="214">
                  <c:v>109.1616649884221</c:v>
                </c:pt>
                <c:pt idx="215">
                  <c:v>105.88212101663321</c:v>
                </c:pt>
                <c:pt idx="216">
                  <c:v>102.71552121767142</c:v>
                </c:pt>
                <c:pt idx="217">
                  <c:v>99.656829359658715</c:v>
                </c:pt>
                <c:pt idx="218">
                  <c:v>96.701291551587204</c:v>
                </c:pt>
                <c:pt idx="219">
                  <c:v>93.844417397254375</c:v>
                </c:pt>
                <c:pt idx="220">
                  <c:v>91.081962607369846</c:v>
                </c:pt>
                <c:pt idx="221">
                  <c:v>88.409912941930301</c:v>
                </c:pt>
                <c:pt idx="222">
                  <c:v>85.824469367473014</c:v>
                </c:pt>
                <c:pt idx="223">
                  <c:v>83.322034324988167</c:v>
                </c:pt>
                <c:pt idx="224">
                  <c:v>80.899199014244346</c:v>
                </c:pt>
                <c:pt idx="225">
                  <c:v>78.552731609207541</c:v>
                </c:pt>
                <c:pt idx="226">
                  <c:v>76.279566327228594</c:v>
                </c:pt>
                <c:pt idx="227">
                  <c:v>74.076793281839102</c:v>
                </c:pt>
                <c:pt idx="228">
                  <c:v>71.941649055435832</c:v>
                </c:pt>
                <c:pt idx="229">
                  <c:v>69.871507933915282</c:v>
                </c:pt>
                <c:pt idx="230">
                  <c:v>67.863873750529947</c:v>
                </c:pt>
                <c:pt idx="231">
                  <c:v>65.916372290925537</c:v>
                </c:pt>
                <c:pt idx="232">
                  <c:v>64.026744215551361</c:v>
                </c:pt>
                <c:pt idx="233">
                  <c:v>62.192838459454784</c:v>
                </c:pt>
                <c:pt idx="234">
                  <c:v>60.412606072923403</c:v>
                </c:pt>
                <c:pt idx="235">
                  <c:v>58.68409446956413</c:v>
                </c:pt>
                <c:pt idx="236">
                  <c:v>57.005442051234624</c:v>
                </c:pt>
                <c:pt idx="237">
                  <c:v>55.374873181811772</c:v>
                </c:pt>
                <c:pt idx="238">
                  <c:v>53.790693484105915</c:v>
                </c:pt>
                <c:pt idx="239">
                  <c:v>52.251285436346855</c:v>
                </c:pt>
                <c:pt idx="240">
                  <c:v>50.755104246588687</c:v>
                </c:pt>
                <c:pt idx="241">
                  <c:v>49.300673985130771</c:v>
                </c:pt>
                <c:pt idx="242">
                  <c:v>47.886583956645367</c:v>
                </c:pt>
                <c:pt idx="243">
                  <c:v>46.51148529515585</c:v>
                </c:pt>
                <c:pt idx="244">
                  <c:v>45.174087766334132</c:v>
                </c:pt>
                <c:pt idx="245">
                  <c:v>43.873156762797805</c:v>
                </c:pt>
                <c:pt idx="246">
                  <c:v>42.607510479192577</c:v>
                </c:pt>
                <c:pt idx="247">
                  <c:v>41.376017254858809</c:v>
                </c:pt>
                <c:pt idx="248">
                  <c:v>40.177593072807106</c:v>
                </c:pt>
                <c:pt idx="249">
                  <c:v>39.011199204576371</c:v>
                </c:pt>
                <c:pt idx="250">
                  <c:v>37.87583999132719</c:v>
                </c:pt>
                <c:pt idx="251">
                  <c:v>36.770560752236236</c:v>
                </c:pt>
                <c:pt idx="252">
                  <c:v>35.69444581191474</c:v>
                </c:pt>
                <c:pt idx="253">
                  <c:v>34.646616639175114</c:v>
                </c:pt>
                <c:pt idx="254">
                  <c:v>33.626230090025963</c:v>
                </c:pt>
                <c:pt idx="255">
                  <c:v>32.632476748283828</c:v>
                </c:pt>
                <c:pt idx="256">
                  <c:v>31.66457935766126</c:v>
                </c:pt>
                <c:pt idx="257">
                  <c:v>30.721791339623071</c:v>
                </c:pt>
                <c:pt idx="258">
                  <c:v>29.8033953917015</c:v>
                </c:pt>
                <c:pt idx="259">
                  <c:v>28.908702161330194</c:v>
                </c:pt>
                <c:pt idx="260">
                  <c:v>28.037048990596126</c:v>
                </c:pt>
                <c:pt idx="261">
                  <c:v>27.187798727623637</c:v>
                </c:pt>
                <c:pt idx="262">
                  <c:v>26.360338600594766</c:v>
                </c:pt>
                <c:pt idx="263">
                  <c:v>25.554079150679144</c:v>
                </c:pt>
                <c:pt idx="264">
                  <c:v>24.768453220395482</c:v>
                </c:pt>
                <c:pt idx="265">
                  <c:v>24.002914994157006</c:v>
                </c:pt>
                <c:pt idx="266">
                  <c:v>23.256939087967165</c:v>
                </c:pt>
                <c:pt idx="267">
                  <c:v>22.530019685429366</c:v>
                </c:pt>
                <c:pt idx="268">
                  <c:v>21.821669717418938</c:v>
                </c:pt>
                <c:pt idx="269">
                  <c:v>21.131420082935687</c:v>
                </c:pt>
                <c:pt idx="270">
                  <c:v>20.458818908813939</c:v>
                </c:pt>
                <c:pt idx="271">
                  <c:v>19.803430846114342</c:v>
                </c:pt>
                <c:pt idx="272">
                  <c:v>19.164836401158361</c:v>
                </c:pt>
                <c:pt idx="273">
                  <c:v>18.542631299294143</c:v>
                </c:pt>
                <c:pt idx="274">
                  <c:v>17.936425879600481</c:v>
                </c:pt>
                <c:pt idx="275">
                  <c:v>17.345844518846445</c:v>
                </c:pt>
                <c:pt idx="276">
                  <c:v>16.770525083126611</c:v>
                </c:pt>
                <c:pt idx="277">
                  <c:v>16.21011840568805</c:v>
                </c:pt>
                <c:pt idx="278">
                  <c:v>15.664287789554168</c:v>
                </c:pt>
                <c:pt idx="279">
                  <c:v>15.132708533634039</c:v>
                </c:pt>
                <c:pt idx="280">
                  <c:v>14.615067481083514</c:v>
                </c:pt>
                <c:pt idx="281">
                  <c:v>14.111062588756772</c:v>
                </c:pt>
                <c:pt idx="282">
                  <c:v>13.620402516654886</c:v>
                </c:pt>
                <c:pt idx="283">
                  <c:v>13.142806236340988</c:v>
                </c:pt>
                <c:pt idx="284">
                  <c:v>12.678002657350607</c:v>
                </c:pt>
                <c:pt idx="285">
                  <c:v>12.225730270680931</c:v>
                </c:pt>
                <c:pt idx="286">
                  <c:v>11.78573680849413</c:v>
                </c:pt>
                <c:pt idx="287">
                  <c:v>11.35777891921777</c:v>
                </c:pt>
                <c:pt idx="288">
                  <c:v>10.941621857270315</c:v>
                </c:pt>
                <c:pt idx="289">
                  <c:v>10.537039186681357</c:v>
                </c:pt>
                <c:pt idx="290">
                  <c:v>10.143812497915162</c:v>
                </c:pt>
                <c:pt idx="291">
                  <c:v>9.761731137242494</c:v>
                </c:pt>
                <c:pt idx="292">
                  <c:v>9.3905919480392335</c:v>
                </c:pt>
                <c:pt idx="293">
                  <c:v>9.0301990234217566</c:v>
                </c:pt>
                <c:pt idx="294">
                  <c:v>8.6803634696579604</c:v>
                </c:pt>
                <c:pt idx="295">
                  <c:v>8.3409031798196924</c:v>
                </c:pt>
                <c:pt idx="296">
                  <c:v>8.0116426171669755</c:v>
                </c:pt>
                <c:pt idx="297">
                  <c:v>7.6924126077771149</c:v>
                </c:pt>
                <c:pt idx="298">
                  <c:v>7.3830501419523351</c:v>
                </c:pt>
                <c:pt idx="299">
                  <c:v>7.083398183958284</c:v>
                </c:pt>
                <c:pt idx="300">
                  <c:v>6.7933054896625382</c:v>
                </c:pt>
                <c:pt idx="301">
                  <c:v>6.512626431656936</c:v>
                </c:pt>
                <c:pt idx="302">
                  <c:v>6.2412208314605326</c:v>
                </c:pt>
                <c:pt idx="303">
                  <c:v>5.978953798410795</c:v>
                </c:pt>
                <c:pt idx="304">
                  <c:v>5.7256955748596994</c:v>
                </c:pt>
                <c:pt idx="305">
                  <c:v>5.4813213872981912</c:v>
                </c:pt>
                <c:pt idx="306">
                  <c:v>5.2457113030373517</c:v>
                </c:pt>
                <c:pt idx="307">
                  <c:v>5.0187500920772425</c:v>
                </c:pt>
                <c:pt idx="308">
                  <c:v>4.8003270937948379</c:v>
                </c:pt>
                <c:pt idx="309">
                  <c:v>4.5903360880805666</c:v>
                </c:pt>
                <c:pt idx="310">
                  <c:v>4.3886751705487059</c:v>
                </c:pt>
                <c:pt idx="311">
                  <c:v>4.1952466314401535</c:v>
                </c:pt>
                <c:pt idx="312">
                  <c:v>4.0099568378268602</c:v>
                </c:pt>
                <c:pt idx="313">
                  <c:v>3.8327161187154988</c:v>
                </c:pt>
                <c:pt idx="314">
                  <c:v>3.663438652633757</c:v>
                </c:pt>
                <c:pt idx="315">
                  <c:v>3.5020423572661188</c:v>
                </c:pt>
                <c:pt idx="316">
                  <c:v>3.348448780687467</c:v>
                </c:pt>
                <c:pt idx="317">
                  <c:v>3.2025829937225252</c:v>
                </c:pt>
                <c:pt idx="318">
                  <c:v>3.0643734829378375</c:v>
                </c:pt>
                <c:pt idx="319">
                  <c:v>2.9337520437513134</c:v>
                </c:pt>
                <c:pt idx="320">
                  <c:v>2.8106536731235967</c:v>
                </c:pt>
                <c:pt idx="321">
                  <c:v>2.695016461277028</c:v>
                </c:pt>
                <c:pt idx="322">
                  <c:v>2.5867814818736496</c:v>
                </c:pt>
                <c:pt idx="323">
                  <c:v>2.4858926800757759</c:v>
                </c:pt>
                <c:pt idx="324">
                  <c:v>2.3922967579139307</c:v>
                </c:pt>
                <c:pt idx="325">
                  <c:v>2.3059430564002481</c:v>
                </c:pt>
                <c:pt idx="326">
                  <c:v>2.2267834338543291</c:v>
                </c:pt>
                <c:pt idx="327">
                  <c:v>2.1547721399561985</c:v>
                </c:pt>
                <c:pt idx="328">
                  <c:v>2.0898656851107051</c:v>
                </c:pt>
                <c:pt idx="329">
                  <c:v>2.0320227048020341</c:v>
                </c:pt>
                <c:pt idx="330">
                  <c:v>1.9812038187373611</c:v>
                </c:pt>
                <c:pt idx="331">
                  <c:v>1.9373714847252974</c:v>
                </c:pt>
                <c:pt idx="332">
                  <c:v>1.9004898474053327</c:v>
                </c:pt>
                <c:pt idx="333">
                  <c:v>1.8705245821347849</c:v>
                </c:pt>
                <c:pt idx="334">
                  <c:v>1.8474427345425215</c:v>
                </c:pt>
                <c:pt idx="335">
                  <c:v>1.8312125564646986</c:v>
                </c:pt>
                <c:pt idx="336">
                  <c:v>1.8218033391752746</c:v>
                </c:pt>
                <c:pt idx="337">
                  <c:v>1.8191852450008847</c:v>
                </c:pt>
                <c:pt idx="338">
                  <c:v>1.8233291385534838</c:v>
                </c:pt>
                <c:pt idx="339">
                  <c:v>1.8342064189141924</c:v>
                </c:pt>
                <c:pt idx="340">
                  <c:v>1.8517888541504455</c:v>
                </c:pt>
                <c:pt idx="341">
                  <c:v>1.876048419541833</c:v>
                </c:pt>
                <c:pt idx="342">
                  <c:v>1.9069571408286001</c:v>
                </c:pt>
                <c:pt idx="343">
                  <c:v>1.94448694368563</c:v>
                </c:pt>
                <c:pt idx="344">
                  <c:v>1.9886095104725403</c:v>
                </c:pt>
                <c:pt idx="345">
                  <c:v>2.0392961451286373</c:v>
                </c:pt>
                <c:pt idx="346">
                  <c:v>2.0965176468823188</c:v>
                </c:pt>
                <c:pt idx="347">
                  <c:v>2.1602441932406706</c:v>
                </c:pt>
                <c:pt idx="348">
                  <c:v>2.2304452325273245</c:v>
                </c:pt>
                <c:pt idx="349">
                  <c:v>2.3070893860543156</c:v>
                </c:pt>
                <c:pt idx="350">
                  <c:v>2.3901443598530081</c:v>
                </c:pt>
                <c:pt idx="351">
                  <c:v>2.4795768657539003</c:v>
                </c:pt>
                <c:pt idx="352">
                  <c:v>2.5753525514969322</c:v>
                </c:pt>
                <c:pt idx="353">
                  <c:v>2.6774359394720255</c:v>
                </c:pt>
                <c:pt idx="354">
                  <c:v>2.7857903736323038</c:v>
                </c:pt>
                <c:pt idx="355">
                  <c:v>2.9003779740867741</c:v>
                </c:pt>
                <c:pt idx="356">
                  <c:v>3.0211595988619053</c:v>
                </c:pt>
                <c:pt idx="357">
                  <c:v>3.1480948123190786</c:v>
                </c:pt>
                <c:pt idx="358">
                  <c:v>3.281141859723967</c:v>
                </c:pt>
                <c:pt idx="359">
                  <c:v>3.420257647481622</c:v>
                </c:pt>
                <c:pt idx="360">
                  <c:v>3.5653977285746024</c:v>
                </c:pt>
                <c:pt idx="361">
                  <c:v>3.7165162927690329</c:v>
                </c:pt>
                <c:pt idx="362">
                  <c:v>3.8735661611829419</c:v>
                </c:pt>
                <c:pt idx="363">
                  <c:v>4.0364987848415463</c:v>
                </c:pt>
                <c:pt idx="364">
                  <c:v>4.2052642468741253</c:v>
                </c:pt>
                <c:pt idx="365">
                  <c:v>4.3798112680361605</c:v>
                </c:pt>
                <c:pt idx="366">
                  <c:v>4.5600872152678855</c:v>
                </c:pt>
                <c:pt idx="367">
                  <c:v>4.7460381130262581</c:v>
                </c:pt>
                <c:pt idx="368">
                  <c:v>4.9376086571510207</c:v>
                </c:pt>
                <c:pt idx="369">
                  <c:v>5.1347422310474675</c:v>
                </c:pt>
                <c:pt idx="370">
                  <c:v>5.3373809239882695</c:v>
                </c:pt>
                <c:pt idx="371">
                  <c:v>5.5454655513546545</c:v>
                </c:pt>
                <c:pt idx="372">
                  <c:v>5.7589356766533957</c:v>
                </c:pt>
                <c:pt idx="373">
                  <c:v>5.9777296351604265</c:v>
                </c:pt>
                <c:pt idx="374">
                  <c:v>6.2017845590548282</c:v>
                </c:pt>
                <c:pt idx="375">
                  <c:v>6.4310364039184531</c:v>
                </c:pt>
                <c:pt idx="376">
                  <c:v>6.6654199764865965</c:v>
                </c:pt>
                <c:pt idx="377">
                  <c:v>6.9048689635442395</c:v>
                </c:pt>
                <c:pt idx="378">
                  <c:v>7.1493159618704647</c:v>
                </c:pt>
                <c:pt idx="379">
                  <c:v>7.3986925091407629</c:v>
                </c:pt>
                <c:pt idx="380">
                  <c:v>7.6529291157032633</c:v>
                </c:pt>
                <c:pt idx="381">
                  <c:v>7.9119552971506932</c:v>
                </c:pt>
                <c:pt idx="382">
                  <c:v>8.1756996076147246</c:v>
                </c:pt>
                <c:pt idx="383">
                  <c:v>8.4440896737139468</c:v>
                </c:pt>
                <c:pt idx="384">
                  <c:v>8.7170522290906742</c:v>
                </c:pt>
                <c:pt idx="385">
                  <c:v>8.9945131494753134</c:v>
                </c:pt>
                <c:pt idx="386">
                  <c:v>9.2763974882203222</c:v>
                </c:pt>
                <c:pt idx="387">
                  <c:v>9.5626295122485772</c:v>
                </c:pt>
                <c:pt idx="388">
                  <c:v>9.8531327383636338</c:v>
                </c:pt>
                <c:pt idx="389">
                  <c:v>10.14782996987169</c:v>
                </c:pt>
                <c:pt idx="390">
                  <c:v>10.446643333467289</c:v>
                </c:pt>
                <c:pt idx="391">
                  <c:v>10.749494316336678</c:v>
                </c:pt>
                <c:pt idx="392">
                  <c:v>11.056303803434622</c:v>
                </c:pt>
                <c:pt idx="393">
                  <c:v>11.366992114892133</c:v>
                </c:pt>
                <c:pt idx="394">
                  <c:v>11.681479043514182</c:v>
                </c:pt>
                <c:pt idx="395">
                  <c:v>11.999683892327772</c:v>
                </c:pt>
                <c:pt idx="396">
                  <c:v>12.321525512142415</c:v>
                </c:pt>
                <c:pt idx="397">
                  <c:v>12.646922339086041</c:v>
                </c:pt>
                <c:pt idx="398">
                  <c:v>12.97579243208078</c:v>
                </c:pt>
                <c:pt idx="399">
                  <c:v>13.308053510224299</c:v>
                </c:pt>
                <c:pt idx="400">
                  <c:v>13.643622990043353</c:v>
                </c:pt>
                <c:pt idx="401">
                  <c:v>13.982418022587394</c:v>
                </c:pt>
                <c:pt idx="402">
                  <c:v>14.324355530331156</c:v>
                </c:pt>
                <c:pt idx="403">
                  <c:v>14.669352243856238</c:v>
                </c:pt>
                <c:pt idx="404">
                  <c:v>15.01732473828246</c:v>
                </c:pt>
                <c:pt idx="405">
                  <c:v>15.368189469421193</c:v>
                </c:pt>
                <c:pt idx="406">
                  <c:v>15.72186280962336</c:v>
                </c:pt>
                <c:pt idx="407">
                  <c:v>16.078261083296155</c:v>
                </c:pt>
                <c:pt idx="408">
                  <c:v>16.437300602063317</c:v>
                </c:pt>
                <c:pt idx="409">
                  <c:v>16.798897699544671</c:v>
                </c:pt>
                <c:pt idx="410">
                  <c:v>17.162968765731669</c:v>
                </c:pt>
                <c:pt idx="411">
                  <c:v>17.529430280936712</c:v>
                </c:pt>
                <c:pt idx="412">
                  <c:v>17.898198849294573</c:v>
                </c:pt>
                <c:pt idx="413">
                  <c:v>18.269191231795691</c:v>
                </c:pt>
                <c:pt idx="414">
                  <c:v>18.64232437883134</c:v>
                </c:pt>
                <c:pt idx="415">
                  <c:v>19.017515462232314</c:v>
                </c:pt>
                <c:pt idx="416">
                  <c:v>19.394681906783084</c:v>
                </c:pt>
                <c:pt idx="417">
                  <c:v>19.773741421194508</c:v>
                </c:pt>
                <c:pt idx="418">
                  <c:v>20.154612028519026</c:v>
                </c:pt>
                <c:pt idx="419">
                  <c:v>20.537212095993237</c:v>
                </c:pt>
                <c:pt idx="420">
                  <c:v>20.921460364293427</c:v>
                </c:pt>
                <c:pt idx="421">
                  <c:v>21.307275976190688</c:v>
                </c:pt>
                <c:pt idx="422">
                  <c:v>21.694578504592897</c:v>
                </c:pt>
                <c:pt idx="423">
                  <c:v>22.083287979961973</c:v>
                </c:pt>
                <c:pt idx="424">
                  <c:v>22.473324917095407</c:v>
                </c:pt>
                <c:pt idx="425">
                  <c:v>22.864610341261937</c:v>
                </c:pt>
                <c:pt idx="426">
                  <c:v>23.257065813682257</c:v>
                </c:pt>
                <c:pt idx="427">
                  <c:v>23.650613456346207</c:v>
                </c:pt>
                <c:pt idx="428">
                  <c:v>24.045175976158838</c:v>
                </c:pt>
                <c:pt idx="429">
                  <c:v>24.440676688408587</c:v>
                </c:pt>
                <c:pt idx="430">
                  <c:v>24.837039539551341</c:v>
                </c:pt>
                <c:pt idx="431">
                  <c:v>25.234189129305253</c:v>
                </c:pt>
                <c:pt idx="432">
                  <c:v>25.63205073205183</c:v>
                </c:pt>
                <c:pt idx="433">
                  <c:v>26.030550317539188</c:v>
                </c:pt>
                <c:pt idx="434">
                  <c:v>26.429614570884844</c:v>
                </c:pt>
                <c:pt idx="435">
                  <c:v>26.829170911875483</c:v>
                </c:pt>
                <c:pt idx="436">
                  <c:v>27.229147513562015</c:v>
                </c:pt>
                <c:pt idx="437">
                  <c:v>27.62947332014917</c:v>
                </c:pt>
                <c:pt idx="438">
                  <c:v>28.030078064179246</c:v>
                </c:pt>
                <c:pt idx="439">
                  <c:v>28.430892283010404</c:v>
                </c:pt>
                <c:pt idx="440">
                  <c:v>28.831847334590528</c:v>
                </c:pt>
                <c:pt idx="441">
                  <c:v>29.232875412528511</c:v>
                </c:pt>
                <c:pt idx="442">
                  <c:v>29.633909560464911</c:v>
                </c:pt>
                <c:pt idx="443">
                  <c:v>30.034883685744962</c:v>
                </c:pt>
                <c:pt idx="444">
                  <c:v>30.43573257239763</c:v>
                </c:pt>
                <c:pt idx="445">
                  <c:v>30.83639189342427</c:v>
                </c:pt>
                <c:pt idx="446">
                  <c:v>31.236798222401656</c:v>
                </c:pt>
                <c:pt idx="447">
                  <c:v>31.636889044404541</c:v>
                </c:pt>
                <c:pt idx="448">
                  <c:v>32.036602766252898</c:v>
                </c:pt>
                <c:pt idx="449">
                  <c:v>32.435878726090337</c:v>
                </c:pt>
                <c:pt idx="450">
                  <c:v>32.834657202299887</c:v>
                </c:pt>
                <c:pt idx="451">
                  <c:v>33.232879421764167</c:v>
                </c:pt>
                <c:pt idx="452">
                  <c:v>33.630487567477275</c:v>
                </c:pt>
                <c:pt idx="453">
                  <c:v>34.027424785516388</c:v>
                </c:pt>
                <c:pt idx="454">
                  <c:v>34.423635191380825</c:v>
                </c:pt>
                <c:pt idx="455">
                  <c:v>34.819063875707513</c:v>
                </c:pt>
                <c:pt idx="456">
                  <c:v>35.213656909371473</c:v>
                </c:pt>
                <c:pt idx="457">
                  <c:v>35.607361347980742</c:v>
                </c:pt>
                <c:pt idx="458">
                  <c:v>36.000125235775094</c:v>
                </c:pt>
                <c:pt idx="459">
                  <c:v>36.391897608938464</c:v>
                </c:pt>
                <c:pt idx="460">
                  <c:v>36.78262849833515</c:v>
                </c:pt>
                <c:pt idx="461">
                  <c:v>37.172268931680463</c:v>
                </c:pt>
                <c:pt idx="462">
                  <c:v>37.560770935155659</c:v>
                </c:pt>
                <c:pt idx="463">
                  <c:v>37.948087534479001</c:v>
                </c:pt>
                <c:pt idx="464">
                  <c:v>38.33417275544317</c:v>
                </c:pt>
                <c:pt idx="465">
                  <c:v>38.718981623930702</c:v>
                </c:pt>
                <c:pt idx="466">
                  <c:v>39.10247016541873</c:v>
                </c:pt>
                <c:pt idx="467">
                  <c:v>39.484595403984486</c:v>
                </c:pt>
                <c:pt idx="468">
                  <c:v>39.865315360823466</c:v>
                </c:pt>
                <c:pt idx="469">
                  <c:v>40.244589052291914</c:v>
                </c:pt>
                <c:pt idx="470">
                  <c:v>40.622376487485738</c:v>
                </c:pt>
                <c:pt idx="471">
                  <c:v>40.998638665367487</c:v>
                </c:pt>
                <c:pt idx="472">
                  <c:v>41.373337571454115</c:v>
                </c:pt>
                <c:pt idx="473">
                  <c:v>41.746436174077047</c:v>
                </c:pt>
                <c:pt idx="474">
                  <c:v>42.117898420227263</c:v>
                </c:pt>
                <c:pt idx="475">
                  <c:v>42.487689230997347</c:v>
                </c:pt>
                <c:pt idx="476">
                  <c:v>42.855774496632804</c:v>
                </c:pt>
                <c:pt idx="477">
                  <c:v>43.222121071205208</c:v>
                </c:pt>
                <c:pt idx="478">
                  <c:v>43.586696766918891</c:v>
                </c:pt>
                <c:pt idx="479">
                  <c:v>43.94947034806399</c:v>
                </c:pt>
                <c:pt idx="480">
                  <c:v>44.310411524627874</c:v>
                </c:pt>
                <c:pt idx="481">
                  <c:v>44.669490945576904</c:v>
                </c:pt>
                <c:pt idx="482">
                  <c:v>45.026680191821001</c:v>
                </c:pt>
                <c:pt idx="483">
                  <c:v>45.381951768872987</c:v>
                </c:pt>
                <c:pt idx="484">
                  <c:v>45.735279099214473</c:v>
                </c:pt>
                <c:pt idx="485">
                  <c:v>46.086636514380615</c:v>
                </c:pt>
                <c:pt idx="486">
                  <c:v>46.43599924677514</c:v>
                </c:pt>
                <c:pt idx="487">
                  <c:v>46.783343421227713</c:v>
                </c:pt>
                <c:pt idx="488">
                  <c:v>47.128646046305001</c:v>
                </c:pt>
                <c:pt idx="489">
                  <c:v>47.471885005387058</c:v>
                </c:pt>
                <c:pt idx="490">
                  <c:v>47.813039047520334</c:v>
                </c:pt>
                <c:pt idx="491">
                  <c:v>48.152087778058672</c:v>
                </c:pt>
                <c:pt idx="492">
                  <c:v>48.489011649103212</c:v>
                </c:pt>
                <c:pt idx="493">
                  <c:v>48.823791949752064</c:v>
                </c:pt>
                <c:pt idx="494">
                  <c:v>49.156410796171137</c:v>
                </c:pt>
                <c:pt idx="495">
                  <c:v>49.48685112149581</c:v>
                </c:pt>
                <c:pt idx="496">
                  <c:v>49.815096665574842</c:v>
                </c:pt>
                <c:pt idx="497">
                  <c:v>50.141131964566092</c:v>
                </c:pt>
                <c:pt idx="498">
                  <c:v>50.464942340394678</c:v>
                </c:pt>
                <c:pt idx="499">
                  <c:v>50.786513890083384</c:v>
                </c:pt>
                <c:pt idx="500">
                  <c:v>51.105833474964854</c:v>
                </c:pt>
                <c:pt idx="501">
                  <c:v>51.422888709785369</c:v>
                </c:pt>
                <c:pt idx="502">
                  <c:v>51.737667951709703</c:v>
                </c:pt>
                <c:pt idx="503">
                  <c:v>52.05016028923594</c:v>
                </c:pt>
                <c:pt idx="504">
                  <c:v>52.360355531029647</c:v>
                </c:pt>
                <c:pt idx="505">
                  <c:v>52.668244194685606</c:v>
                </c:pt>
                <c:pt idx="506">
                  <c:v>52.973817495426573</c:v>
                </c:pt>
                <c:pt idx="507">
                  <c:v>53.277067334746626</c:v>
                </c:pt>
                <c:pt idx="508">
                  <c:v>53.577986289007761</c:v>
                </c:pt>
                <c:pt idx="509">
                  <c:v>53.876567597997848</c:v>
                </c:pt>
                <c:pt idx="510">
                  <c:v>54.172805153457141</c:v>
                </c:pt>
                <c:pt idx="511">
                  <c:v>54.46669348758175</c:v>
                </c:pt>
                <c:pt idx="512">
                  <c:v>54.75822776151076</c:v>
                </c:pt>
                <c:pt idx="513">
                  <c:v>55.047403753804545</c:v>
                </c:pt>
                <c:pt idx="514">
                  <c:v>55.334217848921064</c:v>
                </c:pt>
                <c:pt idx="515">
                  <c:v>55.618667025697221</c:v>
                </c:pt>
                <c:pt idx="516">
                  <c:v>55.900748845841363</c:v>
                </c:pt>
                <c:pt idx="517">
                  <c:v>56.180461442443772</c:v>
                </c:pt>
                <c:pt idx="518">
                  <c:v>56.457803508510814</c:v>
                </c:pt>
                <c:pt idx="519">
                  <c:v>56.732774285529224</c:v>
                </c:pt>
                <c:pt idx="520">
                  <c:v>57.005373552065926</c:v>
                </c:pt>
                <c:pt idx="521">
                  <c:v>57.275601612408792</c:v>
                </c:pt>
                <c:pt idx="522">
                  <c:v>57.543459285254421</c:v>
                </c:pt>
                <c:pt idx="523">
                  <c:v>57.808947892447051</c:v>
                </c:pt>
                <c:pt idx="524">
                  <c:v>58.072069247774635</c:v>
                </c:pt>
                <c:pt idx="525">
                  <c:v>58.332825645825942</c:v>
                </c:pt>
                <c:pt idx="526">
                  <c:v>58.333083530570136</c:v>
                </c:pt>
                <c:pt idx="527">
                  <c:v>58.333341412978676</c:v>
                </c:pt>
                <c:pt idx="528">
                  <c:v>58.33359929305152</c:v>
                </c:pt>
                <c:pt idx="529">
                  <c:v>58.333857170788754</c:v>
                </c:pt>
                <c:pt idx="530">
                  <c:v>58.334115046190341</c:v>
                </c:pt>
                <c:pt idx="531">
                  <c:v>58.334372919256246</c:v>
                </c:pt>
                <c:pt idx="532">
                  <c:v>58.334630789986512</c:v>
                </c:pt>
                <c:pt idx="533">
                  <c:v>58.334888658381139</c:v>
                </c:pt>
                <c:pt idx="534">
                  <c:v>58.33514652444012</c:v>
                </c:pt>
                <c:pt idx="535">
                  <c:v>58.335404388163461</c:v>
                </c:pt>
                <c:pt idx="536">
                  <c:v>58.335662249551163</c:v>
                </c:pt>
                <c:pt idx="537">
                  <c:v>58.335920108603247</c:v>
                </c:pt>
                <c:pt idx="538">
                  <c:v>58.336177965319685</c:v>
                </c:pt>
                <c:pt idx="539">
                  <c:v>58.336435819700519</c:v>
                </c:pt>
                <c:pt idx="540">
                  <c:v>58.336693671745742</c:v>
                </c:pt>
                <c:pt idx="541">
                  <c:v>58.336951521455319</c:v>
                </c:pt>
                <c:pt idx="542">
                  <c:v>58.337209368829285</c:v>
                </c:pt>
                <c:pt idx="543">
                  <c:v>58.337467213867647</c:v>
                </c:pt>
                <c:pt idx="544">
                  <c:v>58.337725056570385</c:v>
                </c:pt>
                <c:pt idx="545">
                  <c:v>58.337982896937518</c:v>
                </c:pt>
                <c:pt idx="546">
                  <c:v>58.338240734969034</c:v>
                </c:pt>
                <c:pt idx="547">
                  <c:v>58.338498570664953</c:v>
                </c:pt>
                <c:pt idx="548">
                  <c:v>58.338756404025304</c:v>
                </c:pt>
                <c:pt idx="549">
                  <c:v>58.339014235050051</c:v>
                </c:pt>
                <c:pt idx="550">
                  <c:v>58.339272063739173</c:v>
                </c:pt>
                <c:pt idx="551">
                  <c:v>58.339529890092727</c:v>
                </c:pt>
                <c:pt idx="552">
                  <c:v>58.339787714110706</c:v>
                </c:pt>
                <c:pt idx="553">
                  <c:v>58.340045535793088</c:v>
                </c:pt>
                <c:pt idx="554">
                  <c:v>58.340303355139888</c:v>
                </c:pt>
                <c:pt idx="555">
                  <c:v>58.340561172151119</c:v>
                </c:pt>
                <c:pt idx="556">
                  <c:v>58.34081898682679</c:v>
                </c:pt>
                <c:pt idx="557">
                  <c:v>58.341076799166849</c:v>
                </c:pt>
                <c:pt idx="558">
                  <c:v>58.341334609171369</c:v>
                </c:pt>
                <c:pt idx="559">
                  <c:v>58.341592416840342</c:v>
                </c:pt>
                <c:pt idx="560">
                  <c:v>58.34185022217374</c:v>
                </c:pt>
                <c:pt idx="561">
                  <c:v>58.342108025171562</c:v>
                </c:pt>
                <c:pt idx="562">
                  <c:v>58.342365825833866</c:v>
                </c:pt>
                <c:pt idx="563">
                  <c:v>58.342623624160609</c:v>
                </c:pt>
                <c:pt idx="564">
                  <c:v>58.342881420151762</c:v>
                </c:pt>
                <c:pt idx="565">
                  <c:v>58.34313921380739</c:v>
                </c:pt>
                <c:pt idx="566">
                  <c:v>58.343397005127493</c:v>
                </c:pt>
                <c:pt idx="567">
                  <c:v>58.343654794112055</c:v>
                </c:pt>
                <c:pt idx="568">
                  <c:v>58.343912580761078</c:v>
                </c:pt>
                <c:pt idx="569">
                  <c:v>58.34417036507454</c:v>
                </c:pt>
                <c:pt idx="570">
                  <c:v>58.344428147052504</c:v>
                </c:pt>
                <c:pt idx="571">
                  <c:v>58.344685926694943</c:v>
                </c:pt>
                <c:pt idx="572">
                  <c:v>58.344943704001864</c:v>
                </c:pt>
                <c:pt idx="573">
                  <c:v>58.345201478973223</c:v>
                </c:pt>
                <c:pt idx="574">
                  <c:v>58.345459251609086</c:v>
                </c:pt>
                <c:pt idx="575">
                  <c:v>58.345717021909422</c:v>
                </c:pt>
                <c:pt idx="576">
                  <c:v>58.345974789874262</c:v>
                </c:pt>
                <c:pt idx="577">
                  <c:v>58.346232555503583</c:v>
                </c:pt>
                <c:pt idx="578">
                  <c:v>58.3464903187974</c:v>
                </c:pt>
                <c:pt idx="579">
                  <c:v>58.346748079755706</c:v>
                </c:pt>
                <c:pt idx="580">
                  <c:v>58.347005838378564</c:v>
                </c:pt>
                <c:pt idx="581">
                  <c:v>58.347263594665868</c:v>
                </c:pt>
                <c:pt idx="582">
                  <c:v>58.347521348617704</c:v>
                </c:pt>
                <c:pt idx="583">
                  <c:v>58.347779100234035</c:v>
                </c:pt>
                <c:pt idx="584">
                  <c:v>58.348036849514884</c:v>
                </c:pt>
                <c:pt idx="585">
                  <c:v>58.348294596460264</c:v>
                </c:pt>
                <c:pt idx="586">
                  <c:v>58.348552341070153</c:v>
                </c:pt>
                <c:pt idx="587">
                  <c:v>58.34881008334456</c:v>
                </c:pt>
                <c:pt idx="588">
                  <c:v>58.349067823283519</c:v>
                </c:pt>
                <c:pt idx="589">
                  <c:v>58.349325560886982</c:v>
                </c:pt>
                <c:pt idx="590">
                  <c:v>58.349583296154975</c:v>
                </c:pt>
                <c:pt idx="591">
                  <c:v>58.349841029087536</c:v>
                </c:pt>
                <c:pt idx="592">
                  <c:v>58.350098759684599</c:v>
                </c:pt>
                <c:pt idx="593">
                  <c:v>58.350356487946186</c:v>
                </c:pt>
                <c:pt idx="594">
                  <c:v>58.350614213872355</c:v>
                </c:pt>
                <c:pt idx="595">
                  <c:v>58.350871937463062</c:v>
                </c:pt>
                <c:pt idx="596">
                  <c:v>58.351129658718321</c:v>
                </c:pt>
                <c:pt idx="597">
                  <c:v>58.351387377638169</c:v>
                </c:pt>
                <c:pt idx="598">
                  <c:v>58.351645094222505</c:v>
                </c:pt>
                <c:pt idx="599">
                  <c:v>58.351902808471408</c:v>
                </c:pt>
                <c:pt idx="600">
                  <c:v>58.352160520384928</c:v>
                </c:pt>
                <c:pt idx="601">
                  <c:v>58.352418229962964</c:v>
                </c:pt>
                <c:pt idx="602">
                  <c:v>58.352675937205575</c:v>
                </c:pt>
                <c:pt idx="603">
                  <c:v>58.352933642112781</c:v>
                </c:pt>
                <c:pt idx="604">
                  <c:v>58.353191344684532</c:v>
                </c:pt>
                <c:pt idx="605">
                  <c:v>58.3534490449209</c:v>
                </c:pt>
                <c:pt idx="606">
                  <c:v>58.353706742821807</c:v>
                </c:pt>
                <c:pt idx="607">
                  <c:v>58.353964438387322</c:v>
                </c:pt>
                <c:pt idx="608">
                  <c:v>58.354222131617433</c:v>
                </c:pt>
                <c:pt idx="609">
                  <c:v>58.354479822512111</c:v>
                </c:pt>
                <c:pt idx="610">
                  <c:v>58.354737511071392</c:v>
                </c:pt>
                <c:pt idx="611">
                  <c:v>58.354995197295288</c:v>
                </c:pt>
                <c:pt idx="612">
                  <c:v>58.355252881183759</c:v>
                </c:pt>
                <c:pt idx="613">
                  <c:v>58.355510562736846</c:v>
                </c:pt>
                <c:pt idx="614">
                  <c:v>58.355768241954515</c:v>
                </c:pt>
                <c:pt idx="615">
                  <c:v>58.356025918836835</c:v>
                </c:pt>
                <c:pt idx="616">
                  <c:v>58.356283593383715</c:v>
                </c:pt>
                <c:pt idx="617">
                  <c:v>58.356541265595247</c:v>
                </c:pt>
                <c:pt idx="618">
                  <c:v>58.356798935471389</c:v>
                </c:pt>
                <c:pt idx="619">
                  <c:v>58.357056603012175</c:v>
                </c:pt>
                <c:pt idx="620">
                  <c:v>58.357314268217557</c:v>
                </c:pt>
                <c:pt idx="621">
                  <c:v>58.357571931087577</c:v>
                </c:pt>
                <c:pt idx="622">
                  <c:v>58.357829591622227</c:v>
                </c:pt>
                <c:pt idx="623">
                  <c:v>58.358087249821502</c:v>
                </c:pt>
                <c:pt idx="624">
                  <c:v>58.358344905685421</c:v>
                </c:pt>
                <c:pt idx="625">
                  <c:v>58.358602559213978</c:v>
                </c:pt>
                <c:pt idx="626">
                  <c:v>58.35886021040718</c:v>
                </c:pt>
                <c:pt idx="627">
                  <c:v>58.359117859265034</c:v>
                </c:pt>
                <c:pt idx="628">
                  <c:v>58.359375505787519</c:v>
                </c:pt>
                <c:pt idx="629">
                  <c:v>58.359633149974684</c:v>
                </c:pt>
                <c:pt idx="630">
                  <c:v>58.359890791826494</c:v>
                </c:pt>
                <c:pt idx="631">
                  <c:v>58.360148431342957</c:v>
                </c:pt>
                <c:pt idx="632">
                  <c:v>58.360406068524071</c:v>
                </c:pt>
                <c:pt idx="633">
                  <c:v>58.360663703369895</c:v>
                </c:pt>
                <c:pt idx="634">
                  <c:v>58.360921335880349</c:v>
                </c:pt>
                <c:pt idx="635">
                  <c:v>58.361178966055483</c:v>
                </c:pt>
                <c:pt idx="636">
                  <c:v>58.361436593895291</c:v>
                </c:pt>
                <c:pt idx="637">
                  <c:v>58.361694219399766</c:v>
                </c:pt>
                <c:pt idx="638">
                  <c:v>58.361951842568942</c:v>
                </c:pt>
                <c:pt idx="639">
                  <c:v>58.362209463402792</c:v>
                </c:pt>
                <c:pt idx="640">
                  <c:v>58.362467081901315</c:v>
                </c:pt>
                <c:pt idx="641">
                  <c:v>58.362724698064561</c:v>
                </c:pt>
                <c:pt idx="642">
                  <c:v>58.36298231189248</c:v>
                </c:pt>
                <c:pt idx="643">
                  <c:v>58.363239923385102</c:v>
                </c:pt>
                <c:pt idx="644">
                  <c:v>58.363497532542418</c:v>
                </c:pt>
                <c:pt idx="645">
                  <c:v>58.363755139364429</c:v>
                </c:pt>
                <c:pt idx="646">
                  <c:v>58.364012743851163</c:v>
                </c:pt>
                <c:pt idx="647">
                  <c:v>58.364270346002584</c:v>
                </c:pt>
                <c:pt idx="648">
                  <c:v>58.36452794581875</c:v>
                </c:pt>
                <c:pt idx="649">
                  <c:v>58.364785543299625</c:v>
                </c:pt>
                <c:pt idx="650">
                  <c:v>58.365043138445209</c:v>
                </c:pt>
                <c:pt idx="651">
                  <c:v>58.365300731255502</c:v>
                </c:pt>
                <c:pt idx="652">
                  <c:v>58.365558321730525</c:v>
                </c:pt>
                <c:pt idx="653">
                  <c:v>58.365815909870285</c:v>
                </c:pt>
                <c:pt idx="654">
                  <c:v>58.366073495674769</c:v>
                </c:pt>
                <c:pt idx="655">
                  <c:v>58.366331079143968</c:v>
                </c:pt>
                <c:pt idx="656">
                  <c:v>58.366588660277948</c:v>
                </c:pt>
                <c:pt idx="657">
                  <c:v>58.366846239076644</c:v>
                </c:pt>
                <c:pt idx="658">
                  <c:v>58.367103815540069</c:v>
                </c:pt>
                <c:pt idx="659">
                  <c:v>58.367361389668268</c:v>
                </c:pt>
                <c:pt idx="660">
                  <c:v>58.367618961461197</c:v>
                </c:pt>
                <c:pt idx="661">
                  <c:v>58.367876530918913</c:v>
                </c:pt>
                <c:pt idx="662">
                  <c:v>58.368134098041338</c:v>
                </c:pt>
                <c:pt idx="663">
                  <c:v>58.36839166282855</c:v>
                </c:pt>
                <c:pt idx="664">
                  <c:v>58.368649225280521</c:v>
                </c:pt>
                <c:pt idx="665">
                  <c:v>58.36890678539725</c:v>
                </c:pt>
                <c:pt idx="666">
                  <c:v>58.369164343178738</c:v>
                </c:pt>
                <c:pt idx="667">
                  <c:v>58.369421898625006</c:v>
                </c:pt>
                <c:pt idx="668">
                  <c:v>58.369679451736054</c:v>
                </c:pt>
                <c:pt idx="669">
                  <c:v>58.369937002511897</c:v>
                </c:pt>
                <c:pt idx="670">
                  <c:v>58.370194550952483</c:v>
                </c:pt>
                <c:pt idx="671">
                  <c:v>58.37045209705785</c:v>
                </c:pt>
                <c:pt idx="672">
                  <c:v>58.370709640828068</c:v>
                </c:pt>
                <c:pt idx="673">
                  <c:v>58.37096718226303</c:v>
                </c:pt>
                <c:pt idx="674">
                  <c:v>58.371224721362779</c:v>
                </c:pt>
                <c:pt idx="675">
                  <c:v>58.371482258127322</c:v>
                </c:pt>
                <c:pt idx="676">
                  <c:v>58.371739792556681</c:v>
                </c:pt>
                <c:pt idx="677">
                  <c:v>58.371997324650835</c:v>
                </c:pt>
                <c:pt idx="678">
                  <c:v>58.372254854409796</c:v>
                </c:pt>
                <c:pt idx="679">
                  <c:v>58.372512381833573</c:v>
                </c:pt>
                <c:pt idx="680">
                  <c:v>58.37276990692218</c:v>
                </c:pt>
                <c:pt idx="681">
                  <c:v>58.373027429675552</c:v>
                </c:pt>
                <c:pt idx="682">
                  <c:v>58.373284950093776</c:v>
                </c:pt>
                <c:pt idx="683">
                  <c:v>58.373542468176808</c:v>
                </c:pt>
                <c:pt idx="684">
                  <c:v>58.373799983924684</c:v>
                </c:pt>
                <c:pt idx="685">
                  <c:v>58.374057497337368</c:v>
                </c:pt>
                <c:pt idx="686">
                  <c:v>58.374315008414889</c:v>
                </c:pt>
                <c:pt idx="687">
                  <c:v>58.374572517157262</c:v>
                </c:pt>
                <c:pt idx="688">
                  <c:v>58.374830023564428</c:v>
                </c:pt>
                <c:pt idx="689">
                  <c:v>58.375087527636488</c:v>
                </c:pt>
                <c:pt idx="690">
                  <c:v>58.375345029373378</c:v>
                </c:pt>
                <c:pt idx="691">
                  <c:v>58.37560252877509</c:v>
                </c:pt>
                <c:pt idx="692">
                  <c:v>58.375860025841654</c:v>
                </c:pt>
                <c:pt idx="693">
                  <c:v>58.376117520573096</c:v>
                </c:pt>
                <c:pt idx="694">
                  <c:v>58.376375012969376</c:v>
                </c:pt>
                <c:pt idx="695">
                  <c:v>58.376632503030528</c:v>
                </c:pt>
                <c:pt idx="696">
                  <c:v>58.376889990756531</c:v>
                </c:pt>
                <c:pt idx="697">
                  <c:v>58.3771474761474</c:v>
                </c:pt>
                <c:pt idx="698">
                  <c:v>58.37740495920314</c:v>
                </c:pt>
                <c:pt idx="699">
                  <c:v>58.377662439923753</c:v>
                </c:pt>
                <c:pt idx="700">
                  <c:v>58.377919918309239</c:v>
                </c:pt>
                <c:pt idx="701">
                  <c:v>58.378177394359604</c:v>
                </c:pt>
                <c:pt idx="702">
                  <c:v>58.378434868074841</c:v>
                </c:pt>
                <c:pt idx="703">
                  <c:v>58.378692339454965</c:v>
                </c:pt>
                <c:pt idx="704">
                  <c:v>58.378949808499982</c:v>
                </c:pt>
                <c:pt idx="705">
                  <c:v>58.379207275209914</c:v>
                </c:pt>
                <c:pt idx="706">
                  <c:v>58.379464739584691</c:v>
                </c:pt>
                <c:pt idx="707">
                  <c:v>58.379722201624411</c:v>
                </c:pt>
                <c:pt idx="708">
                  <c:v>58.379979661329017</c:v>
                </c:pt>
                <c:pt idx="709">
                  <c:v>58.380237118698503</c:v>
                </c:pt>
                <c:pt idx="710">
                  <c:v>58.380494573732918</c:v>
                </c:pt>
                <c:pt idx="711">
                  <c:v>58.380752026432233</c:v>
                </c:pt>
                <c:pt idx="712">
                  <c:v>58.381009476796464</c:v>
                </c:pt>
                <c:pt idx="713">
                  <c:v>58.381266924825631</c:v>
                </c:pt>
                <c:pt idx="714">
                  <c:v>58.381524370519685</c:v>
                </c:pt>
                <c:pt idx="715">
                  <c:v>58.381781813878668</c:v>
                </c:pt>
                <c:pt idx="716">
                  <c:v>58.382039254902573</c:v>
                </c:pt>
                <c:pt idx="717">
                  <c:v>58.382296693591414</c:v>
                </c:pt>
                <c:pt idx="718">
                  <c:v>58.382554129945191</c:v>
                </c:pt>
                <c:pt idx="719">
                  <c:v>58.382811563963898</c:v>
                </c:pt>
                <c:pt idx="720">
                  <c:v>58.383068995647555</c:v>
                </c:pt>
                <c:pt idx="721">
                  <c:v>58.38332642499612</c:v>
                </c:pt>
                <c:pt idx="722">
                  <c:v>58.383583852009679</c:v>
                </c:pt>
                <c:pt idx="723">
                  <c:v>58.383841276688159</c:v>
                </c:pt>
                <c:pt idx="724">
                  <c:v>58.384098699031583</c:v>
                </c:pt>
                <c:pt idx="725">
                  <c:v>58.384356119039971</c:v>
                </c:pt>
                <c:pt idx="726">
                  <c:v>58.384613536713303</c:v>
                </c:pt>
                <c:pt idx="727">
                  <c:v>58.384870952051607</c:v>
                </c:pt>
                <c:pt idx="728">
                  <c:v>58.385128365054861</c:v>
                </c:pt>
                <c:pt idx="729">
                  <c:v>58.385385775723087</c:v>
                </c:pt>
                <c:pt idx="730">
                  <c:v>58.385643184056285</c:v>
                </c:pt>
                <c:pt idx="731">
                  <c:v>58.385900590054455</c:v>
                </c:pt>
                <c:pt idx="732">
                  <c:v>58.386157993717639</c:v>
                </c:pt>
                <c:pt idx="733">
                  <c:v>58.386415395045766</c:v>
                </c:pt>
                <c:pt idx="734">
                  <c:v>58.386672794038859</c:v>
                </c:pt>
                <c:pt idx="735">
                  <c:v>58.386930190696972</c:v>
                </c:pt>
                <c:pt idx="736">
                  <c:v>58.387187585020037</c:v>
                </c:pt>
                <c:pt idx="737">
                  <c:v>58.387444977008123</c:v>
                </c:pt>
                <c:pt idx="738">
                  <c:v>58.387702366661188</c:v>
                </c:pt>
                <c:pt idx="739">
                  <c:v>58.387959753979267</c:v>
                </c:pt>
                <c:pt idx="740">
                  <c:v>58.388217138962325</c:v>
                </c:pt>
                <c:pt idx="741">
                  <c:v>58.388474521610426</c:v>
                </c:pt>
                <c:pt idx="742">
                  <c:v>58.388731901923478</c:v>
                </c:pt>
                <c:pt idx="743">
                  <c:v>58.38898927990158</c:v>
                </c:pt>
                <c:pt idx="744">
                  <c:v>58.389246655544703</c:v>
                </c:pt>
                <c:pt idx="745">
                  <c:v>58.389504028852826</c:v>
                </c:pt>
                <c:pt idx="746">
                  <c:v>58.389761399825964</c:v>
                </c:pt>
                <c:pt idx="747">
                  <c:v>58.390018768464145</c:v>
                </c:pt>
                <c:pt idx="748">
                  <c:v>58.390276134767333</c:v>
                </c:pt>
                <c:pt idx="749">
                  <c:v>58.390533498735564</c:v>
                </c:pt>
                <c:pt idx="750">
                  <c:v>58.390790860368817</c:v>
                </c:pt>
                <c:pt idx="751">
                  <c:v>58.391048219667113</c:v>
                </c:pt>
                <c:pt idx="752">
                  <c:v>58.391305576630451</c:v>
                </c:pt>
                <c:pt idx="753">
                  <c:v>58.391562931258811</c:v>
                </c:pt>
                <c:pt idx="754">
                  <c:v>58.391820283552235</c:v>
                </c:pt>
                <c:pt idx="755">
                  <c:v>58.392077633510716</c:v>
                </c:pt>
                <c:pt idx="756">
                  <c:v>58.39233498113424</c:v>
                </c:pt>
                <c:pt idx="757">
                  <c:v>58.392592326422836</c:v>
                </c:pt>
                <c:pt idx="758">
                  <c:v>58.392849669376453</c:v>
                </c:pt>
                <c:pt idx="759">
                  <c:v>58.393107009995148</c:v>
                </c:pt>
                <c:pt idx="760">
                  <c:v>58.393364348278901</c:v>
                </c:pt>
                <c:pt idx="761">
                  <c:v>58.393621684227703</c:v>
                </c:pt>
                <c:pt idx="762">
                  <c:v>58.393879017841627</c:v>
                </c:pt>
                <c:pt idx="763">
                  <c:v>58.394136349120572</c:v>
                </c:pt>
                <c:pt idx="764">
                  <c:v>58.394393678064638</c:v>
                </c:pt>
                <c:pt idx="765">
                  <c:v>58.394651004673776</c:v>
                </c:pt>
                <c:pt idx="766">
                  <c:v>58.39490832894797</c:v>
                </c:pt>
                <c:pt idx="767">
                  <c:v>58.395165650887272</c:v>
                </c:pt>
                <c:pt idx="768">
                  <c:v>58.395422970491659</c:v>
                </c:pt>
                <c:pt idx="769">
                  <c:v>58.395680287761131</c:v>
                </c:pt>
                <c:pt idx="770">
                  <c:v>58.395937602695724</c:v>
                </c:pt>
                <c:pt idx="771">
                  <c:v>58.396194915295396</c:v>
                </c:pt>
                <c:pt idx="772">
                  <c:v>58.396452225560175</c:v>
                </c:pt>
                <c:pt idx="773">
                  <c:v>58.396709533490068</c:v>
                </c:pt>
                <c:pt idx="774">
                  <c:v>58.396966839085088</c:v>
                </c:pt>
                <c:pt idx="775">
                  <c:v>58.397224142345209</c:v>
                </c:pt>
                <c:pt idx="776">
                  <c:v>58.397481443270408</c:v>
                </c:pt>
                <c:pt idx="777">
                  <c:v>58.397738741860742</c:v>
                </c:pt>
                <c:pt idx="778">
                  <c:v>58.397996038116233</c:v>
                </c:pt>
                <c:pt idx="779">
                  <c:v>58.39825333203683</c:v>
                </c:pt>
                <c:pt idx="780">
                  <c:v>58.398510623622535</c:v>
                </c:pt>
                <c:pt idx="781">
                  <c:v>58.398767912873403</c:v>
                </c:pt>
                <c:pt idx="782">
                  <c:v>58.399025199789371</c:v>
                </c:pt>
                <c:pt idx="783">
                  <c:v>58.399282484370495</c:v>
                </c:pt>
                <c:pt idx="784">
                  <c:v>58.399539766616755</c:v>
                </c:pt>
                <c:pt idx="785">
                  <c:v>58.399797046528178</c:v>
                </c:pt>
                <c:pt idx="786">
                  <c:v>58.400054324104723</c:v>
                </c:pt>
                <c:pt idx="787">
                  <c:v>58.400311599346431</c:v>
                </c:pt>
                <c:pt idx="788">
                  <c:v>58.400568872253288</c:v>
                </c:pt>
                <c:pt idx="789">
                  <c:v>58.400826142825302</c:v>
                </c:pt>
                <c:pt idx="790">
                  <c:v>58.401083411062473</c:v>
                </c:pt>
                <c:pt idx="791">
                  <c:v>58.4013406769648</c:v>
                </c:pt>
                <c:pt idx="792">
                  <c:v>58.401597940532341</c:v>
                </c:pt>
                <c:pt idx="793">
                  <c:v>58.401855201765002</c:v>
                </c:pt>
                <c:pt idx="794">
                  <c:v>58.402112460662828</c:v>
                </c:pt>
                <c:pt idx="795">
                  <c:v>58.402369717225852</c:v>
                </c:pt>
                <c:pt idx="796">
                  <c:v>58.402626971454048</c:v>
                </c:pt>
                <c:pt idx="797">
                  <c:v>58.402884223347456</c:v>
                </c:pt>
                <c:pt idx="798">
                  <c:v>58.403141472906</c:v>
                </c:pt>
                <c:pt idx="799">
                  <c:v>58.403398720129751</c:v>
                </c:pt>
                <c:pt idx="800">
                  <c:v>58.403655965018721</c:v>
                </c:pt>
                <c:pt idx="801">
                  <c:v>58.403913207572884</c:v>
                </c:pt>
                <c:pt idx="802">
                  <c:v>58.404170447792218</c:v>
                </c:pt>
                <c:pt idx="803">
                  <c:v>58.404427685676758</c:v>
                </c:pt>
                <c:pt idx="804">
                  <c:v>58.404684921226519</c:v>
                </c:pt>
                <c:pt idx="805">
                  <c:v>58.404942154441478</c:v>
                </c:pt>
                <c:pt idx="806">
                  <c:v>58.40519938532163</c:v>
                </c:pt>
                <c:pt idx="807">
                  <c:v>58.405456613867017</c:v>
                </c:pt>
                <c:pt idx="808">
                  <c:v>58.405713840077617</c:v>
                </c:pt>
                <c:pt idx="809">
                  <c:v>58.40597106395343</c:v>
                </c:pt>
                <c:pt idx="810">
                  <c:v>58.406228285494429</c:v>
                </c:pt>
                <c:pt idx="811">
                  <c:v>58.40648550470074</c:v>
                </c:pt>
                <c:pt idx="812">
                  <c:v>58.406742721572229</c:v>
                </c:pt>
                <c:pt idx="813">
                  <c:v>58.406999936108953</c:v>
                </c:pt>
                <c:pt idx="814">
                  <c:v>58.407257148310926</c:v>
                </c:pt>
                <c:pt idx="815">
                  <c:v>58.407514358178133</c:v>
                </c:pt>
                <c:pt idx="816">
                  <c:v>58.407771565710576</c:v>
                </c:pt>
                <c:pt idx="817">
                  <c:v>58.408028770908288</c:v>
                </c:pt>
                <c:pt idx="818">
                  <c:v>58.408285973771207</c:v>
                </c:pt>
                <c:pt idx="819">
                  <c:v>58.408543174299439</c:v>
                </c:pt>
                <c:pt idx="820">
                  <c:v>58.408800372492877</c:v>
                </c:pt>
                <c:pt idx="821">
                  <c:v>58.409057568351599</c:v>
                </c:pt>
                <c:pt idx="822">
                  <c:v>58.409314761875592</c:v>
                </c:pt>
                <c:pt idx="823">
                  <c:v>58.409571953064827</c:v>
                </c:pt>
                <c:pt idx="824">
                  <c:v>58.40982914191931</c:v>
                </c:pt>
                <c:pt idx="825">
                  <c:v>58.410086328439093</c:v>
                </c:pt>
                <c:pt idx="826">
                  <c:v>58.410343512624166</c:v>
                </c:pt>
                <c:pt idx="827">
                  <c:v>58.410600694474475</c:v>
                </c:pt>
                <c:pt idx="828">
                  <c:v>58.410857873990118</c:v>
                </c:pt>
                <c:pt idx="829">
                  <c:v>58.411115051170995</c:v>
                </c:pt>
                <c:pt idx="830">
                  <c:v>58.411372226017185</c:v>
                </c:pt>
                <c:pt idx="831">
                  <c:v>58.411629398528667</c:v>
                </c:pt>
                <c:pt idx="832">
                  <c:v>58.411886568705441</c:v>
                </c:pt>
                <c:pt idx="833">
                  <c:v>58.412143736547527</c:v>
                </c:pt>
                <c:pt idx="834">
                  <c:v>58.412400902054898</c:v>
                </c:pt>
                <c:pt idx="835">
                  <c:v>58.412658065227554</c:v>
                </c:pt>
                <c:pt idx="836">
                  <c:v>58.412915226065543</c:v>
                </c:pt>
                <c:pt idx="837">
                  <c:v>58.413172384568831</c:v>
                </c:pt>
                <c:pt idx="838">
                  <c:v>58.413429540737411</c:v>
                </c:pt>
                <c:pt idx="839">
                  <c:v>58.413686694571354</c:v>
                </c:pt>
                <c:pt idx="840">
                  <c:v>58.413943846070573</c:v>
                </c:pt>
                <c:pt idx="841">
                  <c:v>58.414200995235163</c:v>
                </c:pt>
                <c:pt idx="842">
                  <c:v>58.414458142065044</c:v>
                </c:pt>
                <c:pt idx="843">
                  <c:v>58.414715286560266</c:v>
                </c:pt>
                <c:pt idx="844">
                  <c:v>58.414972428720802</c:v>
                </c:pt>
                <c:pt idx="845">
                  <c:v>58.415229568546685</c:v>
                </c:pt>
                <c:pt idx="846">
                  <c:v>58.415486706037917</c:v>
                </c:pt>
                <c:pt idx="847">
                  <c:v>58.415743841194477</c:v>
                </c:pt>
                <c:pt idx="848">
                  <c:v>58.416000974016391</c:v>
                </c:pt>
                <c:pt idx="849">
                  <c:v>58.416258104503648</c:v>
                </c:pt>
                <c:pt idx="850">
                  <c:v>58.416515232656252</c:v>
                </c:pt>
                <c:pt idx="851">
                  <c:v>58.416772358474226</c:v>
                </c:pt>
                <c:pt idx="852">
                  <c:v>58.417029481957563</c:v>
                </c:pt>
                <c:pt idx="853">
                  <c:v>58.417286603106241</c:v>
                </c:pt>
                <c:pt idx="854">
                  <c:v>58.417543721920296</c:v>
                </c:pt>
                <c:pt idx="855">
                  <c:v>58.417800838399685</c:v>
                </c:pt>
                <c:pt idx="856">
                  <c:v>58.418057952544494</c:v>
                </c:pt>
                <c:pt idx="857">
                  <c:v>58.418315064354672</c:v>
                </c:pt>
                <c:pt idx="858">
                  <c:v>58.418572173830206</c:v>
                </c:pt>
                <c:pt idx="859">
                  <c:v>58.418829280971146</c:v>
                </c:pt>
                <c:pt idx="860">
                  <c:v>58.41908638577744</c:v>
                </c:pt>
                <c:pt idx="861">
                  <c:v>58.419343488249133</c:v>
                </c:pt>
                <c:pt idx="862">
                  <c:v>58.419600588386203</c:v>
                </c:pt>
                <c:pt idx="863">
                  <c:v>58.419857686188692</c:v>
                </c:pt>
                <c:pt idx="864">
                  <c:v>58.420114781656579</c:v>
                </c:pt>
                <c:pt idx="865">
                  <c:v>58.420371874789858</c:v>
                </c:pt>
                <c:pt idx="866">
                  <c:v>58.42062896558852</c:v>
                </c:pt>
                <c:pt idx="867">
                  <c:v>58.42088605405263</c:v>
                </c:pt>
                <c:pt idx="868">
                  <c:v>58.421143140182117</c:v>
                </c:pt>
                <c:pt idx="869">
                  <c:v>58.421400223977017</c:v>
                </c:pt>
                <c:pt idx="870">
                  <c:v>58.421657305437357</c:v>
                </c:pt>
                <c:pt idx="871">
                  <c:v>58.421914384563102</c:v>
                </c:pt>
                <c:pt idx="872">
                  <c:v>58.422171461354289</c:v>
                </c:pt>
                <c:pt idx="873">
                  <c:v>58.42242853581088</c:v>
                </c:pt>
                <c:pt idx="874">
                  <c:v>58.422685607932891</c:v>
                </c:pt>
                <c:pt idx="875">
                  <c:v>58.422942677720343</c:v>
                </c:pt>
                <c:pt idx="876">
                  <c:v>58.423199745173235</c:v>
                </c:pt>
                <c:pt idx="877">
                  <c:v>58.423456810291555</c:v>
                </c:pt>
                <c:pt idx="878">
                  <c:v>58.423713873075343</c:v>
                </c:pt>
                <c:pt idx="879">
                  <c:v>58.423970933524558</c:v>
                </c:pt>
                <c:pt idx="880">
                  <c:v>58.424227991639228</c:v>
                </c:pt>
                <c:pt idx="881">
                  <c:v>58.424485047419324</c:v>
                </c:pt>
                <c:pt idx="882">
                  <c:v>58.424742100864897</c:v>
                </c:pt>
                <c:pt idx="883">
                  <c:v>58.424999151975939</c:v>
                </c:pt>
                <c:pt idx="884">
                  <c:v>58.425256200752436</c:v>
                </c:pt>
                <c:pt idx="885">
                  <c:v>58.425513247194388</c:v>
                </c:pt>
                <c:pt idx="886">
                  <c:v>58.425770291301781</c:v>
                </c:pt>
                <c:pt idx="887">
                  <c:v>58.426027333074671</c:v>
                </c:pt>
                <c:pt idx="888">
                  <c:v>58.426284372513045</c:v>
                </c:pt>
                <c:pt idx="889">
                  <c:v>58.426541409616895</c:v>
                </c:pt>
                <c:pt idx="890">
                  <c:v>58.426798444386208</c:v>
                </c:pt>
                <c:pt idx="891">
                  <c:v>58.427055476821018</c:v>
                </c:pt>
                <c:pt idx="892">
                  <c:v>58.427312506921332</c:v>
                </c:pt>
                <c:pt idx="893">
                  <c:v>58.427569534687088</c:v>
                </c:pt>
                <c:pt idx="894">
                  <c:v>58.427826560118376</c:v>
                </c:pt>
                <c:pt idx="895">
                  <c:v>58.428083583215155</c:v>
                </c:pt>
                <c:pt idx="896">
                  <c:v>58.428340603977453</c:v>
                </c:pt>
                <c:pt idx="897">
                  <c:v>58.428597622405249</c:v>
                </c:pt>
                <c:pt idx="898">
                  <c:v>58.428854638498528</c:v>
                </c:pt>
                <c:pt idx="899">
                  <c:v>58.42911165225734</c:v>
                </c:pt>
                <c:pt idx="900">
                  <c:v>58.429368663681643</c:v>
                </c:pt>
                <c:pt idx="901">
                  <c:v>58.429625672771479</c:v>
                </c:pt>
                <c:pt idx="902">
                  <c:v>58.429882679526834</c:v>
                </c:pt>
                <c:pt idx="903">
                  <c:v>58.430139683947687</c:v>
                </c:pt>
                <c:pt idx="904">
                  <c:v>58.430396686034079</c:v>
                </c:pt>
                <c:pt idx="905">
                  <c:v>58.430653685785991</c:v>
                </c:pt>
                <c:pt idx="906">
                  <c:v>58.430910683203443</c:v>
                </c:pt>
                <c:pt idx="907">
                  <c:v>58.431167678286442</c:v>
                </c:pt>
                <c:pt idx="908">
                  <c:v>58.431424671034989</c:v>
                </c:pt>
                <c:pt idx="909">
                  <c:v>58.431681661449076</c:v>
                </c:pt>
                <c:pt idx="910">
                  <c:v>58.431938649528703</c:v>
                </c:pt>
                <c:pt idx="911">
                  <c:v>58.43219563527385</c:v>
                </c:pt>
                <c:pt idx="912">
                  <c:v>58.432452618684593</c:v>
                </c:pt>
                <c:pt idx="913">
                  <c:v>58.432709599760869</c:v>
                </c:pt>
                <c:pt idx="914">
                  <c:v>58.432966578502693</c:v>
                </c:pt>
                <c:pt idx="915">
                  <c:v>58.433223554910093</c:v>
                </c:pt>
                <c:pt idx="916">
                  <c:v>58.433480528983047</c:v>
                </c:pt>
                <c:pt idx="917">
                  <c:v>58.43373750072157</c:v>
                </c:pt>
                <c:pt idx="918">
                  <c:v>58.433994470125661</c:v>
                </c:pt>
                <c:pt idx="919">
                  <c:v>58.434251437195343</c:v>
                </c:pt>
                <c:pt idx="920">
                  <c:v>58.434508401930586</c:v>
                </c:pt>
                <c:pt idx="921">
                  <c:v>58.43476536433144</c:v>
                </c:pt>
                <c:pt idx="922">
                  <c:v>58.435022324397835</c:v>
                </c:pt>
                <c:pt idx="923">
                  <c:v>58.435279282129841</c:v>
                </c:pt>
                <c:pt idx="924">
                  <c:v>58.435536237527437</c:v>
                </c:pt>
                <c:pt idx="925">
                  <c:v>58.435793190590623</c:v>
                </c:pt>
                <c:pt idx="926">
                  <c:v>58.436050141319413</c:v>
                </c:pt>
                <c:pt idx="927">
                  <c:v>58.436307089713793</c:v>
                </c:pt>
                <c:pt idx="928">
                  <c:v>58.43656403577377</c:v>
                </c:pt>
                <c:pt idx="929">
                  <c:v>58.436820979499345</c:v>
                </c:pt>
                <c:pt idx="930">
                  <c:v>58.437077920890566</c:v>
                </c:pt>
                <c:pt idx="931">
                  <c:v>58.43733485994742</c:v>
                </c:pt>
                <c:pt idx="932">
                  <c:v>58.437591796669857</c:v>
                </c:pt>
                <c:pt idx="933">
                  <c:v>58.437848731057876</c:v>
                </c:pt>
                <c:pt idx="934">
                  <c:v>58.438105663111585</c:v>
                </c:pt>
                <c:pt idx="935">
                  <c:v>58.438362592830885</c:v>
                </c:pt>
                <c:pt idx="936">
                  <c:v>58.438619520215831</c:v>
                </c:pt>
                <c:pt idx="937">
                  <c:v>58.438876445266395</c:v>
                </c:pt>
                <c:pt idx="938">
                  <c:v>58.439133367982606</c:v>
                </c:pt>
                <c:pt idx="939">
                  <c:v>58.439390288364443</c:v>
                </c:pt>
                <c:pt idx="940">
                  <c:v>58.439647206411948</c:v>
                </c:pt>
                <c:pt idx="941">
                  <c:v>58.439904122125071</c:v>
                </c:pt>
                <c:pt idx="942">
                  <c:v>58.44016103550387</c:v>
                </c:pt>
                <c:pt idx="943">
                  <c:v>58.44041794654828</c:v>
                </c:pt>
                <c:pt idx="944">
                  <c:v>58.440674855258372</c:v>
                </c:pt>
                <c:pt idx="945">
                  <c:v>58.44093176163414</c:v>
                </c:pt>
                <c:pt idx="946">
                  <c:v>58.44118866567554</c:v>
                </c:pt>
                <c:pt idx="947">
                  <c:v>58.441445567382608</c:v>
                </c:pt>
                <c:pt idx="948">
                  <c:v>58.441702466755366</c:v>
                </c:pt>
                <c:pt idx="949">
                  <c:v>58.441959363793792</c:v>
                </c:pt>
                <c:pt idx="950">
                  <c:v>58.442216258497886</c:v>
                </c:pt>
                <c:pt idx="951">
                  <c:v>58.442473150867649</c:v>
                </c:pt>
                <c:pt idx="952">
                  <c:v>58.442730040903122</c:v>
                </c:pt>
                <c:pt idx="953">
                  <c:v>58.442986928604263</c:v>
                </c:pt>
                <c:pt idx="954">
                  <c:v>58.443243813971108</c:v>
                </c:pt>
                <c:pt idx="955">
                  <c:v>58.443500697003614</c:v>
                </c:pt>
                <c:pt idx="956">
                  <c:v>58.443757577701817</c:v>
                </c:pt>
                <c:pt idx="957">
                  <c:v>58.444014456065737</c:v>
                </c:pt>
                <c:pt idx="958">
                  <c:v>58.44427133209534</c:v>
                </c:pt>
                <c:pt idx="959">
                  <c:v>58.444528205790668</c:v>
                </c:pt>
                <c:pt idx="960">
                  <c:v>58.444785077151693</c:v>
                </c:pt>
                <c:pt idx="961">
                  <c:v>58.445041946178421</c:v>
                </c:pt>
                <c:pt idx="962">
                  <c:v>58.445298812870895</c:v>
                </c:pt>
                <c:pt idx="963">
                  <c:v>58.445555677229045</c:v>
                </c:pt>
                <c:pt idx="964">
                  <c:v>58.445812539252948</c:v>
                </c:pt>
                <c:pt idx="965">
                  <c:v>58.446069398942534</c:v>
                </c:pt>
                <c:pt idx="966">
                  <c:v>58.446326256297901</c:v>
                </c:pt>
                <c:pt idx="967">
                  <c:v>58.446583111318958</c:v>
                </c:pt>
                <c:pt idx="968">
                  <c:v>58.446839964005768</c:v>
                </c:pt>
                <c:pt idx="969">
                  <c:v>58.447096814358332</c:v>
                </c:pt>
                <c:pt idx="970">
                  <c:v>58.447353662376607</c:v>
                </c:pt>
                <c:pt idx="971">
                  <c:v>58.447610508060649</c:v>
                </c:pt>
                <c:pt idx="972">
                  <c:v>58.44786735141043</c:v>
                </c:pt>
                <c:pt idx="973">
                  <c:v>58.448124192425944</c:v>
                </c:pt>
                <c:pt idx="974">
                  <c:v>58.448381031107232</c:v>
                </c:pt>
                <c:pt idx="975">
                  <c:v>58.448637867454259</c:v>
                </c:pt>
                <c:pt idx="976">
                  <c:v>58.44889470146704</c:v>
                </c:pt>
                <c:pt idx="977">
                  <c:v>58.44915153314561</c:v>
                </c:pt>
                <c:pt idx="978">
                  <c:v>58.449408362489919</c:v>
                </c:pt>
                <c:pt idx="979">
                  <c:v>58.449665189500031</c:v>
                </c:pt>
                <c:pt idx="980">
                  <c:v>58.44992201417589</c:v>
                </c:pt>
                <c:pt idx="981">
                  <c:v>58.450178836517544</c:v>
                </c:pt>
                <c:pt idx="982">
                  <c:v>58.450435656524959</c:v>
                </c:pt>
                <c:pt idx="983">
                  <c:v>58.450692474198171</c:v>
                </c:pt>
                <c:pt idx="984">
                  <c:v>58.450949289537142</c:v>
                </c:pt>
                <c:pt idx="985">
                  <c:v>58.451206102541931</c:v>
                </c:pt>
                <c:pt idx="986">
                  <c:v>58.451462913212524</c:v>
                </c:pt>
                <c:pt idx="987">
                  <c:v>58.451719721548884</c:v>
                </c:pt>
                <c:pt idx="988">
                  <c:v>58.451976527551061</c:v>
                </c:pt>
                <c:pt idx="989">
                  <c:v>58.452233331219048</c:v>
                </c:pt>
                <c:pt idx="990">
                  <c:v>58.452490132552796</c:v>
                </c:pt>
                <c:pt idx="991">
                  <c:v>58.452746931552397</c:v>
                </c:pt>
                <c:pt idx="992">
                  <c:v>58.453003728217809</c:v>
                </c:pt>
                <c:pt idx="993">
                  <c:v>58.453260522549016</c:v>
                </c:pt>
                <c:pt idx="994">
                  <c:v>58.453517314546062</c:v>
                </c:pt>
                <c:pt idx="995">
                  <c:v>58.453774104208911</c:v>
                </c:pt>
                <c:pt idx="996">
                  <c:v>58.454030891537599</c:v>
                </c:pt>
                <c:pt idx="997">
                  <c:v>58.454287676532104</c:v>
                </c:pt>
                <c:pt idx="998">
                  <c:v>58.454544459192448</c:v>
                </c:pt>
                <c:pt idx="999">
                  <c:v>58.45480123951863</c:v>
                </c:pt>
                <c:pt idx="1000">
                  <c:v>58.455058017510659</c:v>
                </c:pt>
              </c:numCache>
            </c:numRef>
          </c:yVal>
          <c:smooth val="0"/>
          <c:extLst>
            <c:ext xmlns:c16="http://schemas.microsoft.com/office/drawing/2014/chart" uri="{C3380CC4-5D6E-409C-BE32-E72D297353CC}">
              <c16:uniqueId val="{00000002-B98B-46BB-BB51-DAAA2071230C}"/>
            </c:ext>
          </c:extLst>
        </c:ser>
        <c:dLbls>
          <c:showLegendKey val="0"/>
          <c:showVal val="0"/>
          <c:showCatName val="0"/>
          <c:showSerName val="0"/>
          <c:showPercent val="0"/>
          <c:showBubbleSize val="0"/>
        </c:dLbls>
        <c:axId val="149500672"/>
        <c:axId val="149502592"/>
      </c:scatterChart>
      <c:valAx>
        <c:axId val="149500672"/>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2592"/>
        <c:crosses val="autoZero"/>
        <c:crossBetween val="midCat"/>
      </c:valAx>
      <c:valAx>
        <c:axId val="149502592"/>
        <c:scaling>
          <c:orientation val="minMax"/>
        </c:scaling>
        <c:delete val="0"/>
        <c:axPos val="l"/>
        <c:majorGridlines>
          <c:spPr>
            <a:ln w="3175">
              <a:solidFill>
                <a:srgbClr val="000000"/>
              </a:solidFill>
              <a:prstDash val="sysDash"/>
            </a:ln>
          </c:spPr>
        </c:majorGridlines>
        <c:title>
          <c:tx>
            <c:rich>
              <a:bodyPr/>
              <a:lstStyle/>
              <a:p>
                <a:pPr>
                  <a:defRPr sz="1200" b="1" i="0" u="none" strike="noStrike" baseline="0">
                    <a:solidFill>
                      <a:srgbClr val="000000"/>
                    </a:solidFill>
                    <a:latin typeface="Arial"/>
                    <a:ea typeface="Arial"/>
                    <a:cs typeface="Arial"/>
                  </a:defRPr>
                </a:pPr>
                <a:r>
                  <a:rPr lang="fr-FR"/>
                  <a:t>Forces [N]</a:t>
                </a:r>
              </a:p>
            </c:rich>
          </c:tx>
          <c:layout>
            <c:manualLayout>
              <c:xMode val="edge"/>
              <c:yMode val="edge"/>
              <c:x val="2.0047169811320761E-2"/>
              <c:y val="0.333334383202099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0672"/>
        <c:crosses val="autoZero"/>
        <c:crossBetween val="midCat"/>
      </c:valAx>
      <c:spPr>
        <a:noFill/>
        <a:ln w="12700">
          <a:solidFill>
            <a:srgbClr val="808080"/>
          </a:solidFill>
          <a:prstDash val="solid"/>
        </a:ln>
      </c:spPr>
    </c:plotArea>
    <c:legend>
      <c:legendPos val="r"/>
      <c:layout>
        <c:manualLayout>
          <c:xMode val="edge"/>
          <c:yMode val="edge"/>
          <c:x val="0.83018929827167842"/>
          <c:y val="0.34444479440069992"/>
          <c:w val="0.13050326845936713"/>
          <c:h val="0.22888888888888886"/>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Courbes!$B$140</c:f>
          <c:strCache>
            <c:ptCount val="1"/>
            <c:pt idx="0">
              <c:v>Vitesse</c:v>
            </c:pt>
          </c:strCache>
        </c:strRef>
      </c:tx>
      <c:overlay val="1"/>
      <c:txPr>
        <a:bodyPr/>
        <a:lstStyle/>
        <a:p>
          <a:pPr>
            <a:defRPr sz="1200" b="1"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0.10495283018867926"/>
          <c:y val="9.4771544282144501E-2"/>
          <c:w val="0.87617924528302116"/>
          <c:h val="0.74183243282920064"/>
        </c:manualLayout>
      </c:layout>
      <c:scatterChart>
        <c:scatterStyle val="lineMarker"/>
        <c:varyColors val="0"/>
        <c:ser>
          <c:idx val="0"/>
          <c:order val="0"/>
          <c:tx>
            <c:strRef>
              <c:f>Courbes!$B$140</c:f>
              <c:strCache>
                <c:ptCount val="1"/>
                <c:pt idx="0">
                  <c:v>Vitesse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34.500100000000224</c:v>
                </c:pt>
                <c:pt idx="527">
                  <c:v>34.500200000000227</c:v>
                </c:pt>
                <c:pt idx="528">
                  <c:v>34.50030000000023</c:v>
                </c:pt>
                <c:pt idx="529">
                  <c:v>34.500400000000234</c:v>
                </c:pt>
                <c:pt idx="530">
                  <c:v>34.500500000000237</c:v>
                </c:pt>
                <c:pt idx="531">
                  <c:v>34.50060000000024</c:v>
                </c:pt>
                <c:pt idx="532">
                  <c:v>34.500700000000244</c:v>
                </c:pt>
                <c:pt idx="533">
                  <c:v>34.500800000000247</c:v>
                </c:pt>
                <c:pt idx="534">
                  <c:v>34.50090000000025</c:v>
                </c:pt>
                <c:pt idx="535">
                  <c:v>34.501000000000253</c:v>
                </c:pt>
                <c:pt idx="536">
                  <c:v>34.501100000000257</c:v>
                </c:pt>
                <c:pt idx="537">
                  <c:v>34.50120000000026</c:v>
                </c:pt>
                <c:pt idx="538">
                  <c:v>34.501300000000263</c:v>
                </c:pt>
                <c:pt idx="539">
                  <c:v>34.501400000000267</c:v>
                </c:pt>
                <c:pt idx="540">
                  <c:v>34.50150000000027</c:v>
                </c:pt>
                <c:pt idx="541">
                  <c:v>34.501600000000273</c:v>
                </c:pt>
                <c:pt idx="542">
                  <c:v>34.501700000000277</c:v>
                </c:pt>
                <c:pt idx="543">
                  <c:v>34.50180000000028</c:v>
                </c:pt>
                <c:pt idx="544">
                  <c:v>34.501900000000283</c:v>
                </c:pt>
                <c:pt idx="545">
                  <c:v>34.502000000000287</c:v>
                </c:pt>
                <c:pt idx="546">
                  <c:v>34.50210000000029</c:v>
                </c:pt>
                <c:pt idx="547">
                  <c:v>34.502200000000293</c:v>
                </c:pt>
                <c:pt idx="548">
                  <c:v>34.502300000000297</c:v>
                </c:pt>
                <c:pt idx="549">
                  <c:v>34.5024000000003</c:v>
                </c:pt>
                <c:pt idx="550">
                  <c:v>34.502500000000303</c:v>
                </c:pt>
                <c:pt idx="551">
                  <c:v>34.502600000000307</c:v>
                </c:pt>
                <c:pt idx="552">
                  <c:v>34.50270000000031</c:v>
                </c:pt>
                <c:pt idx="553">
                  <c:v>34.502800000000313</c:v>
                </c:pt>
                <c:pt idx="554">
                  <c:v>34.502900000000317</c:v>
                </c:pt>
                <c:pt idx="555">
                  <c:v>34.50300000000032</c:v>
                </c:pt>
                <c:pt idx="556">
                  <c:v>34.503100000000323</c:v>
                </c:pt>
                <c:pt idx="557">
                  <c:v>34.503200000000326</c:v>
                </c:pt>
                <c:pt idx="558">
                  <c:v>34.50330000000033</c:v>
                </c:pt>
                <c:pt idx="559">
                  <c:v>34.503400000000333</c:v>
                </c:pt>
                <c:pt idx="560">
                  <c:v>34.503500000000336</c:v>
                </c:pt>
                <c:pt idx="561">
                  <c:v>34.50360000000034</c:v>
                </c:pt>
                <c:pt idx="562">
                  <c:v>34.503700000000343</c:v>
                </c:pt>
                <c:pt idx="563">
                  <c:v>34.503800000000346</c:v>
                </c:pt>
                <c:pt idx="564">
                  <c:v>34.50390000000035</c:v>
                </c:pt>
                <c:pt idx="565">
                  <c:v>34.504000000000353</c:v>
                </c:pt>
                <c:pt idx="566">
                  <c:v>34.504100000000356</c:v>
                </c:pt>
                <c:pt idx="567">
                  <c:v>34.50420000000036</c:v>
                </c:pt>
                <c:pt idx="568">
                  <c:v>34.504300000000363</c:v>
                </c:pt>
                <c:pt idx="569">
                  <c:v>34.504400000000366</c:v>
                </c:pt>
                <c:pt idx="570">
                  <c:v>34.50450000000037</c:v>
                </c:pt>
                <c:pt idx="571">
                  <c:v>34.504600000000373</c:v>
                </c:pt>
                <c:pt idx="572">
                  <c:v>34.504700000000376</c:v>
                </c:pt>
                <c:pt idx="573">
                  <c:v>34.50480000000038</c:v>
                </c:pt>
                <c:pt idx="574">
                  <c:v>34.504900000000383</c:v>
                </c:pt>
                <c:pt idx="575">
                  <c:v>34.505000000000386</c:v>
                </c:pt>
                <c:pt idx="576">
                  <c:v>34.50510000000039</c:v>
                </c:pt>
                <c:pt idx="577">
                  <c:v>34.505200000000393</c:v>
                </c:pt>
                <c:pt idx="578">
                  <c:v>34.505300000000396</c:v>
                </c:pt>
                <c:pt idx="579">
                  <c:v>34.5054000000004</c:v>
                </c:pt>
                <c:pt idx="580">
                  <c:v>34.505500000000403</c:v>
                </c:pt>
                <c:pt idx="581">
                  <c:v>34.505600000000406</c:v>
                </c:pt>
                <c:pt idx="582">
                  <c:v>34.505700000000409</c:v>
                </c:pt>
                <c:pt idx="583">
                  <c:v>34.505800000000413</c:v>
                </c:pt>
                <c:pt idx="584">
                  <c:v>34.505900000000416</c:v>
                </c:pt>
                <c:pt idx="585">
                  <c:v>34.506000000000419</c:v>
                </c:pt>
                <c:pt idx="586">
                  <c:v>34.506100000000423</c:v>
                </c:pt>
                <c:pt idx="587">
                  <c:v>34.506200000000426</c:v>
                </c:pt>
                <c:pt idx="588">
                  <c:v>34.506300000000429</c:v>
                </c:pt>
                <c:pt idx="589">
                  <c:v>34.506400000000433</c:v>
                </c:pt>
                <c:pt idx="590">
                  <c:v>34.506500000000436</c:v>
                </c:pt>
                <c:pt idx="591">
                  <c:v>34.506600000000439</c:v>
                </c:pt>
                <c:pt idx="592">
                  <c:v>34.506700000000443</c:v>
                </c:pt>
                <c:pt idx="593">
                  <c:v>34.506800000000446</c:v>
                </c:pt>
                <c:pt idx="594">
                  <c:v>34.506900000000449</c:v>
                </c:pt>
                <c:pt idx="595">
                  <c:v>34.507000000000453</c:v>
                </c:pt>
                <c:pt idx="596">
                  <c:v>34.507100000000456</c:v>
                </c:pt>
                <c:pt idx="597">
                  <c:v>34.507200000000459</c:v>
                </c:pt>
                <c:pt idx="598">
                  <c:v>34.507300000000463</c:v>
                </c:pt>
                <c:pt idx="599">
                  <c:v>34.507400000000466</c:v>
                </c:pt>
                <c:pt idx="600">
                  <c:v>34.507500000000469</c:v>
                </c:pt>
                <c:pt idx="601">
                  <c:v>34.507600000000473</c:v>
                </c:pt>
                <c:pt idx="602">
                  <c:v>34.507700000000476</c:v>
                </c:pt>
                <c:pt idx="603">
                  <c:v>34.507800000000479</c:v>
                </c:pt>
                <c:pt idx="604">
                  <c:v>34.507900000000483</c:v>
                </c:pt>
                <c:pt idx="605">
                  <c:v>34.508000000000486</c:v>
                </c:pt>
                <c:pt idx="606">
                  <c:v>34.508100000000489</c:v>
                </c:pt>
                <c:pt idx="607">
                  <c:v>34.508200000000492</c:v>
                </c:pt>
                <c:pt idx="608">
                  <c:v>34.508300000000496</c:v>
                </c:pt>
                <c:pt idx="609">
                  <c:v>34.508400000000499</c:v>
                </c:pt>
                <c:pt idx="610">
                  <c:v>34.508500000000502</c:v>
                </c:pt>
                <c:pt idx="611">
                  <c:v>34.508600000000506</c:v>
                </c:pt>
                <c:pt idx="612">
                  <c:v>34.508700000000509</c:v>
                </c:pt>
                <c:pt idx="613">
                  <c:v>34.508800000000512</c:v>
                </c:pt>
                <c:pt idx="614">
                  <c:v>34.508900000000516</c:v>
                </c:pt>
                <c:pt idx="615">
                  <c:v>34.509000000000519</c:v>
                </c:pt>
                <c:pt idx="616">
                  <c:v>34.509100000000522</c:v>
                </c:pt>
                <c:pt idx="617">
                  <c:v>34.509200000000526</c:v>
                </c:pt>
                <c:pt idx="618">
                  <c:v>34.509300000000529</c:v>
                </c:pt>
                <c:pt idx="619">
                  <c:v>34.509400000000532</c:v>
                </c:pt>
                <c:pt idx="620">
                  <c:v>34.509500000000536</c:v>
                </c:pt>
                <c:pt idx="621">
                  <c:v>34.509600000000539</c:v>
                </c:pt>
                <c:pt idx="622">
                  <c:v>34.509700000000542</c:v>
                </c:pt>
                <c:pt idx="623">
                  <c:v>34.509800000000546</c:v>
                </c:pt>
                <c:pt idx="624">
                  <c:v>34.509900000000549</c:v>
                </c:pt>
                <c:pt idx="625">
                  <c:v>34.510000000000552</c:v>
                </c:pt>
                <c:pt idx="626">
                  <c:v>34.510100000000556</c:v>
                </c:pt>
                <c:pt idx="627">
                  <c:v>34.510200000000559</c:v>
                </c:pt>
                <c:pt idx="628">
                  <c:v>34.510300000000562</c:v>
                </c:pt>
                <c:pt idx="629">
                  <c:v>34.510400000000566</c:v>
                </c:pt>
                <c:pt idx="630">
                  <c:v>34.510500000000569</c:v>
                </c:pt>
                <c:pt idx="631">
                  <c:v>34.510600000000572</c:v>
                </c:pt>
                <c:pt idx="632">
                  <c:v>34.510700000000575</c:v>
                </c:pt>
                <c:pt idx="633">
                  <c:v>34.510800000000579</c:v>
                </c:pt>
                <c:pt idx="634">
                  <c:v>34.510900000000582</c:v>
                </c:pt>
                <c:pt idx="635">
                  <c:v>34.511000000000585</c:v>
                </c:pt>
                <c:pt idx="636">
                  <c:v>34.511100000000589</c:v>
                </c:pt>
                <c:pt idx="637">
                  <c:v>34.511200000000592</c:v>
                </c:pt>
                <c:pt idx="638">
                  <c:v>34.511300000000595</c:v>
                </c:pt>
                <c:pt idx="639">
                  <c:v>34.511400000000599</c:v>
                </c:pt>
                <c:pt idx="640">
                  <c:v>34.511500000000602</c:v>
                </c:pt>
                <c:pt idx="641">
                  <c:v>34.511600000000605</c:v>
                </c:pt>
                <c:pt idx="642">
                  <c:v>34.511700000000609</c:v>
                </c:pt>
                <c:pt idx="643">
                  <c:v>34.511800000000612</c:v>
                </c:pt>
                <c:pt idx="644">
                  <c:v>34.511900000000615</c:v>
                </c:pt>
                <c:pt idx="645">
                  <c:v>34.512000000000619</c:v>
                </c:pt>
                <c:pt idx="646">
                  <c:v>34.512100000000622</c:v>
                </c:pt>
                <c:pt idx="647">
                  <c:v>34.512200000000625</c:v>
                </c:pt>
                <c:pt idx="648">
                  <c:v>34.512300000000629</c:v>
                </c:pt>
                <c:pt idx="649">
                  <c:v>34.512400000000632</c:v>
                </c:pt>
                <c:pt idx="650">
                  <c:v>34.512500000000635</c:v>
                </c:pt>
                <c:pt idx="651">
                  <c:v>34.512600000000639</c:v>
                </c:pt>
                <c:pt idx="652">
                  <c:v>34.512700000000642</c:v>
                </c:pt>
                <c:pt idx="653">
                  <c:v>34.512800000000645</c:v>
                </c:pt>
                <c:pt idx="654">
                  <c:v>34.512900000000649</c:v>
                </c:pt>
                <c:pt idx="655">
                  <c:v>34.513000000000652</c:v>
                </c:pt>
                <c:pt idx="656">
                  <c:v>34.513100000000655</c:v>
                </c:pt>
                <c:pt idx="657">
                  <c:v>34.513200000000658</c:v>
                </c:pt>
                <c:pt idx="658">
                  <c:v>34.513300000000662</c:v>
                </c:pt>
                <c:pt idx="659">
                  <c:v>34.513400000000665</c:v>
                </c:pt>
                <c:pt idx="660">
                  <c:v>34.513500000000668</c:v>
                </c:pt>
                <c:pt idx="661">
                  <c:v>34.513600000000672</c:v>
                </c:pt>
                <c:pt idx="662">
                  <c:v>34.513700000000675</c:v>
                </c:pt>
                <c:pt idx="663">
                  <c:v>34.513800000000678</c:v>
                </c:pt>
                <c:pt idx="664">
                  <c:v>34.513900000000682</c:v>
                </c:pt>
                <c:pt idx="665">
                  <c:v>34.514000000000685</c:v>
                </c:pt>
                <c:pt idx="666">
                  <c:v>34.514100000000688</c:v>
                </c:pt>
                <c:pt idx="667">
                  <c:v>34.514200000000692</c:v>
                </c:pt>
                <c:pt idx="668">
                  <c:v>34.514300000000695</c:v>
                </c:pt>
                <c:pt idx="669">
                  <c:v>34.514400000000698</c:v>
                </c:pt>
                <c:pt idx="670">
                  <c:v>34.514500000000702</c:v>
                </c:pt>
                <c:pt idx="671">
                  <c:v>34.514600000000705</c:v>
                </c:pt>
                <c:pt idx="672">
                  <c:v>34.514700000000708</c:v>
                </c:pt>
                <c:pt idx="673">
                  <c:v>34.514800000000712</c:v>
                </c:pt>
                <c:pt idx="674">
                  <c:v>34.514900000000715</c:v>
                </c:pt>
                <c:pt idx="675">
                  <c:v>34.515000000000718</c:v>
                </c:pt>
                <c:pt idx="676">
                  <c:v>34.515100000000722</c:v>
                </c:pt>
                <c:pt idx="677">
                  <c:v>34.515200000000725</c:v>
                </c:pt>
                <c:pt idx="678">
                  <c:v>34.515300000000728</c:v>
                </c:pt>
                <c:pt idx="679">
                  <c:v>34.515400000000731</c:v>
                </c:pt>
                <c:pt idx="680">
                  <c:v>34.515500000000735</c:v>
                </c:pt>
                <c:pt idx="681">
                  <c:v>34.515600000000738</c:v>
                </c:pt>
                <c:pt idx="682">
                  <c:v>34.515700000000741</c:v>
                </c:pt>
                <c:pt idx="683">
                  <c:v>34.515800000000745</c:v>
                </c:pt>
                <c:pt idx="684">
                  <c:v>34.515900000000748</c:v>
                </c:pt>
                <c:pt idx="685">
                  <c:v>34.516000000000751</c:v>
                </c:pt>
                <c:pt idx="686">
                  <c:v>34.516100000000755</c:v>
                </c:pt>
                <c:pt idx="687">
                  <c:v>34.516200000000758</c:v>
                </c:pt>
                <c:pt idx="688">
                  <c:v>34.516300000000761</c:v>
                </c:pt>
                <c:pt idx="689">
                  <c:v>34.516400000000765</c:v>
                </c:pt>
                <c:pt idx="690">
                  <c:v>34.516500000000768</c:v>
                </c:pt>
                <c:pt idx="691">
                  <c:v>34.516600000000771</c:v>
                </c:pt>
                <c:pt idx="692">
                  <c:v>34.516700000000775</c:v>
                </c:pt>
                <c:pt idx="693">
                  <c:v>34.516800000000778</c:v>
                </c:pt>
                <c:pt idx="694">
                  <c:v>34.516900000000781</c:v>
                </c:pt>
                <c:pt idx="695">
                  <c:v>34.517000000000785</c:v>
                </c:pt>
                <c:pt idx="696">
                  <c:v>34.517100000000788</c:v>
                </c:pt>
                <c:pt idx="697">
                  <c:v>34.517200000000791</c:v>
                </c:pt>
                <c:pt idx="698">
                  <c:v>34.517300000000795</c:v>
                </c:pt>
                <c:pt idx="699">
                  <c:v>34.517400000000798</c:v>
                </c:pt>
                <c:pt idx="700">
                  <c:v>34.517500000000801</c:v>
                </c:pt>
                <c:pt idx="701">
                  <c:v>34.517600000000805</c:v>
                </c:pt>
                <c:pt idx="702">
                  <c:v>34.517700000000808</c:v>
                </c:pt>
                <c:pt idx="703">
                  <c:v>34.517800000000811</c:v>
                </c:pt>
                <c:pt idx="704">
                  <c:v>34.517900000000814</c:v>
                </c:pt>
                <c:pt idx="705">
                  <c:v>34.518000000000818</c:v>
                </c:pt>
                <c:pt idx="706">
                  <c:v>34.518100000000821</c:v>
                </c:pt>
                <c:pt idx="707">
                  <c:v>34.518200000000824</c:v>
                </c:pt>
                <c:pt idx="708">
                  <c:v>34.518300000000828</c:v>
                </c:pt>
                <c:pt idx="709">
                  <c:v>34.518400000000831</c:v>
                </c:pt>
                <c:pt idx="710">
                  <c:v>34.518500000000834</c:v>
                </c:pt>
                <c:pt idx="711">
                  <c:v>34.518600000000838</c:v>
                </c:pt>
                <c:pt idx="712">
                  <c:v>34.518700000000841</c:v>
                </c:pt>
                <c:pt idx="713">
                  <c:v>34.518800000000844</c:v>
                </c:pt>
                <c:pt idx="714">
                  <c:v>34.518900000000848</c:v>
                </c:pt>
                <c:pt idx="715">
                  <c:v>34.519000000000851</c:v>
                </c:pt>
                <c:pt idx="716">
                  <c:v>34.519100000000854</c:v>
                </c:pt>
                <c:pt idx="717">
                  <c:v>34.519200000000858</c:v>
                </c:pt>
                <c:pt idx="718">
                  <c:v>34.519300000000861</c:v>
                </c:pt>
                <c:pt idx="719">
                  <c:v>34.519400000000864</c:v>
                </c:pt>
                <c:pt idx="720">
                  <c:v>34.519500000000868</c:v>
                </c:pt>
                <c:pt idx="721">
                  <c:v>34.519600000000871</c:v>
                </c:pt>
                <c:pt idx="722">
                  <c:v>34.519700000000874</c:v>
                </c:pt>
                <c:pt idx="723">
                  <c:v>34.519800000000878</c:v>
                </c:pt>
                <c:pt idx="724">
                  <c:v>34.519900000000881</c:v>
                </c:pt>
                <c:pt idx="725">
                  <c:v>34.520000000000884</c:v>
                </c:pt>
                <c:pt idx="726">
                  <c:v>34.520100000000888</c:v>
                </c:pt>
                <c:pt idx="727">
                  <c:v>34.520200000000891</c:v>
                </c:pt>
                <c:pt idx="728">
                  <c:v>34.520300000000894</c:v>
                </c:pt>
                <c:pt idx="729">
                  <c:v>34.520400000000897</c:v>
                </c:pt>
                <c:pt idx="730">
                  <c:v>34.520500000000901</c:v>
                </c:pt>
                <c:pt idx="731">
                  <c:v>34.520600000000904</c:v>
                </c:pt>
                <c:pt idx="732">
                  <c:v>34.520700000000907</c:v>
                </c:pt>
                <c:pt idx="733">
                  <c:v>34.520800000000911</c:v>
                </c:pt>
                <c:pt idx="734">
                  <c:v>34.520900000000914</c:v>
                </c:pt>
                <c:pt idx="735">
                  <c:v>34.521000000000917</c:v>
                </c:pt>
                <c:pt idx="736">
                  <c:v>34.521100000000921</c:v>
                </c:pt>
                <c:pt idx="737">
                  <c:v>34.521200000000924</c:v>
                </c:pt>
                <c:pt idx="738">
                  <c:v>34.521300000000927</c:v>
                </c:pt>
                <c:pt idx="739">
                  <c:v>34.521400000000931</c:v>
                </c:pt>
                <c:pt idx="740">
                  <c:v>34.521500000000934</c:v>
                </c:pt>
                <c:pt idx="741">
                  <c:v>34.521600000000937</c:v>
                </c:pt>
                <c:pt idx="742">
                  <c:v>34.521700000000941</c:v>
                </c:pt>
                <c:pt idx="743">
                  <c:v>34.521800000000944</c:v>
                </c:pt>
                <c:pt idx="744">
                  <c:v>34.521900000000947</c:v>
                </c:pt>
                <c:pt idx="745">
                  <c:v>34.522000000000951</c:v>
                </c:pt>
                <c:pt idx="746">
                  <c:v>34.522100000000954</c:v>
                </c:pt>
                <c:pt idx="747">
                  <c:v>34.522200000000957</c:v>
                </c:pt>
                <c:pt idx="748">
                  <c:v>34.522300000000961</c:v>
                </c:pt>
                <c:pt idx="749">
                  <c:v>34.522400000000964</c:v>
                </c:pt>
                <c:pt idx="750">
                  <c:v>34.522500000000967</c:v>
                </c:pt>
                <c:pt idx="751">
                  <c:v>34.522600000000971</c:v>
                </c:pt>
                <c:pt idx="752">
                  <c:v>34.522700000000974</c:v>
                </c:pt>
                <c:pt idx="753">
                  <c:v>34.522800000000977</c:v>
                </c:pt>
                <c:pt idx="754">
                  <c:v>34.52290000000098</c:v>
                </c:pt>
                <c:pt idx="755">
                  <c:v>34.523000000000984</c:v>
                </c:pt>
                <c:pt idx="756">
                  <c:v>34.523100000000987</c:v>
                </c:pt>
                <c:pt idx="757">
                  <c:v>34.52320000000099</c:v>
                </c:pt>
                <c:pt idx="758">
                  <c:v>34.523300000000994</c:v>
                </c:pt>
                <c:pt idx="759">
                  <c:v>34.523400000000997</c:v>
                </c:pt>
                <c:pt idx="760">
                  <c:v>34.523500000001</c:v>
                </c:pt>
                <c:pt idx="761">
                  <c:v>34.523600000001004</c:v>
                </c:pt>
                <c:pt idx="762">
                  <c:v>34.523700000001007</c:v>
                </c:pt>
                <c:pt idx="763">
                  <c:v>34.52380000000101</c:v>
                </c:pt>
                <c:pt idx="764">
                  <c:v>34.523900000001014</c:v>
                </c:pt>
                <c:pt idx="765">
                  <c:v>34.524000000001017</c:v>
                </c:pt>
                <c:pt idx="766">
                  <c:v>34.52410000000102</c:v>
                </c:pt>
                <c:pt idx="767">
                  <c:v>34.524200000001024</c:v>
                </c:pt>
                <c:pt idx="768">
                  <c:v>34.524300000001027</c:v>
                </c:pt>
                <c:pt idx="769">
                  <c:v>34.52440000000103</c:v>
                </c:pt>
                <c:pt idx="770">
                  <c:v>34.524500000001034</c:v>
                </c:pt>
                <c:pt idx="771">
                  <c:v>34.524600000001037</c:v>
                </c:pt>
                <c:pt idx="772">
                  <c:v>34.52470000000104</c:v>
                </c:pt>
                <c:pt idx="773">
                  <c:v>34.524800000001044</c:v>
                </c:pt>
                <c:pt idx="774">
                  <c:v>34.524900000001047</c:v>
                </c:pt>
                <c:pt idx="775">
                  <c:v>34.52500000000105</c:v>
                </c:pt>
                <c:pt idx="776">
                  <c:v>34.525100000001054</c:v>
                </c:pt>
                <c:pt idx="777">
                  <c:v>34.525200000001057</c:v>
                </c:pt>
                <c:pt idx="778">
                  <c:v>34.52530000000106</c:v>
                </c:pt>
                <c:pt idx="779">
                  <c:v>34.525400000001063</c:v>
                </c:pt>
                <c:pt idx="780">
                  <c:v>34.525500000001067</c:v>
                </c:pt>
                <c:pt idx="781">
                  <c:v>34.52560000000107</c:v>
                </c:pt>
                <c:pt idx="782">
                  <c:v>34.525700000001073</c:v>
                </c:pt>
                <c:pt idx="783">
                  <c:v>34.525800000001077</c:v>
                </c:pt>
                <c:pt idx="784">
                  <c:v>34.52590000000108</c:v>
                </c:pt>
                <c:pt idx="785">
                  <c:v>34.526000000001083</c:v>
                </c:pt>
                <c:pt idx="786">
                  <c:v>34.526100000001087</c:v>
                </c:pt>
                <c:pt idx="787">
                  <c:v>34.52620000000109</c:v>
                </c:pt>
                <c:pt idx="788">
                  <c:v>34.526300000001093</c:v>
                </c:pt>
                <c:pt idx="789">
                  <c:v>34.526400000001097</c:v>
                </c:pt>
                <c:pt idx="790">
                  <c:v>34.5265000000011</c:v>
                </c:pt>
                <c:pt idx="791">
                  <c:v>34.526600000001103</c:v>
                </c:pt>
                <c:pt idx="792">
                  <c:v>34.526700000001107</c:v>
                </c:pt>
                <c:pt idx="793">
                  <c:v>34.52680000000111</c:v>
                </c:pt>
                <c:pt idx="794">
                  <c:v>34.526900000001113</c:v>
                </c:pt>
                <c:pt idx="795">
                  <c:v>34.527000000001117</c:v>
                </c:pt>
                <c:pt idx="796">
                  <c:v>34.52710000000112</c:v>
                </c:pt>
                <c:pt idx="797">
                  <c:v>34.527200000001123</c:v>
                </c:pt>
                <c:pt idx="798">
                  <c:v>34.527300000001127</c:v>
                </c:pt>
                <c:pt idx="799">
                  <c:v>34.52740000000113</c:v>
                </c:pt>
                <c:pt idx="800">
                  <c:v>34.527500000001133</c:v>
                </c:pt>
                <c:pt idx="801">
                  <c:v>34.527600000001136</c:v>
                </c:pt>
                <c:pt idx="802">
                  <c:v>34.52770000000114</c:v>
                </c:pt>
                <c:pt idx="803">
                  <c:v>34.527800000001143</c:v>
                </c:pt>
                <c:pt idx="804">
                  <c:v>34.527900000001146</c:v>
                </c:pt>
                <c:pt idx="805">
                  <c:v>34.52800000000115</c:v>
                </c:pt>
                <c:pt idx="806">
                  <c:v>34.528100000001153</c:v>
                </c:pt>
                <c:pt idx="807">
                  <c:v>34.528200000001156</c:v>
                </c:pt>
                <c:pt idx="808">
                  <c:v>34.52830000000116</c:v>
                </c:pt>
                <c:pt idx="809">
                  <c:v>34.528400000001163</c:v>
                </c:pt>
                <c:pt idx="810">
                  <c:v>34.528500000001166</c:v>
                </c:pt>
                <c:pt idx="811">
                  <c:v>34.52860000000117</c:v>
                </c:pt>
                <c:pt idx="812">
                  <c:v>34.528700000001173</c:v>
                </c:pt>
                <c:pt idx="813">
                  <c:v>34.528800000001176</c:v>
                </c:pt>
                <c:pt idx="814">
                  <c:v>34.52890000000118</c:v>
                </c:pt>
                <c:pt idx="815">
                  <c:v>34.529000000001183</c:v>
                </c:pt>
                <c:pt idx="816">
                  <c:v>34.529100000001186</c:v>
                </c:pt>
                <c:pt idx="817">
                  <c:v>34.52920000000119</c:v>
                </c:pt>
                <c:pt idx="818">
                  <c:v>34.529300000001193</c:v>
                </c:pt>
                <c:pt idx="819">
                  <c:v>34.529400000001196</c:v>
                </c:pt>
                <c:pt idx="820">
                  <c:v>34.5295000000012</c:v>
                </c:pt>
                <c:pt idx="821">
                  <c:v>34.529600000001203</c:v>
                </c:pt>
                <c:pt idx="822">
                  <c:v>34.529700000001206</c:v>
                </c:pt>
                <c:pt idx="823">
                  <c:v>34.52980000000121</c:v>
                </c:pt>
                <c:pt idx="824">
                  <c:v>34.529900000001213</c:v>
                </c:pt>
                <c:pt idx="825">
                  <c:v>34.530000000001216</c:v>
                </c:pt>
                <c:pt idx="826">
                  <c:v>34.530100000001219</c:v>
                </c:pt>
                <c:pt idx="827">
                  <c:v>34.530200000001223</c:v>
                </c:pt>
                <c:pt idx="828">
                  <c:v>34.530300000001226</c:v>
                </c:pt>
                <c:pt idx="829">
                  <c:v>34.530400000001229</c:v>
                </c:pt>
                <c:pt idx="830">
                  <c:v>34.530500000001233</c:v>
                </c:pt>
                <c:pt idx="831">
                  <c:v>34.530600000001236</c:v>
                </c:pt>
                <c:pt idx="832">
                  <c:v>34.530700000001239</c:v>
                </c:pt>
                <c:pt idx="833">
                  <c:v>34.530800000001243</c:v>
                </c:pt>
                <c:pt idx="834">
                  <c:v>34.530900000001246</c:v>
                </c:pt>
                <c:pt idx="835">
                  <c:v>34.531000000001249</c:v>
                </c:pt>
                <c:pt idx="836">
                  <c:v>34.531100000001253</c:v>
                </c:pt>
                <c:pt idx="837">
                  <c:v>34.531200000001256</c:v>
                </c:pt>
                <c:pt idx="838">
                  <c:v>34.531300000001259</c:v>
                </c:pt>
                <c:pt idx="839">
                  <c:v>34.531400000001263</c:v>
                </c:pt>
                <c:pt idx="840">
                  <c:v>34.531500000001266</c:v>
                </c:pt>
                <c:pt idx="841">
                  <c:v>34.531600000001269</c:v>
                </c:pt>
                <c:pt idx="842">
                  <c:v>34.531700000001273</c:v>
                </c:pt>
                <c:pt idx="843">
                  <c:v>34.531800000001276</c:v>
                </c:pt>
                <c:pt idx="844">
                  <c:v>34.531900000001279</c:v>
                </c:pt>
                <c:pt idx="845">
                  <c:v>34.532000000001283</c:v>
                </c:pt>
                <c:pt idx="846">
                  <c:v>34.532100000001286</c:v>
                </c:pt>
                <c:pt idx="847">
                  <c:v>34.532200000001289</c:v>
                </c:pt>
                <c:pt idx="848">
                  <c:v>34.532300000001293</c:v>
                </c:pt>
                <c:pt idx="849">
                  <c:v>34.532400000001296</c:v>
                </c:pt>
                <c:pt idx="850">
                  <c:v>34.532500000001299</c:v>
                </c:pt>
                <c:pt idx="851">
                  <c:v>34.532600000001302</c:v>
                </c:pt>
                <c:pt idx="852">
                  <c:v>34.532700000001306</c:v>
                </c:pt>
                <c:pt idx="853">
                  <c:v>34.532800000001309</c:v>
                </c:pt>
                <c:pt idx="854">
                  <c:v>34.532900000001312</c:v>
                </c:pt>
                <c:pt idx="855">
                  <c:v>34.533000000001316</c:v>
                </c:pt>
                <c:pt idx="856">
                  <c:v>34.533100000001319</c:v>
                </c:pt>
                <c:pt idx="857">
                  <c:v>34.533200000001322</c:v>
                </c:pt>
                <c:pt idx="858">
                  <c:v>34.533300000001326</c:v>
                </c:pt>
                <c:pt idx="859">
                  <c:v>34.533400000001329</c:v>
                </c:pt>
                <c:pt idx="860">
                  <c:v>34.533500000001332</c:v>
                </c:pt>
                <c:pt idx="861">
                  <c:v>34.533600000001336</c:v>
                </c:pt>
                <c:pt idx="862">
                  <c:v>34.533700000001339</c:v>
                </c:pt>
                <c:pt idx="863">
                  <c:v>34.533800000001342</c:v>
                </c:pt>
                <c:pt idx="864">
                  <c:v>34.533900000001346</c:v>
                </c:pt>
                <c:pt idx="865">
                  <c:v>34.534000000001349</c:v>
                </c:pt>
                <c:pt idx="866">
                  <c:v>34.534100000001352</c:v>
                </c:pt>
                <c:pt idx="867">
                  <c:v>34.534200000001356</c:v>
                </c:pt>
                <c:pt idx="868">
                  <c:v>34.534300000001359</c:v>
                </c:pt>
                <c:pt idx="869">
                  <c:v>34.534400000001362</c:v>
                </c:pt>
                <c:pt idx="870">
                  <c:v>34.534500000001366</c:v>
                </c:pt>
                <c:pt idx="871">
                  <c:v>34.534600000001369</c:v>
                </c:pt>
                <c:pt idx="872">
                  <c:v>34.534700000001372</c:v>
                </c:pt>
                <c:pt idx="873">
                  <c:v>34.534800000001376</c:v>
                </c:pt>
                <c:pt idx="874">
                  <c:v>34.534900000001379</c:v>
                </c:pt>
                <c:pt idx="875">
                  <c:v>34.535000000001382</c:v>
                </c:pt>
                <c:pt idx="876">
                  <c:v>34.535100000001385</c:v>
                </c:pt>
                <c:pt idx="877">
                  <c:v>34.535200000001389</c:v>
                </c:pt>
                <c:pt idx="878">
                  <c:v>34.535300000001392</c:v>
                </c:pt>
                <c:pt idx="879">
                  <c:v>34.535400000001395</c:v>
                </c:pt>
                <c:pt idx="880">
                  <c:v>34.535500000001399</c:v>
                </c:pt>
                <c:pt idx="881">
                  <c:v>34.535600000001402</c:v>
                </c:pt>
                <c:pt idx="882">
                  <c:v>34.535700000001405</c:v>
                </c:pt>
                <c:pt idx="883">
                  <c:v>34.535800000001409</c:v>
                </c:pt>
                <c:pt idx="884">
                  <c:v>34.535900000001412</c:v>
                </c:pt>
                <c:pt idx="885">
                  <c:v>34.536000000001415</c:v>
                </c:pt>
                <c:pt idx="886">
                  <c:v>34.536100000001419</c:v>
                </c:pt>
                <c:pt idx="887">
                  <c:v>34.536200000001422</c:v>
                </c:pt>
                <c:pt idx="888">
                  <c:v>34.536300000001425</c:v>
                </c:pt>
                <c:pt idx="889">
                  <c:v>34.536400000001429</c:v>
                </c:pt>
                <c:pt idx="890">
                  <c:v>34.536500000001432</c:v>
                </c:pt>
                <c:pt idx="891">
                  <c:v>34.536600000001435</c:v>
                </c:pt>
                <c:pt idx="892">
                  <c:v>34.536700000001439</c:v>
                </c:pt>
                <c:pt idx="893">
                  <c:v>34.536800000001442</c:v>
                </c:pt>
                <c:pt idx="894">
                  <c:v>34.536900000001445</c:v>
                </c:pt>
                <c:pt idx="895">
                  <c:v>34.537000000001449</c:v>
                </c:pt>
                <c:pt idx="896">
                  <c:v>34.537100000001452</c:v>
                </c:pt>
                <c:pt idx="897">
                  <c:v>34.537200000001455</c:v>
                </c:pt>
                <c:pt idx="898">
                  <c:v>34.537300000001458</c:v>
                </c:pt>
                <c:pt idx="899">
                  <c:v>34.537400000001462</c:v>
                </c:pt>
                <c:pt idx="900">
                  <c:v>34.537500000001465</c:v>
                </c:pt>
                <c:pt idx="901">
                  <c:v>34.537600000001468</c:v>
                </c:pt>
                <c:pt idx="902">
                  <c:v>34.537700000001472</c:v>
                </c:pt>
                <c:pt idx="903">
                  <c:v>34.537800000001475</c:v>
                </c:pt>
                <c:pt idx="904">
                  <c:v>34.537900000001478</c:v>
                </c:pt>
                <c:pt idx="905">
                  <c:v>34.538000000001482</c:v>
                </c:pt>
                <c:pt idx="906">
                  <c:v>34.538100000001485</c:v>
                </c:pt>
                <c:pt idx="907">
                  <c:v>34.538200000001488</c:v>
                </c:pt>
                <c:pt idx="908">
                  <c:v>34.538300000001492</c:v>
                </c:pt>
                <c:pt idx="909">
                  <c:v>34.538400000001495</c:v>
                </c:pt>
                <c:pt idx="910">
                  <c:v>34.538500000001498</c:v>
                </c:pt>
                <c:pt idx="911">
                  <c:v>34.538600000001502</c:v>
                </c:pt>
                <c:pt idx="912">
                  <c:v>34.538700000001505</c:v>
                </c:pt>
                <c:pt idx="913">
                  <c:v>34.538800000001508</c:v>
                </c:pt>
                <c:pt idx="914">
                  <c:v>34.538900000001512</c:v>
                </c:pt>
                <c:pt idx="915">
                  <c:v>34.539000000001515</c:v>
                </c:pt>
                <c:pt idx="916">
                  <c:v>34.539100000001518</c:v>
                </c:pt>
                <c:pt idx="917">
                  <c:v>34.539200000001522</c:v>
                </c:pt>
                <c:pt idx="918">
                  <c:v>34.539300000001525</c:v>
                </c:pt>
                <c:pt idx="919">
                  <c:v>34.539400000001528</c:v>
                </c:pt>
                <c:pt idx="920">
                  <c:v>34.539500000001532</c:v>
                </c:pt>
                <c:pt idx="921">
                  <c:v>34.539600000001535</c:v>
                </c:pt>
                <c:pt idx="922">
                  <c:v>34.539700000001538</c:v>
                </c:pt>
                <c:pt idx="923">
                  <c:v>34.539800000001541</c:v>
                </c:pt>
                <c:pt idx="924">
                  <c:v>34.539900000001545</c:v>
                </c:pt>
                <c:pt idx="925">
                  <c:v>34.540000000001548</c:v>
                </c:pt>
                <c:pt idx="926">
                  <c:v>34.540100000001551</c:v>
                </c:pt>
                <c:pt idx="927">
                  <c:v>34.540200000001555</c:v>
                </c:pt>
                <c:pt idx="928">
                  <c:v>34.540300000001558</c:v>
                </c:pt>
                <c:pt idx="929">
                  <c:v>34.540400000001561</c:v>
                </c:pt>
                <c:pt idx="930">
                  <c:v>34.540500000001565</c:v>
                </c:pt>
                <c:pt idx="931">
                  <c:v>34.540600000001568</c:v>
                </c:pt>
                <c:pt idx="932">
                  <c:v>34.540700000001571</c:v>
                </c:pt>
                <c:pt idx="933">
                  <c:v>34.540800000001575</c:v>
                </c:pt>
                <c:pt idx="934">
                  <c:v>34.540900000001578</c:v>
                </c:pt>
                <c:pt idx="935">
                  <c:v>34.541000000001581</c:v>
                </c:pt>
                <c:pt idx="936">
                  <c:v>34.541100000001585</c:v>
                </c:pt>
                <c:pt idx="937">
                  <c:v>34.541200000001588</c:v>
                </c:pt>
                <c:pt idx="938">
                  <c:v>34.541300000001591</c:v>
                </c:pt>
                <c:pt idx="939">
                  <c:v>34.541400000001595</c:v>
                </c:pt>
                <c:pt idx="940">
                  <c:v>34.541500000001598</c:v>
                </c:pt>
                <c:pt idx="941">
                  <c:v>34.541600000001601</c:v>
                </c:pt>
                <c:pt idx="942">
                  <c:v>34.541700000001605</c:v>
                </c:pt>
                <c:pt idx="943">
                  <c:v>34.541800000001608</c:v>
                </c:pt>
                <c:pt idx="944">
                  <c:v>34.541900000001611</c:v>
                </c:pt>
                <c:pt idx="945">
                  <c:v>34.542000000001615</c:v>
                </c:pt>
                <c:pt idx="946">
                  <c:v>34.542100000001618</c:v>
                </c:pt>
                <c:pt idx="947">
                  <c:v>34.542200000001621</c:v>
                </c:pt>
                <c:pt idx="948">
                  <c:v>34.542300000001624</c:v>
                </c:pt>
                <c:pt idx="949">
                  <c:v>34.542400000001628</c:v>
                </c:pt>
                <c:pt idx="950">
                  <c:v>34.542500000001631</c:v>
                </c:pt>
                <c:pt idx="951">
                  <c:v>34.542600000001634</c:v>
                </c:pt>
                <c:pt idx="952">
                  <c:v>34.542700000001638</c:v>
                </c:pt>
                <c:pt idx="953">
                  <c:v>34.542800000001641</c:v>
                </c:pt>
                <c:pt idx="954">
                  <c:v>34.542900000001644</c:v>
                </c:pt>
                <c:pt idx="955">
                  <c:v>34.543000000001648</c:v>
                </c:pt>
                <c:pt idx="956">
                  <c:v>34.543100000001651</c:v>
                </c:pt>
                <c:pt idx="957">
                  <c:v>34.543200000001654</c:v>
                </c:pt>
                <c:pt idx="958">
                  <c:v>34.543300000001658</c:v>
                </c:pt>
                <c:pt idx="959">
                  <c:v>34.543400000001661</c:v>
                </c:pt>
                <c:pt idx="960">
                  <c:v>34.543500000001664</c:v>
                </c:pt>
                <c:pt idx="961">
                  <c:v>34.543600000001668</c:v>
                </c:pt>
                <c:pt idx="962">
                  <c:v>34.543700000001671</c:v>
                </c:pt>
                <c:pt idx="963">
                  <c:v>34.543800000001674</c:v>
                </c:pt>
                <c:pt idx="964">
                  <c:v>34.543900000001678</c:v>
                </c:pt>
                <c:pt idx="965">
                  <c:v>34.544000000001681</c:v>
                </c:pt>
                <c:pt idx="966">
                  <c:v>34.544100000001684</c:v>
                </c:pt>
                <c:pt idx="967">
                  <c:v>34.544200000001688</c:v>
                </c:pt>
                <c:pt idx="968">
                  <c:v>34.544300000001691</c:v>
                </c:pt>
                <c:pt idx="969">
                  <c:v>34.544400000001694</c:v>
                </c:pt>
                <c:pt idx="970">
                  <c:v>34.544500000001698</c:v>
                </c:pt>
                <c:pt idx="971">
                  <c:v>34.544600000001701</c:v>
                </c:pt>
                <c:pt idx="972">
                  <c:v>34.544700000001704</c:v>
                </c:pt>
                <c:pt idx="973">
                  <c:v>34.544800000001707</c:v>
                </c:pt>
                <c:pt idx="974">
                  <c:v>34.544900000001711</c:v>
                </c:pt>
                <c:pt idx="975">
                  <c:v>34.545000000001714</c:v>
                </c:pt>
                <c:pt idx="976">
                  <c:v>34.545100000001717</c:v>
                </c:pt>
                <c:pt idx="977">
                  <c:v>34.545200000001721</c:v>
                </c:pt>
                <c:pt idx="978">
                  <c:v>34.545300000001724</c:v>
                </c:pt>
                <c:pt idx="979">
                  <c:v>34.545400000001727</c:v>
                </c:pt>
                <c:pt idx="980">
                  <c:v>34.545500000001731</c:v>
                </c:pt>
                <c:pt idx="981">
                  <c:v>34.545600000001734</c:v>
                </c:pt>
                <c:pt idx="982">
                  <c:v>34.545700000001737</c:v>
                </c:pt>
                <c:pt idx="983">
                  <c:v>34.545800000001741</c:v>
                </c:pt>
                <c:pt idx="984">
                  <c:v>34.545900000001744</c:v>
                </c:pt>
                <c:pt idx="985">
                  <c:v>34.546000000001747</c:v>
                </c:pt>
                <c:pt idx="986">
                  <c:v>34.546100000001751</c:v>
                </c:pt>
                <c:pt idx="987">
                  <c:v>34.546200000001754</c:v>
                </c:pt>
                <c:pt idx="988">
                  <c:v>34.546300000001757</c:v>
                </c:pt>
                <c:pt idx="989">
                  <c:v>34.546400000001761</c:v>
                </c:pt>
                <c:pt idx="990">
                  <c:v>34.546500000001764</c:v>
                </c:pt>
                <c:pt idx="991">
                  <c:v>34.546600000001767</c:v>
                </c:pt>
                <c:pt idx="992">
                  <c:v>34.546700000001771</c:v>
                </c:pt>
                <c:pt idx="993">
                  <c:v>34.546800000001774</c:v>
                </c:pt>
                <c:pt idx="994">
                  <c:v>34.546900000001777</c:v>
                </c:pt>
                <c:pt idx="995">
                  <c:v>34.547000000001781</c:v>
                </c:pt>
                <c:pt idx="996">
                  <c:v>34.547100000001784</c:v>
                </c:pt>
                <c:pt idx="997">
                  <c:v>34.547200000001787</c:v>
                </c:pt>
                <c:pt idx="998">
                  <c:v>34.54730000000179</c:v>
                </c:pt>
                <c:pt idx="999">
                  <c:v>34.547400000001794</c:v>
                </c:pt>
                <c:pt idx="1000">
                  <c:v>34.547500000001797</c:v>
                </c:pt>
              </c:numCache>
            </c:numRef>
          </c:xVal>
          <c:yVal>
            <c:numRef>
              <c:f>Calculs!$I$4:$I$1004</c:f>
              <c:numCache>
                <c:formatCode>0.00</c:formatCode>
                <c:ptCount val="1001"/>
                <c:pt idx="0">
                  <c:v>0</c:v>
                </c:pt>
                <c:pt idx="1">
                  <c:v>0.19532621179731052</c:v>
                </c:pt>
                <c:pt idx="2">
                  <c:v>1.2034293539676293</c:v>
                </c:pt>
                <c:pt idx="3">
                  <c:v>2.7069114807303838</c:v>
                </c:pt>
                <c:pt idx="4">
                  <c:v>4.1587098022269009</c:v>
                </c:pt>
                <c:pt idx="5">
                  <c:v>5.558687131224648</c:v>
                </c:pt>
                <c:pt idx="6">
                  <c:v>6.9383831931762847</c:v>
                </c:pt>
                <c:pt idx="7">
                  <c:v>8.3294302015898261</c:v>
                </c:pt>
                <c:pt idx="8">
                  <c:v>9.7318332497725688</c:v>
                </c:pt>
                <c:pt idx="9">
                  <c:v>11.145597161877879</c:v>
                </c:pt>
                <c:pt idx="10">
                  <c:v>12.570726488479202</c:v>
                </c:pt>
                <c:pt idx="11">
                  <c:v>14.003937408323303</c:v>
                </c:pt>
                <c:pt idx="12">
                  <c:v>15.441936265851078</c:v>
                </c:pt>
                <c:pt idx="13">
                  <c:v>16.884712714191139</c:v>
                </c:pt>
                <c:pt idx="14">
                  <c:v>18.332256214444428</c:v>
                </c:pt>
                <c:pt idx="15">
                  <c:v>19.784556035122925</c:v>
                </c:pt>
                <c:pt idx="16">
                  <c:v>21.241601251604603</c:v>
                </c:pt>
                <c:pt idx="17">
                  <c:v>22.703380745604996</c:v>
                </c:pt>
                <c:pt idx="18">
                  <c:v>24.169883204665503</c:v>
                </c:pt>
                <c:pt idx="19">
                  <c:v>25.641097121658738</c:v>
                </c:pt>
                <c:pt idx="20">
                  <c:v>27.117010794311135</c:v>
                </c:pt>
                <c:pt idx="21">
                  <c:v>28.59629177338433</c:v>
                </c:pt>
                <c:pt idx="22">
                  <c:v>30.077603663950804</c:v>
                </c:pt>
                <c:pt idx="23">
                  <c:v>31.560928786487253</c:v>
                </c:pt>
                <c:pt idx="24">
                  <c:v>33.046249345329279</c:v>
                </c:pt>
                <c:pt idx="25">
                  <c:v>34.533547429387177</c:v>
                </c:pt>
                <c:pt idx="26">
                  <c:v>36.022808894147417</c:v>
                </c:pt>
                <c:pt idx="27">
                  <c:v>37.514019643649831</c:v>
                </c:pt>
                <c:pt idx="28">
                  <c:v>39.007161152222331</c:v>
                </c:pt>
                <c:pt idx="29">
                  <c:v>40.502214800204264</c:v>
                </c:pt>
                <c:pt idx="30">
                  <c:v>41.999161872780817</c:v>
                </c:pt>
                <c:pt idx="31">
                  <c:v>43.497983559146142</c:v>
                </c:pt>
                <c:pt idx="32">
                  <c:v>44.998660951893299</c:v>
                </c:pt>
                <c:pt idx="33">
                  <c:v>46.501175046597652</c:v>
                </c:pt>
                <c:pt idx="34">
                  <c:v>48.00550674156657</c:v>
                </c:pt>
                <c:pt idx="35">
                  <c:v>49.511636837733015</c:v>
                </c:pt>
                <c:pt idx="36">
                  <c:v>51.019546038674598</c:v>
                </c:pt>
                <c:pt idx="37">
                  <c:v>52.529214950742521</c:v>
                </c:pt>
                <c:pt idx="38">
                  <c:v>54.040624083287675</c:v>
                </c:pt>
                <c:pt idx="39">
                  <c:v>55.553753848972811</c:v>
                </c:pt>
                <c:pt idx="40">
                  <c:v>57.068584564161732</c:v>
                </c:pt>
                <c:pt idx="41">
                  <c:v>58.584066558171465</c:v>
                </c:pt>
                <c:pt idx="42">
                  <c:v>60.099147366010598</c:v>
                </c:pt>
                <c:pt idx="43">
                  <c:v>61.613803324747238</c:v>
                </c:pt>
                <c:pt idx="44">
                  <c:v>63.128010760746314</c:v>
                </c:pt>
                <c:pt idx="45">
                  <c:v>64.641745990923738</c:v>
                </c:pt>
                <c:pt idx="46">
                  <c:v>66.154985324036687</c:v>
                </c:pt>
                <c:pt idx="47">
                  <c:v>67.66770506200659</c:v>
                </c:pt>
                <c:pt idx="48">
                  <c:v>69.179881501271012</c:v>
                </c:pt>
                <c:pt idx="49">
                  <c:v>70.691490934161962</c:v>
                </c:pt>
                <c:pt idx="50">
                  <c:v>72.202509650307931</c:v>
                </c:pt>
                <c:pt idx="51">
                  <c:v>73.712913938057213</c:v>
                </c:pt>
                <c:pt idx="52">
                  <c:v>75.222680085920615</c:v>
                </c:pt>
                <c:pt idx="53">
                  <c:v>76.731784384031741</c:v>
                </c:pt>
                <c:pt idx="54">
                  <c:v>78.240203125623125</c:v>
                </c:pt>
                <c:pt idx="55">
                  <c:v>79.747912608516614</c:v>
                </c:pt>
                <c:pt idx="56">
                  <c:v>81.254889136627014</c:v>
                </c:pt>
                <c:pt idx="57">
                  <c:v>82.761109021477239</c:v>
                </c:pt>
                <c:pt idx="58">
                  <c:v>84.266548583724386</c:v>
                </c:pt>
                <c:pt idx="59">
                  <c:v>85.771184154695163</c:v>
                </c:pt>
                <c:pt idx="60">
                  <c:v>87.274992077930207</c:v>
                </c:pt>
                <c:pt idx="61">
                  <c:v>88.777948710735984</c:v>
                </c:pt>
                <c:pt idx="62">
                  <c:v>90.280030425743789</c:v>
                </c:pt>
                <c:pt idx="63">
                  <c:v>91.781213612474843</c:v>
                </c:pt>
                <c:pt idx="64">
                  <c:v>93.28147467891084</c:v>
                </c:pt>
                <c:pt idx="65">
                  <c:v>94.780790053069438</c:v>
                </c:pt>
                <c:pt idx="66">
                  <c:v>96.279136184583678</c:v>
                </c:pt>
                <c:pt idx="67">
                  <c:v>97.776489546285163</c:v>
                </c:pt>
                <c:pt idx="68">
                  <c:v>99.272826635790153</c:v>
                </c:pt>
                <c:pt idx="69">
                  <c:v>100.76812397708809</c:v>
                </c:pt>
                <c:pt idx="70">
                  <c:v>102.26235812213217</c:v>
                </c:pt>
                <c:pt idx="71">
                  <c:v>103.75550565243125</c:v>
                </c:pt>
                <c:pt idx="72">
                  <c:v>105.24754318064286</c:v>
                </c:pt>
                <c:pt idx="73">
                  <c:v>106.7384473521666</c:v>
                </c:pt>
                <c:pt idx="74">
                  <c:v>108.22819484673778</c:v>
                </c:pt>
                <c:pt idx="75">
                  <c:v>109.7167623800207</c:v>
                </c:pt>
                <c:pt idx="76">
                  <c:v>111.2041267052012</c:v>
                </c:pt>
                <c:pt idx="77">
                  <c:v>112.69026461457801</c:v>
                </c:pt>
                <c:pt idx="78">
                  <c:v>114.17515294115285</c:v>
                </c:pt>
                <c:pt idx="79">
                  <c:v>115.65876856021835</c:v>
                </c:pt>
                <c:pt idx="80">
                  <c:v>117.14108839094405</c:v>
                </c:pt>
                <c:pt idx="81">
                  <c:v>118.62103817223407</c:v>
                </c:pt>
                <c:pt idx="82">
                  <c:v>120.09754159167075</c:v>
                </c:pt>
                <c:pt idx="83">
                  <c:v>121.57057328005503</c:v>
                </c:pt>
                <c:pt idx="84">
                  <c:v>123.04010802240597</c:v>
                </c:pt>
                <c:pt idx="85">
                  <c:v>124.50612075964258</c:v>
                </c:pt>
                <c:pt idx="86">
                  <c:v>125.96858659024483</c:v>
                </c:pt>
                <c:pt idx="87">
                  <c:v>127.42748077189354</c:v>
                </c:pt>
                <c:pt idx="88">
                  <c:v>128.88277872308899</c:v>
                </c:pt>
                <c:pt idx="89">
                  <c:v>130.33445602474771</c:v>
                </c:pt>
                <c:pt idx="90">
                  <c:v>131.78248842177734</c:v>
                </c:pt>
                <c:pt idx="91">
                  <c:v>133.22638672615417</c:v>
                </c:pt>
                <c:pt idx="92">
                  <c:v>134.66566108443064</c:v>
                </c:pt>
                <c:pt idx="93">
                  <c:v>136.10028685325503</c:v>
                </c:pt>
                <c:pt idx="94">
                  <c:v>137.53023960928283</c:v>
                </c:pt>
                <c:pt idx="95">
                  <c:v>138.95549515057075</c:v>
                </c:pt>
                <c:pt idx="96">
                  <c:v>140.37602949793802</c:v>
                </c:pt>
                <c:pt idx="97">
                  <c:v>141.79181889629541</c:v>
                </c:pt>
                <c:pt idx="98">
                  <c:v>143.20283981594193</c:v>
                </c:pt>
                <c:pt idx="99">
                  <c:v>144.60906895382877</c:v>
                </c:pt>
                <c:pt idx="100">
                  <c:v>146.01048323479029</c:v>
                </c:pt>
                <c:pt idx="101">
                  <c:v>147.40698532009787</c:v>
                </c:pt>
                <c:pt idx="102">
                  <c:v>148.79847798429088</c:v>
                </c:pt>
                <c:pt idx="103">
                  <c:v>150.18493873123927</c:v>
                </c:pt>
                <c:pt idx="104">
                  <c:v>151.56634530542823</c:v>
                </c:pt>
                <c:pt idx="105">
                  <c:v>152.94267569300044</c:v>
                </c:pt>
                <c:pt idx="106">
                  <c:v>154.31390812276317</c:v>
                </c:pt>
                <c:pt idx="107">
                  <c:v>155.6800210671606</c:v>
                </c:pt>
                <c:pt idx="108">
                  <c:v>157.04099324321095</c:v>
                </c:pt>
                <c:pt idx="109">
                  <c:v>158.39680361340871</c:v>
                </c:pt>
                <c:pt idx="110">
                  <c:v>159.74743138659159</c:v>
                </c:pt>
                <c:pt idx="111">
                  <c:v>161.09371483418113</c:v>
                </c:pt>
                <c:pt idx="112">
                  <c:v>162.43649363932516</c:v>
                </c:pt>
                <c:pt idx="113">
                  <c:v>163.77574869899243</c:v>
                </c:pt>
                <c:pt idx="114">
                  <c:v>165.11146107115681</c:v>
                </c:pt>
                <c:pt idx="115">
                  <c:v>166.44361197576575</c:v>
                </c:pt>
                <c:pt idx="116">
                  <c:v>167.77218279568777</c:v>
                </c:pt>
                <c:pt idx="117">
                  <c:v>169.09715507763923</c:v>
                </c:pt>
                <c:pt idx="118">
                  <c:v>170.41851053308912</c:v>
                </c:pt>
                <c:pt idx="119">
                  <c:v>171.73623103914349</c:v>
                </c:pt>
                <c:pt idx="120">
                  <c:v>173.05029863940797</c:v>
                </c:pt>
                <c:pt idx="121">
                  <c:v>174.35926923436017</c:v>
                </c:pt>
                <c:pt idx="122">
                  <c:v>175.66169722555068</c:v>
                </c:pt>
                <c:pt idx="123">
                  <c:v>176.95756410762326</c:v>
                </c:pt>
                <c:pt idx="124">
                  <c:v>178.24685169480364</c:v>
                </c:pt>
                <c:pt idx="125">
                  <c:v>179.52954212098047</c:v>
                </c:pt>
                <c:pt idx="126">
                  <c:v>180.80561783974059</c:v>
                </c:pt>
                <c:pt idx="127">
                  <c:v>182.07506162435936</c:v>
                </c:pt>
                <c:pt idx="128">
                  <c:v>183.33785656774631</c:v>
                </c:pt>
                <c:pt idx="129">
                  <c:v>184.59398608234613</c:v>
                </c:pt>
                <c:pt idx="130">
                  <c:v>185.84343389999535</c:v>
                </c:pt>
                <c:pt idx="131">
                  <c:v>187.08581018153313</c:v>
                </c:pt>
                <c:pt idx="132">
                  <c:v>188.32072506148978</c:v>
                </c:pt>
                <c:pt idx="133">
                  <c:v>189.54816312118439</c:v>
                </c:pt>
                <c:pt idx="134">
                  <c:v>190.76810930224607</c:v>
                </c:pt>
                <c:pt idx="135">
                  <c:v>191.98054890595952</c:v>
                </c:pt>
                <c:pt idx="136">
                  <c:v>193.18546759256185</c:v>
                </c:pt>
                <c:pt idx="137">
                  <c:v>194.38285138049048</c:v>
                </c:pt>
                <c:pt idx="138">
                  <c:v>195.57268664558367</c:v>
                </c:pt>
                <c:pt idx="139">
                  <c:v>196.75496012023333</c:v>
                </c:pt>
                <c:pt idx="140">
                  <c:v>197.92965889249061</c:v>
                </c:pt>
                <c:pt idx="141">
                  <c:v>199.09229437243289</c:v>
                </c:pt>
                <c:pt idx="142">
                  <c:v>200.23837539525593</c:v>
                </c:pt>
                <c:pt idx="143">
                  <c:v>201.36789104400876</c:v>
                </c:pt>
                <c:pt idx="144">
                  <c:v>202.48083136083218</c:v>
                </c:pt>
                <c:pt idx="145">
                  <c:v>203.57718733913111</c:v>
                </c:pt>
                <c:pt idx="146">
                  <c:v>204.6569509155988</c:v>
                </c:pt>
                <c:pt idx="147">
                  <c:v>205.72011496209706</c:v>
                </c:pt>
                <c:pt idx="148">
                  <c:v>206.76667327739699</c:v>
                </c:pt>
                <c:pt idx="149">
                  <c:v>207.79662057878372</c:v>
                </c:pt>
                <c:pt idx="150">
                  <c:v>208.80995249352944</c:v>
                </c:pt>
                <c:pt idx="151">
                  <c:v>209.80666555023913</c:v>
                </c:pt>
                <c:pt idx="152">
                  <c:v>210.78675717007266</c:v>
                </c:pt>
                <c:pt idx="153">
                  <c:v>211.75022565784724</c:v>
                </c:pt>
                <c:pt idx="154">
                  <c:v>212.6970701930251</c:v>
                </c:pt>
                <c:pt idx="155">
                  <c:v>213.62729082058928</c:v>
                </c:pt>
                <c:pt idx="156">
                  <c:v>214.51965569603109</c:v>
                </c:pt>
                <c:pt idx="157">
                  <c:v>215.35293540932835</c:v>
                </c:pt>
                <c:pt idx="158">
                  <c:v>216.12716429598981</c:v>
                </c:pt>
                <c:pt idx="159">
                  <c:v>216.84238317015695</c:v>
                </c:pt>
                <c:pt idx="160">
                  <c:v>217.49863920257499</c:v>
                </c:pt>
                <c:pt idx="161">
                  <c:v>218.06898078990739</c:v>
                </c:pt>
                <c:pt idx="162">
                  <c:v>218.52648661726201</c:v>
                </c:pt>
                <c:pt idx="163">
                  <c:v>218.87387601978477</c:v>
                </c:pt>
                <c:pt idx="164">
                  <c:v>219.11388444883875</c:v>
                </c:pt>
                <c:pt idx="165">
                  <c:v>219.27248704584846</c:v>
                </c:pt>
                <c:pt idx="166">
                  <c:v>219.37563104300969</c:v>
                </c:pt>
                <c:pt idx="167">
                  <c:v>219.40379934926966</c:v>
                </c:pt>
                <c:pt idx="168">
                  <c:v>219.35171064138873</c:v>
                </c:pt>
                <c:pt idx="169">
                  <c:v>219.17901396420356</c:v>
                </c:pt>
                <c:pt idx="170">
                  <c:v>218.87385323635181</c:v>
                </c:pt>
                <c:pt idx="171">
                  <c:v>218.52428808460684</c:v>
                </c:pt>
                <c:pt idx="172">
                  <c:v>218.17558755645697</c:v>
                </c:pt>
                <c:pt idx="173">
                  <c:v>217.82774792392621</c:v>
                </c:pt>
                <c:pt idx="174">
                  <c:v>217.48076548052526</c:v>
                </c:pt>
                <c:pt idx="175">
                  <c:v>217.134636541096</c:v>
                </c:pt>
                <c:pt idx="176">
                  <c:v>216.78935744165713</c:v>
                </c:pt>
                <c:pt idx="177">
                  <c:v>216.44492453925122</c:v>
                </c:pt>
                <c:pt idx="178">
                  <c:v>216.10133421179313</c:v>
                </c:pt>
                <c:pt idx="179">
                  <c:v>215.75858285791978</c:v>
                </c:pt>
                <c:pt idx="180">
                  <c:v>215.41666689684098</c:v>
                </c:pt>
                <c:pt idx="181">
                  <c:v>215.07558276819202</c:v>
                </c:pt>
                <c:pt idx="182">
                  <c:v>214.73532693188696</c:v>
                </c:pt>
                <c:pt idx="183">
                  <c:v>214.39589586797359</c:v>
                </c:pt>
                <c:pt idx="184">
                  <c:v>214.0572860764895</c:v>
                </c:pt>
                <c:pt idx="185">
                  <c:v>213.71949407731958</c:v>
                </c:pt>
                <c:pt idx="186">
                  <c:v>213.38251641005422</c:v>
                </c:pt>
                <c:pt idx="187">
                  <c:v>213.04634963384945</c:v>
                </c:pt>
                <c:pt idx="188">
                  <c:v>212.71099032728762</c:v>
                </c:pt>
                <c:pt idx="189">
                  <c:v>212.37643508823987</c:v>
                </c:pt>
                <c:pt idx="190">
                  <c:v>212.04268053372917</c:v>
                </c:pt>
                <c:pt idx="191">
                  <c:v>211.709723299795</c:v>
                </c:pt>
                <c:pt idx="192">
                  <c:v>211.37756004135892</c:v>
                </c:pt>
                <c:pt idx="193">
                  <c:v>211.04618743209153</c:v>
                </c:pt>
                <c:pt idx="194">
                  <c:v>210.7156021642802</c:v>
                </c:pt>
                <c:pt idx="195">
                  <c:v>210.38580094869826</c:v>
                </c:pt>
                <c:pt idx="196">
                  <c:v>210.05678051447515</c:v>
                </c:pt>
                <c:pt idx="197">
                  <c:v>209.72853760896766</c:v>
                </c:pt>
                <c:pt idx="198">
                  <c:v>209.40106899763225</c:v>
                </c:pt>
                <c:pt idx="199">
                  <c:v>209.07437146389856</c:v>
                </c:pt>
                <c:pt idx="200">
                  <c:v>208.74844180904384</c:v>
                </c:pt>
                <c:pt idx="201">
                  <c:v>205.49687668986738</c:v>
                </c:pt>
                <c:pt idx="202">
                  <c:v>202.32080176948813</c:v>
                </c:pt>
                <c:pt idx="203">
                  <c:v>199.21715194295254</c:v>
                </c:pt>
                <c:pt idx="204">
                  <c:v>196.18302667723816</c:v>
                </c:pt>
                <c:pt idx="205">
                  <c:v>193.21567902290917</c:v>
                </c:pt>
                <c:pt idx="206">
                  <c:v>190.31250550056504</c:v>
                </c:pt>
                <c:pt idx="207">
                  <c:v>187.47103678163285</c:v>
                </c:pt>
                <c:pt idx="208">
                  <c:v>184.68892909143128</c:v>
                </c:pt>
                <c:pt idx="209">
                  <c:v>181.96395626984005</c:v>
                </c:pt>
                <c:pt idx="210">
                  <c:v>179.2940024314681</c:v>
                </c:pt>
                <c:pt idx="211">
                  <c:v>176.67705517303096</c:v>
                </c:pt>
                <c:pt idx="212">
                  <c:v>174.11119928081908</c:v>
                </c:pt>
                <c:pt idx="213">
                  <c:v>171.59461089573753</c:v>
                </c:pt>
                <c:pt idx="214">
                  <c:v>169.12555209749974</c:v>
                </c:pt>
                <c:pt idx="215">
                  <c:v>166.70236587321688</c:v>
                </c:pt>
                <c:pt idx="216">
                  <c:v>164.32347143889669</c:v>
                </c:pt>
                <c:pt idx="217">
                  <c:v>161.98735988529523</c:v>
                </c:pt>
                <c:pt idx="218">
                  <c:v>159.69259012218933</c:v>
                </c:pt>
                <c:pt idx="219">
                  <c:v>157.43778509749635</c:v>
                </c:pt>
                <c:pt idx="220">
                  <c:v>155.22162826978442</c:v>
                </c:pt>
                <c:pt idx="221">
                  <c:v>153.04286031462522</c:v>
                </c:pt>
                <c:pt idx="222">
                  <c:v>150.90027604695754</c:v>
                </c:pt>
                <c:pt idx="223">
                  <c:v>148.79272154318258</c:v>
                </c:pt>
                <c:pt idx="224">
                  <c:v>146.71909144811048</c:v>
                </c:pt>
                <c:pt idx="225">
                  <c:v>144.67832645314573</c:v>
                </c:pt>
                <c:pt idx="226">
                  <c:v>142.66941093324652</c:v>
                </c:pt>
                <c:pt idx="227">
                  <c:v>140.69137073123179</c:v>
                </c:pt>
                <c:pt idx="228">
                  <c:v>138.7432710789553</c:v>
                </c:pt>
                <c:pt idx="229">
                  <c:v>136.82421464572286</c:v>
                </c:pt>
                <c:pt idx="230">
                  <c:v>134.93333970510949</c:v>
                </c:pt>
                <c:pt idx="231">
                  <c:v>133.06981841204376</c:v>
                </c:pt>
                <c:pt idx="232">
                  <c:v>131.23285518267485</c:v>
                </c:pt>
                <c:pt idx="233">
                  <c:v>129.42168517012871</c:v>
                </c:pt>
                <c:pt idx="234">
                  <c:v>127.63557282979984</c:v>
                </c:pt>
                <c:pt idx="235">
                  <c:v>125.87381056832068</c:v>
                </c:pt>
                <c:pt idx="236">
                  <c:v>124.13571747080127</c:v>
                </c:pt>
                <c:pt idx="237">
                  <c:v>122.42063810134859</c:v>
                </c:pt>
                <c:pt idx="238">
                  <c:v>120.72794137225463</c:v>
                </c:pt>
                <c:pt idx="239">
                  <c:v>119.05701947759277</c:v>
                </c:pt>
                <c:pt idx="240">
                  <c:v>117.40728688728412</c:v>
                </c:pt>
                <c:pt idx="241">
                  <c:v>115.77817939799156</c:v>
                </c:pt>
                <c:pt idx="242">
                  <c:v>114.16915323747386</c:v>
                </c:pt>
                <c:pt idx="243">
                  <c:v>112.57968421928392</c:v>
                </c:pt>
                <c:pt idx="244">
                  <c:v>111.00926694493</c:v>
                </c:pt>
                <c:pt idx="245">
                  <c:v>109.45741405083504</c:v>
                </c:pt>
                <c:pt idx="246">
                  <c:v>107.92365549763036</c:v>
                </c:pt>
                <c:pt idx="247">
                  <c:v>106.4075378995074</c:v>
                </c:pt>
                <c:pt idx="248">
                  <c:v>104.9086238915248</c:v>
                </c:pt>
                <c:pt idx="249">
                  <c:v>103.42649153293173</c:v>
                </c:pt>
                <c:pt idx="250">
                  <c:v>101.96073374471996</c:v>
                </c:pt>
                <c:pt idx="251">
                  <c:v>100.51095777976033</c:v>
                </c:pt>
                <c:pt idx="252">
                  <c:v>99.076784724014317</c:v>
                </c:pt>
                <c:pt idx="253">
                  <c:v>97.657849027437067</c:v>
                </c:pt>
                <c:pt idx="254">
                  <c:v>96.253798063310427</c:v>
                </c:pt>
                <c:pt idx="255">
                  <c:v>94.864291714857004</c:v>
                </c:pt>
                <c:pt idx="256">
                  <c:v>93.489001988096888</c:v>
                </c:pt>
                <c:pt idx="257">
                  <c:v>92.127612650012551</c:v>
                </c:pt>
                <c:pt idx="258">
                  <c:v>90.779818891188782</c:v>
                </c:pt>
                <c:pt idx="259">
                  <c:v>89.445327012192166</c:v>
                </c:pt>
                <c:pt idx="260">
                  <c:v>88.123854133049662</c:v>
                </c:pt>
                <c:pt idx="261">
                  <c:v>86.815127925279427</c:v>
                </c:pt>
                <c:pt idx="262">
                  <c:v>85.518886366018705</c:v>
                </c:pt>
                <c:pt idx="263">
                  <c:v>84.23487751388501</c:v>
                </c:pt>
                <c:pt idx="264">
                  <c:v>82.96285930629783</c:v>
                </c:pt>
                <c:pt idx="265">
                  <c:v>81.702599378079668</c:v>
                </c:pt>
                <c:pt idx="266">
                  <c:v>80.453874901248142</c:v>
                </c:pt>
                <c:pt idx="267">
                  <c:v>79.216472446004573</c:v>
                </c:pt>
                <c:pt idx="268">
                  <c:v>77.990187863022186</c:v>
                </c:pt>
                <c:pt idx="269">
                  <c:v>76.774826187235959</c:v>
                </c:pt>
                <c:pt idx="270">
                  <c:v>75.570201563440222</c:v>
                </c:pt>
                <c:pt idx="271">
                  <c:v>74.376137194107883</c:v>
                </c:pt>
                <c:pt idx="272">
                  <c:v>73.192465309958351</c:v>
                </c:pt>
                <c:pt idx="273">
                  <c:v>72.019027163920626</c:v>
                </c:pt>
                <c:pt idx="274">
                  <c:v>70.855673049264198</c:v>
                </c:pt>
                <c:pt idx="275">
                  <c:v>69.702262342804019</c:v>
                </c:pt>
                <c:pt idx="276">
                  <c:v>68.558663574228916</c:v>
                </c:pt>
                <c:pt idx="277">
                  <c:v>67.424754522754625</c:v>
                </c:pt>
                <c:pt idx="278">
                  <c:v>66.300422342466064</c:v>
                </c:pt>
                <c:pt idx="279">
                  <c:v>65.18556371788759</c:v>
                </c:pt>
                <c:pt idx="280">
                  <c:v>64.080085051507922</c:v>
                </c:pt>
                <c:pt idx="281">
                  <c:v>62.983902685187068</c:v>
                </c:pt>
                <c:pt idx="282">
                  <c:v>61.8969431575889</c:v>
                </c:pt>
                <c:pt idx="283">
                  <c:v>60.819143500014434</c:v>
                </c:pt>
                <c:pt idx="284">
                  <c:v>59.750451573259184</c:v>
                </c:pt>
                <c:pt idx="285">
                  <c:v>58.690826448383191</c:v>
                </c:pt>
                <c:pt idx="286">
                  <c:v>57.640238834565572</c:v>
                </c:pt>
                <c:pt idx="287">
                  <c:v>56.598671557515608</c:v>
                </c:pt>
                <c:pt idx="288">
                  <c:v>55.566120092230655</c:v>
                </c:pt>
                <c:pt idx="289">
                  <c:v>54.542593154224505</c:v>
                </c:pt>
                <c:pt idx="290">
                  <c:v>53.52811335369767</c:v>
                </c:pt>
                <c:pt idx="291">
                  <c:v>52.522717917479675</c:v>
                </c:pt>
                <c:pt idx="292">
                  <c:v>51.526459483937508</c:v>
                </c:pt>
                <c:pt idx="293">
                  <c:v>50.539406976408017</c:v>
                </c:pt>
                <c:pt idx="294">
                  <c:v>49.561646561065153</c:v>
                </c:pt>
                <c:pt idx="295">
                  <c:v>48.593282695463245</c:v>
                </c:pt>
                <c:pt idx="296">
                  <c:v>47.634439274288063</c:v>
                </c:pt>
                <c:pt idx="297">
                  <c:v>46.685260879076296</c:v>
                </c:pt>
                <c:pt idx="298">
                  <c:v>45.745914138802746</c:v>
                </c:pt>
                <c:pt idx="299">
                  <c:v>44.816589208246484</c:v>
                </c:pt>
                <c:pt idx="300">
                  <c:v>43.897501370886324</c:v>
                </c:pt>
                <c:pt idx="301">
                  <c:v>42.988892772683222</c:v>
                </c:pt>
                <c:pt idx="302">
                  <c:v>42.091034292410207</c:v>
                </c:pt>
                <c:pt idx="303">
                  <c:v>41.204227553098526</c:v>
                </c:pt>
                <c:pt idx="304">
                  <c:v>40.328807077571057</c:v>
                </c:pt>
                <c:pt idx="305">
                  <c:v>39.465142588796184</c:v>
                </c:pt>
                <c:pt idx="306">
                  <c:v>38.613641452755601</c:v>
                </c:pt>
                <c:pt idx="307">
                  <c:v>37.774751257486528</c:v>
                </c:pt>
                <c:pt idx="308">
                  <c:v>36.948962516709877</c:v>
                </c:pt>
                <c:pt idx="309">
                  <c:v>36.136811479735385</c:v>
                </c:pt>
                <c:pt idx="310">
                  <c:v>35.338883020859022</c:v>
                </c:pt>
                <c:pt idx="311">
                  <c:v>34.555813570930603</c:v>
                </c:pt>
                <c:pt idx="312">
                  <c:v>33.788294040855398</c:v>
                </c:pt>
                <c:pt idx="313">
                  <c:v>33.037072671203582</c:v>
                </c:pt>
                <c:pt idx="314">
                  <c:v>32.302957723583667</c:v>
                </c:pt>
                <c:pt idx="315">
                  <c:v>31.586819907844443</c:v>
                </c:pt>
                <c:pt idx="316">
                  <c:v>30.889594414527821</c:v>
                </c:pt>
                <c:pt idx="317">
                  <c:v>30.212282394597977</c:v>
                </c:pt>
                <c:pt idx="318">
                  <c:v>29.555951699002375</c:v>
                </c:pt>
                <c:pt idx="319">
                  <c:v>28.921736660292407</c:v>
                </c:pt>
                <c:pt idx="320">
                  <c:v>28.310836669246477</c:v>
                </c:pt>
                <c:pt idx="321">
                  <c:v>27.724513273937923</c:v>
                </c:pt>
                <c:pt idx="322">
                  <c:v>27.164085510671619</c:v>
                </c:pt>
                <c:pt idx="323">
                  <c:v>26.630923170367055</c:v>
                </c:pt>
                <c:pt idx="324">
                  <c:v>26.126437715866025</c:v>
                </c:pt>
                <c:pt idx="325">
                  <c:v>25.652070601420185</c:v>
                </c:pt>
                <c:pt idx="326">
                  <c:v>25.209278811337537</c:v>
                </c:pt>
                <c:pt idx="327">
                  <c:v>24.799517535483908</c:v>
                </c:pt>
                <c:pt idx="328">
                  <c:v>24.424220037779399</c:v>
                </c:pt>
                <c:pt idx="329">
                  <c:v>24.084774948895323</c:v>
                </c:pt>
                <c:pt idx="330">
                  <c:v>23.782501419586175</c:v>
                </c:pt>
                <c:pt idx="331">
                  <c:v>23.518622793537375</c:v>
                </c:pt>
                <c:pt idx="332">
                  <c:v>23.294239678567212</c:v>
                </c:pt>
                <c:pt idx="333">
                  <c:v>23.110303487086743</c:v>
                </c:pt>
                <c:pt idx="334">
                  <c:v>22.967591652494715</c:v>
                </c:pt>
                <c:pt idx="335">
                  <c:v>22.866685780539758</c:v>
                </c:pt>
                <c:pt idx="336">
                  <c:v>22.807953943032299</c:v>
                </c:pt>
                <c:pt idx="337">
                  <c:v>22.791538156754594</c:v>
                </c:pt>
                <c:pt idx="338">
                  <c:v>22.81734781951582</c:v>
                </c:pt>
                <c:pt idx="339">
                  <c:v>22.88505952087041</c:v>
                </c:pt>
                <c:pt idx="340">
                  <c:v>22.994123243710263</c:v>
                </c:pt>
                <c:pt idx="341">
                  <c:v>23.143774569493999</c:v>
                </c:pt>
                <c:pt idx="342">
                  <c:v>23.333052139436592</c:v>
                </c:pt>
                <c:pt idx="343">
                  <c:v>23.560819344314133</c:v>
                </c:pt>
                <c:pt idx="344">
                  <c:v>23.825789041023473</c:v>
                </c:pt>
                <c:pt idx="345">
                  <c:v>24.126550032793233</c:v>
                </c:pt>
                <c:pt idx="346">
                  <c:v>24.461594094414998</c:v>
                </c:pt>
                <c:pt idx="347">
                  <c:v>24.829342454290984</c:v>
                </c:pt>
                <c:pt idx="348">
                  <c:v>25.228170834612683</c:v>
                </c:pt>
                <c:pt idx="349">
                  <c:v>25.656432370963106</c:v>
                </c:pt>
                <c:pt idx="350">
                  <c:v>26.112477957105302</c:v>
                </c:pt>
                <c:pt idx="351">
                  <c:v>26.594673769261021</c:v>
                </c:pt>
                <c:pt idx="352">
                  <c:v>27.10141590314597</c:v>
                </c:pt>
                <c:pt idx="353">
                  <c:v>27.631142199369741</c:v>
                </c:pt>
                <c:pt idx="354">
                  <c:v>28.1823414370126</c:v>
                </c:pt>
                <c:pt idx="355">
                  <c:v>28.753560143755184</c:v>
                </c:pt>
                <c:pt idx="356">
                  <c:v>29.343407308823473</c:v>
                </c:pt>
                <c:pt idx="357">
                  <c:v>29.950557298313807</c:v>
                </c:pt>
                <c:pt idx="358">
                  <c:v>30.573751267404539</c:v>
                </c:pt>
                <c:pt idx="359">
                  <c:v>31.211797346240434</c:v>
                </c:pt>
                <c:pt idx="360">
                  <c:v>31.863569850713155</c:v>
                </c:pt>
                <c:pt idx="361">
                  <c:v>32.528007739773088</c:v>
                </c:pt>
                <c:pt idx="362">
                  <c:v>33.204112510134074</c:v>
                </c:pt>
                <c:pt idx="363">
                  <c:v>33.890945689251438</c:v>
                </c:pt>
                <c:pt idx="364">
                  <c:v>34.587626059534529</c:v>
                </c:pt>
                <c:pt idx="365">
                  <c:v>35.293326721616651</c:v>
                </c:pt>
                <c:pt idx="366">
                  <c:v>36.007272082464283</c:v>
                </c:pt>
                <c:pt idx="367">
                  <c:v>36.728734835199752</c:v>
                </c:pt>
                <c:pt idx="368">
                  <c:v>37.457032981591233</c:v>
                </c:pt>
                <c:pt idx="369">
                  <c:v>38.191526934979741</c:v>
                </c:pt>
                <c:pt idx="370">
                  <c:v>38.931616730658455</c:v>
                </c:pt>
                <c:pt idx="371">
                  <c:v>39.676739362074926</c:v>
                </c:pt>
                <c:pt idx="372">
                  <c:v>40.426366254377193</c:v>
                </c:pt>
                <c:pt idx="373">
                  <c:v>41.180000881480204</c:v>
                </c:pt>
                <c:pt idx="374">
                  <c:v>41.937176528727861</c:v>
                </c:pt>
                <c:pt idx="375">
                  <c:v>42.697454200138765</c:v>
                </c:pt>
                <c:pt idx="376">
                  <c:v>43.46042066695609</c:v>
                </c:pt>
                <c:pt idx="377">
                  <c:v>44.225686652606178</c:v>
                </c:pt>
                <c:pt idx="378">
                  <c:v>44.992885148070528</c:v>
                </c:pt>
                <c:pt idx="379">
                  <c:v>45.761669850976759</c:v>
                </c:pt>
                <c:pt idx="380">
                  <c:v>46.53171372132465</c:v>
                </c:pt>
                <c:pt idx="381">
                  <c:v>47.302707646607999</c:v>
                </c:pt>
                <c:pt idx="382">
                  <c:v>48.074359209112522</c:v>
                </c:pt>
                <c:pt idx="383">
                  <c:v>48.846391548317015</c:v>
                </c:pt>
                <c:pt idx="384">
                  <c:v>49.61854231156196</c:v>
                </c:pt>
                <c:pt idx="385">
                  <c:v>50.390562686448334</c:v>
                </c:pt>
                <c:pt idx="386">
                  <c:v>51.162216508766186</c:v>
                </c:pt>
                <c:pt idx="387">
                  <c:v>51.933279440111917</c:v>
                </c:pt>
                <c:pt idx="388">
                  <c:v>52.703538209720925</c:v>
                </c:pt>
                <c:pt idx="389">
                  <c:v>53.472789915409791</c:v>
                </c:pt>
                <c:pt idx="390">
                  <c:v>54.24084137888255</c:v>
                </c:pt>
                <c:pt idx="391">
                  <c:v>55.007508551003284</c:v>
                </c:pt>
                <c:pt idx="392">
                  <c:v>55.772615962969986</c:v>
                </c:pt>
                <c:pt idx="393">
                  <c:v>56.535996219639706</c:v>
                </c:pt>
                <c:pt idx="394">
                  <c:v>57.297489531551484</c:v>
                </c:pt>
                <c:pt idx="395">
                  <c:v>58.056943282470804</c:v>
                </c:pt>
                <c:pt idx="396">
                  <c:v>58.814211629537958</c:v>
                </c:pt>
                <c:pt idx="397">
                  <c:v>59.569155133342228</c:v>
                </c:pt>
                <c:pt idx="398">
                  <c:v>60.321640415465765</c:v>
                </c:pt>
                <c:pt idx="399">
                  <c:v>61.07153984124551</c:v>
                </c:pt>
                <c:pt idx="400">
                  <c:v>61.818731225690264</c:v>
                </c:pt>
                <c:pt idx="401">
                  <c:v>62.563097560662889</c:v>
                </c:pt>
                <c:pt idx="402">
                  <c:v>63.304526761596826</c:v>
                </c:pt>
                <c:pt idx="403">
                  <c:v>64.042911432161929</c:v>
                </c:pt>
                <c:pt idx="404">
                  <c:v>64.778148645427876</c:v>
                </c:pt>
                <c:pt idx="405">
                  <c:v>65.510139740196138</c:v>
                </c:pt>
                <c:pt idx="406">
                  <c:v>66.238790131282485</c:v>
                </c:pt>
                <c:pt idx="407">
                  <c:v>66.96400913263524</c:v>
                </c:pt>
                <c:pt idx="408">
                  <c:v>67.685709792267019</c:v>
                </c:pt>
                <c:pt idx="409">
                  <c:v>68.403808738063688</c:v>
                </c:pt>
                <c:pt idx="410">
                  <c:v>69.11822603361199</c:v>
                </c:pt>
                <c:pt idx="411">
                  <c:v>69.828885043258822</c:v>
                </c:pt>
                <c:pt idx="412">
                  <c:v>70.535712305680235</c:v>
                </c:pt>
                <c:pt idx="413">
                  <c:v>71.238637415297589</c:v>
                </c:pt>
                <c:pt idx="414">
                  <c:v>71.937592910933176</c:v>
                </c:pt>
                <c:pt idx="415">
                  <c:v>72.632514171146909</c:v>
                </c:pt>
                <c:pt idx="416">
                  <c:v>73.323339315741762</c:v>
                </c:pt>
                <c:pt idx="417">
                  <c:v>74.010009112966543</c:v>
                </c:pt>
                <c:pt idx="418">
                  <c:v>74.692466891983514</c:v>
                </c:pt>
                <c:pt idx="419">
                  <c:v>75.370658460202677</c:v>
                </c:pt>
                <c:pt idx="420">
                  <c:v>76.044532025116766</c:v>
                </c:pt>
                <c:pt idx="421">
                  <c:v>76.714038120300046</c:v>
                </c:pt>
                <c:pt idx="422">
                  <c:v>77.379129535261086</c:v>
                </c:pt>
                <c:pt idx="423">
                  <c:v>78.039761248864224</c:v>
                </c:pt>
                <c:pt idx="424">
                  <c:v>78.695890366056702</c:v>
                </c:pt>
                <c:pt idx="425">
                  <c:v>79.347476057659492</c:v>
                </c:pt>
                <c:pt idx="426">
                  <c:v>79.994479502998871</c:v>
                </c:pt>
                <c:pt idx="427">
                  <c:v>80.636863835172804</c:v>
                </c:pt>
                <c:pt idx="428">
                  <c:v>81.274594088762896</c:v>
                </c:pt>
                <c:pt idx="429">
                  <c:v>81.907637149816679</c:v>
                </c:pt>
                <c:pt idx="430">
                  <c:v>82.535961707939364</c:v>
                </c:pt>
                <c:pt idx="431">
                  <c:v>83.1595382103459</c:v>
                </c:pt>
                <c:pt idx="432">
                  <c:v>83.778338817736227</c:v>
                </c:pt>
                <c:pt idx="433">
                  <c:v>84.392337361866922</c:v>
                </c:pt>
                <c:pt idx="434">
                  <c:v>85.001509304702239</c:v>
                </c:pt>
                <c:pt idx="435">
                  <c:v>85.6058316990366</c:v>
                </c:pt>
                <c:pt idx="436">
                  <c:v>86.205283150488597</c:v>
                </c:pt>
                <c:pt idx="437">
                  <c:v>86.799843780774765</c:v>
                </c:pt>
                <c:pt idx="438">
                  <c:v>87.389495192177762</c:v>
                </c:pt>
                <c:pt idx="439">
                  <c:v>87.974220433130526</c:v>
                </c:pt>
                <c:pt idx="440">
                  <c:v>88.554003964844014</c:v>
                </c:pt>
                <c:pt idx="441">
                  <c:v>89.128831628911399</c:v>
                </c:pt>
                <c:pt idx="442">
                  <c:v>89.698690615826862</c:v>
                </c:pt>
                <c:pt idx="443">
                  <c:v>90.263569434361955</c:v>
                </c:pt>
                <c:pt idx="444">
                  <c:v>90.823457881746862</c:v>
                </c:pt>
                <c:pt idx="445">
                  <c:v>91.378347014607627</c:v>
                </c:pt>
                <c:pt idx="446">
                  <c:v>91.928229120614816</c:v>
                </c:pt>
                <c:pt idx="447">
                  <c:v>92.473097690801723</c:v>
                </c:pt>
                <c:pt idx="448">
                  <c:v>93.012947392514107</c:v>
                </c:pt>
                <c:pt idx="449">
                  <c:v>93.54777404295632</c:v>
                </c:pt>
                <c:pt idx="450">
                  <c:v>94.077574583300759</c:v>
                </c:pt>
                <c:pt idx="451">
                  <c:v>94.602347053331329</c:v>
                </c:pt>
                <c:pt idx="452">
                  <c:v>95.12209056659259</c:v>
                </c:pt>
                <c:pt idx="453">
                  <c:v>95.636805286019765</c:v>
                </c:pt>
                <c:pt idx="454">
                  <c:v>96.146492400025565</c:v>
                </c:pt>
                <c:pt idx="455">
                  <c:v>96.651154099022662</c:v>
                </c:pt>
                <c:pt idx="456">
                  <c:v>97.150793552361719</c:v>
                </c:pt>
                <c:pt idx="457">
                  <c:v>97.645414885666867</c:v>
                </c:pt>
                <c:pt idx="458">
                  <c:v>98.135023158551746</c:v>
                </c:pt>
                <c:pt idx="459">
                  <c:v>98.619624342700533</c:v>
                </c:pt>
                <c:pt idx="460">
                  <c:v>99.099225300300247</c:v>
                </c:pt>
                <c:pt idx="461">
                  <c:v>99.573833762810949</c:v>
                </c:pt>
                <c:pt idx="462">
                  <c:v>100.04345831006189</c:v>
                </c:pt>
                <c:pt idx="463">
                  <c:v>100.50810834966309</c:v>
                </c:pt>
                <c:pt idx="464">
                  <c:v>100.96779409672199</c:v>
                </c:pt>
                <c:pt idx="465">
                  <c:v>101.42252655385614</c:v>
                </c:pt>
                <c:pt idx="466">
                  <c:v>101.87231749149377</c:v>
                </c:pt>
                <c:pt idx="467">
                  <c:v>102.31717942845403</c:v>
                </c:pt>
                <c:pt idx="468">
                  <c:v>102.75712561280079</c:v>
                </c:pt>
                <c:pt idx="469">
                  <c:v>103.19217000296283</c:v>
                </c:pt>
                <c:pt idx="470">
                  <c:v>103.6223272491151</c:v>
                </c:pt>
                <c:pt idx="471">
                  <c:v>104.0476126748156</c:v>
                </c:pt>
                <c:pt idx="472">
                  <c:v>104.46804225889305</c:v>
                </c:pt>
                <c:pt idx="473">
                  <c:v>104.8836326175811</c:v>
                </c:pt>
                <c:pt idx="474">
                  <c:v>105.29440098689496</c:v>
                </c:pt>
                <c:pt idx="475">
                  <c:v>105.70036520524694</c:v>
                </c:pt>
                <c:pt idx="476">
                  <c:v>106.10154369629745</c:v>
                </c:pt>
                <c:pt idx="477">
                  <c:v>106.49795545203884</c:v>
                </c:pt>
                <c:pt idx="478">
                  <c:v>106.88962001610869</c:v>
                </c:pt>
                <c:pt idx="479">
                  <c:v>107.27655746733102</c:v>
                </c:pt>
                <c:pt idx="480">
                  <c:v>107.65878840348219</c:v>
                </c:pt>
                <c:pt idx="481">
                  <c:v>108.03633392528025</c:v>
                </c:pt>
                <c:pt idx="482">
                  <c:v>108.40921562059532</c:v>
                </c:pt>
                <c:pt idx="483">
                  <c:v>108.77745554887971</c:v>
                </c:pt>
                <c:pt idx="484">
                  <c:v>109.14107622581588</c:v>
                </c:pt>
                <c:pt idx="485">
                  <c:v>109.50010060818097</c:v>
                </c:pt>
                <c:pt idx="486">
                  <c:v>109.85455207892669</c:v>
                </c:pt>
                <c:pt idx="487">
                  <c:v>110.2044544324731</c:v>
                </c:pt>
                <c:pt idx="488">
                  <c:v>110.54983186021536</c:v>
                </c:pt>
                <c:pt idx="489">
                  <c:v>110.89070893624223</c:v>
                </c:pt>
                <c:pt idx="490">
                  <c:v>111.22711060326542</c:v>
                </c:pt>
                <c:pt idx="491">
                  <c:v>111.55906215875878</c:v>
                </c:pt>
                <c:pt idx="492">
                  <c:v>111.88658924130657</c:v>
                </c:pt>
                <c:pt idx="493">
                  <c:v>112.20971781715954</c:v>
                </c:pt>
                <c:pt idx="494">
                  <c:v>112.52847416699859</c:v>
                </c:pt>
                <c:pt idx="495">
                  <c:v>112.84288487290456</c:v>
                </c:pt>
                <c:pt idx="496">
                  <c:v>113.15297680553374</c:v>
                </c:pt>
                <c:pt idx="497">
                  <c:v>113.45877711149815</c:v>
                </c:pt>
                <c:pt idx="498">
                  <c:v>113.76031320094974</c:v>
                </c:pt>
                <c:pt idx="499">
                  <c:v>114.05761273536777</c:v>
                </c:pt>
                <c:pt idx="500">
                  <c:v>114.35070361554854</c:v>
                </c:pt>
                <c:pt idx="501">
                  <c:v>114.63961396979654</c:v>
                </c:pt>
                <c:pt idx="502">
                  <c:v>114.92437214231629</c:v>
                </c:pt>
                <c:pt idx="503">
                  <c:v>115.20500668180394</c:v>
                </c:pt>
                <c:pt idx="504">
                  <c:v>115.48154633023772</c:v>
                </c:pt>
                <c:pt idx="505">
                  <c:v>115.7540200118663</c:v>
                </c:pt>
                <c:pt idx="506">
                  <c:v>116.02245682239422</c:v>
                </c:pt>
                <c:pt idx="507">
                  <c:v>116.28688601836328</c:v>
                </c:pt>
                <c:pt idx="508">
                  <c:v>116.54733700672892</c:v>
                </c:pt>
                <c:pt idx="509">
                  <c:v>116.80383933463065</c:v>
                </c:pt>
                <c:pt idx="510">
                  <c:v>117.05642267935528</c:v>
                </c:pt>
                <c:pt idx="511">
                  <c:v>117.30511683849198</c:v>
                </c:pt>
                <c:pt idx="512">
                  <c:v>117.54995172027797</c:v>
                </c:pt>
                <c:pt idx="513">
                  <c:v>117.79095733413372</c:v>
                </c:pt>
                <c:pt idx="514">
                  <c:v>118.02816378138621</c:v>
                </c:pt>
                <c:pt idx="515">
                  <c:v>118.2616012461795</c:v>
                </c:pt>
                <c:pt idx="516">
                  <c:v>118.49129998657062</c:v>
                </c:pt>
                <c:pt idx="517">
                  <c:v>118.71729032581031</c:v>
                </c:pt>
                <c:pt idx="518">
                  <c:v>118.93960264380624</c:v>
                </c:pt>
                <c:pt idx="519">
                  <c:v>119.15826736876834</c:v>
                </c:pt>
                <c:pt idx="520">
                  <c:v>119.3733149690341</c:v>
                </c:pt>
                <c:pt idx="521">
                  <c:v>119.58477594507259</c:v>
                </c:pt>
                <c:pt idx="522">
                  <c:v>119.79268082166588</c:v>
                </c:pt>
                <c:pt idx="523">
                  <c:v>119.99706014026602</c:v>
                </c:pt>
                <c:pt idx="524">
                  <c:v>120.19794445152623</c:v>
                </c:pt>
                <c:pt idx="525">
                  <c:v>120.39536430800472</c:v>
                </c:pt>
                <c:pt idx="526">
                  <c:v>120.39555826105894</c:v>
                </c:pt>
                <c:pt idx="527">
                  <c:v>120.39575221071759</c:v>
                </c:pt>
                <c:pt idx="528">
                  <c:v>120.39594615698067</c:v>
                </c:pt>
                <c:pt idx="529">
                  <c:v>120.39614009984825</c:v>
                </c:pt>
                <c:pt idx="530">
                  <c:v>120.39633403932035</c:v>
                </c:pt>
                <c:pt idx="531">
                  <c:v>120.39652797539698</c:v>
                </c:pt>
                <c:pt idx="532">
                  <c:v>120.39672190807818</c:v>
                </c:pt>
                <c:pt idx="533">
                  <c:v>120.39691583736398</c:v>
                </c:pt>
                <c:pt idx="534">
                  <c:v>120.39710976325441</c:v>
                </c:pt>
                <c:pt idx="535">
                  <c:v>120.39730368574951</c:v>
                </c:pt>
                <c:pt idx="536">
                  <c:v>120.39749760484929</c:v>
                </c:pt>
                <c:pt idx="537">
                  <c:v>120.39769152055381</c:v>
                </c:pt>
                <c:pt idx="538">
                  <c:v>120.39788543286306</c:v>
                </c:pt>
                <c:pt idx="539">
                  <c:v>120.39807934177712</c:v>
                </c:pt>
                <c:pt idx="540">
                  <c:v>120.39827324729599</c:v>
                </c:pt>
                <c:pt idx="541">
                  <c:v>120.39846714941969</c:v>
                </c:pt>
                <c:pt idx="542">
                  <c:v>120.39866104814827</c:v>
                </c:pt>
                <c:pt idx="543">
                  <c:v>120.39885494348175</c:v>
                </c:pt>
                <c:pt idx="544">
                  <c:v>120.39904883542016</c:v>
                </c:pt>
                <c:pt idx="545">
                  <c:v>120.39924272396355</c:v>
                </c:pt>
                <c:pt idx="546">
                  <c:v>120.3994366091119</c:v>
                </c:pt>
                <c:pt idx="547">
                  <c:v>120.39963049086529</c:v>
                </c:pt>
                <c:pt idx="548">
                  <c:v>120.39982436922375</c:v>
                </c:pt>
                <c:pt idx="549">
                  <c:v>120.40001824418728</c:v>
                </c:pt>
                <c:pt idx="550">
                  <c:v>120.40021211575592</c:v>
                </c:pt>
                <c:pt idx="551">
                  <c:v>120.4004059839297</c:v>
                </c:pt>
                <c:pt idx="552">
                  <c:v>120.40059984870867</c:v>
                </c:pt>
                <c:pt idx="553">
                  <c:v>120.40079371009284</c:v>
                </c:pt>
                <c:pt idx="554">
                  <c:v>120.40098756808224</c:v>
                </c:pt>
                <c:pt idx="555">
                  <c:v>120.40118142267691</c:v>
                </c:pt>
                <c:pt idx="556">
                  <c:v>120.40137527387688</c:v>
                </c:pt>
                <c:pt idx="557">
                  <c:v>120.40156912168217</c:v>
                </c:pt>
                <c:pt idx="558">
                  <c:v>120.40176296609282</c:v>
                </c:pt>
                <c:pt idx="559">
                  <c:v>120.40195680710886</c:v>
                </c:pt>
                <c:pt idx="560">
                  <c:v>120.40215064473031</c:v>
                </c:pt>
                <c:pt idx="561">
                  <c:v>120.4023444789572</c:v>
                </c:pt>
                <c:pt idx="562">
                  <c:v>120.40253830978959</c:v>
                </c:pt>
                <c:pt idx="563">
                  <c:v>120.40273213722747</c:v>
                </c:pt>
                <c:pt idx="564">
                  <c:v>120.40292596127088</c:v>
                </c:pt>
                <c:pt idx="565">
                  <c:v>120.40311978191987</c:v>
                </c:pt>
                <c:pt idx="566">
                  <c:v>120.40331359917445</c:v>
                </c:pt>
                <c:pt idx="567">
                  <c:v>120.40350741303466</c:v>
                </c:pt>
                <c:pt idx="568">
                  <c:v>120.40370122350053</c:v>
                </c:pt>
                <c:pt idx="569">
                  <c:v>120.40389503057209</c:v>
                </c:pt>
                <c:pt idx="570">
                  <c:v>120.40408883424936</c:v>
                </c:pt>
                <c:pt idx="571">
                  <c:v>120.40428263453239</c:v>
                </c:pt>
                <c:pt idx="572">
                  <c:v>120.4044764314212</c:v>
                </c:pt>
                <c:pt idx="573">
                  <c:v>120.40467022491579</c:v>
                </c:pt>
                <c:pt idx="574">
                  <c:v>120.40486401501624</c:v>
                </c:pt>
                <c:pt idx="575">
                  <c:v>120.40505780172255</c:v>
                </c:pt>
                <c:pt idx="576">
                  <c:v>120.40525158503478</c:v>
                </c:pt>
                <c:pt idx="577">
                  <c:v>120.40544536495291</c:v>
                </c:pt>
                <c:pt idx="578">
                  <c:v>120.40563914147701</c:v>
                </c:pt>
                <c:pt idx="579">
                  <c:v>120.40583291460709</c:v>
                </c:pt>
                <c:pt idx="580">
                  <c:v>120.40602668434322</c:v>
                </c:pt>
                <c:pt idx="581">
                  <c:v>120.40622045068537</c:v>
                </c:pt>
                <c:pt idx="582">
                  <c:v>120.40641421363361</c:v>
                </c:pt>
                <c:pt idx="583">
                  <c:v>120.40660797318796</c:v>
                </c:pt>
                <c:pt idx="584">
                  <c:v>120.40680172934844</c:v>
                </c:pt>
                <c:pt idx="585">
                  <c:v>120.40699548211512</c:v>
                </c:pt>
                <c:pt idx="586">
                  <c:v>120.40718923148798</c:v>
                </c:pt>
                <c:pt idx="587">
                  <c:v>120.40738297746708</c:v>
                </c:pt>
                <c:pt idx="588">
                  <c:v>120.40757672005245</c:v>
                </c:pt>
                <c:pt idx="589">
                  <c:v>120.40777045924409</c:v>
                </c:pt>
                <c:pt idx="590">
                  <c:v>120.40796419504207</c:v>
                </c:pt>
                <c:pt idx="591">
                  <c:v>120.4081579274464</c:v>
                </c:pt>
                <c:pt idx="592">
                  <c:v>120.40835165645709</c:v>
                </c:pt>
                <c:pt idx="593">
                  <c:v>120.40854538207421</c:v>
                </c:pt>
                <c:pt idx="594">
                  <c:v>120.40873910429777</c:v>
                </c:pt>
                <c:pt idx="595">
                  <c:v>120.4089328231278</c:v>
                </c:pt>
                <c:pt idx="596">
                  <c:v>120.40912653856435</c:v>
                </c:pt>
                <c:pt idx="597">
                  <c:v>120.40932025060742</c:v>
                </c:pt>
                <c:pt idx="598">
                  <c:v>120.40951395925704</c:v>
                </c:pt>
                <c:pt idx="599">
                  <c:v>120.40970766451325</c:v>
                </c:pt>
                <c:pt idx="600">
                  <c:v>120.4099013663761</c:v>
                </c:pt>
                <c:pt idx="601">
                  <c:v>120.41009506484561</c:v>
                </c:pt>
                <c:pt idx="602">
                  <c:v>120.41028875992178</c:v>
                </c:pt>
                <c:pt idx="603">
                  <c:v>120.41048245160468</c:v>
                </c:pt>
                <c:pt idx="604">
                  <c:v>120.41067613989431</c:v>
                </c:pt>
                <c:pt idx="605">
                  <c:v>120.41086982479074</c:v>
                </c:pt>
                <c:pt idx="606">
                  <c:v>120.41106350629394</c:v>
                </c:pt>
                <c:pt idx="607">
                  <c:v>120.41125718440399</c:v>
                </c:pt>
                <c:pt idx="608">
                  <c:v>120.41145085912092</c:v>
                </c:pt>
                <c:pt idx="609">
                  <c:v>120.41164453044472</c:v>
                </c:pt>
                <c:pt idx="610">
                  <c:v>120.41183819837546</c:v>
                </c:pt>
                <c:pt idx="611">
                  <c:v>120.41203186291315</c:v>
                </c:pt>
                <c:pt idx="612">
                  <c:v>120.41222552405783</c:v>
                </c:pt>
                <c:pt idx="613">
                  <c:v>120.41241918180953</c:v>
                </c:pt>
                <c:pt idx="614">
                  <c:v>120.41261283616825</c:v>
                </c:pt>
                <c:pt idx="615">
                  <c:v>120.41280648713408</c:v>
                </c:pt>
                <c:pt idx="616">
                  <c:v>120.41300013470699</c:v>
                </c:pt>
                <c:pt idx="617">
                  <c:v>120.41319377888703</c:v>
                </c:pt>
                <c:pt idx="618">
                  <c:v>120.41338741967425</c:v>
                </c:pt>
                <c:pt idx="619">
                  <c:v>120.41358105706868</c:v>
                </c:pt>
                <c:pt idx="620">
                  <c:v>120.41377469107033</c:v>
                </c:pt>
                <c:pt idx="621">
                  <c:v>120.41396832167922</c:v>
                </c:pt>
                <c:pt idx="622">
                  <c:v>120.41416194889543</c:v>
                </c:pt>
                <c:pt idx="623">
                  <c:v>120.41435557271892</c:v>
                </c:pt>
                <c:pt idx="624">
                  <c:v>120.41454919314978</c:v>
                </c:pt>
                <c:pt idx="625">
                  <c:v>120.414742810188</c:v>
                </c:pt>
                <c:pt idx="626">
                  <c:v>120.41493642383364</c:v>
                </c:pt>
                <c:pt idx="627">
                  <c:v>120.41513003408672</c:v>
                </c:pt>
                <c:pt idx="628">
                  <c:v>120.41532364094726</c:v>
                </c:pt>
                <c:pt idx="629">
                  <c:v>120.4155172444153</c:v>
                </c:pt>
                <c:pt idx="630">
                  <c:v>120.41571084449086</c:v>
                </c:pt>
                <c:pt idx="631">
                  <c:v>120.41590444117399</c:v>
                </c:pt>
                <c:pt idx="632">
                  <c:v>120.41609803446471</c:v>
                </c:pt>
                <c:pt idx="633">
                  <c:v>120.41629162436305</c:v>
                </c:pt>
                <c:pt idx="634">
                  <c:v>120.41648521086904</c:v>
                </c:pt>
                <c:pt idx="635">
                  <c:v>120.41667879398271</c:v>
                </c:pt>
                <c:pt idx="636">
                  <c:v>120.41687237370408</c:v>
                </c:pt>
                <c:pt idx="637">
                  <c:v>120.41706595003319</c:v>
                </c:pt>
                <c:pt idx="638">
                  <c:v>120.41725952297008</c:v>
                </c:pt>
                <c:pt idx="639">
                  <c:v>120.41745309251476</c:v>
                </c:pt>
                <c:pt idx="640">
                  <c:v>120.41764665866727</c:v>
                </c:pt>
                <c:pt idx="641">
                  <c:v>120.41784022142764</c:v>
                </c:pt>
                <c:pt idx="642">
                  <c:v>120.41803378079591</c:v>
                </c:pt>
                <c:pt idx="643">
                  <c:v>120.41822733677209</c:v>
                </c:pt>
                <c:pt idx="644">
                  <c:v>120.41842088935623</c:v>
                </c:pt>
                <c:pt idx="645">
                  <c:v>120.41861443854835</c:v>
                </c:pt>
                <c:pt idx="646">
                  <c:v>120.41880798434848</c:v>
                </c:pt>
                <c:pt idx="647">
                  <c:v>120.41900152675665</c:v>
                </c:pt>
                <c:pt idx="648">
                  <c:v>120.4191950657729</c:v>
                </c:pt>
                <c:pt idx="649">
                  <c:v>120.41938860139723</c:v>
                </c:pt>
                <c:pt idx="650">
                  <c:v>120.41958213362972</c:v>
                </c:pt>
                <c:pt idx="651">
                  <c:v>120.41977566247036</c:v>
                </c:pt>
                <c:pt idx="652">
                  <c:v>120.41996918791918</c:v>
                </c:pt>
                <c:pt idx="653">
                  <c:v>120.42016270997622</c:v>
                </c:pt>
                <c:pt idx="654">
                  <c:v>120.42035622864154</c:v>
                </c:pt>
                <c:pt idx="655">
                  <c:v>120.42054974391512</c:v>
                </c:pt>
                <c:pt idx="656">
                  <c:v>120.42074325579702</c:v>
                </c:pt>
                <c:pt idx="657">
                  <c:v>120.42093676428726</c:v>
                </c:pt>
                <c:pt idx="658">
                  <c:v>120.42113026938588</c:v>
                </c:pt>
                <c:pt idx="659">
                  <c:v>120.4213237710929</c:v>
                </c:pt>
                <c:pt idx="660">
                  <c:v>120.42151726940835</c:v>
                </c:pt>
                <c:pt idx="661">
                  <c:v>120.42171076433229</c:v>
                </c:pt>
                <c:pt idx="662">
                  <c:v>120.4219042558647</c:v>
                </c:pt>
                <c:pt idx="663">
                  <c:v>120.42209774400563</c:v>
                </c:pt>
                <c:pt idx="664">
                  <c:v>120.42229122875511</c:v>
                </c:pt>
                <c:pt idx="665">
                  <c:v>120.4224847101132</c:v>
                </c:pt>
                <c:pt idx="666">
                  <c:v>120.42267818807989</c:v>
                </c:pt>
                <c:pt idx="667">
                  <c:v>120.42287166265521</c:v>
                </c:pt>
                <c:pt idx="668">
                  <c:v>120.42306513383923</c:v>
                </c:pt>
                <c:pt idx="669">
                  <c:v>120.42325860163194</c:v>
                </c:pt>
                <c:pt idx="670">
                  <c:v>120.42345206603339</c:v>
                </c:pt>
                <c:pt idx="671">
                  <c:v>120.4236455270436</c:v>
                </c:pt>
                <c:pt idx="672">
                  <c:v>120.42383898466262</c:v>
                </c:pt>
                <c:pt idx="673">
                  <c:v>120.42403243889045</c:v>
                </c:pt>
                <c:pt idx="674">
                  <c:v>120.42422588972714</c:v>
                </c:pt>
                <c:pt idx="675">
                  <c:v>120.42441933717272</c:v>
                </c:pt>
                <c:pt idx="676">
                  <c:v>120.42461278122721</c:v>
                </c:pt>
                <c:pt idx="677">
                  <c:v>120.42480622189065</c:v>
                </c:pt>
                <c:pt idx="678">
                  <c:v>120.42499965916306</c:v>
                </c:pt>
                <c:pt idx="679">
                  <c:v>120.4251930930445</c:v>
                </c:pt>
                <c:pt idx="680">
                  <c:v>120.42538652353497</c:v>
                </c:pt>
                <c:pt idx="681">
                  <c:v>120.42557995063449</c:v>
                </c:pt>
                <c:pt idx="682">
                  <c:v>120.42577337434311</c:v>
                </c:pt>
                <c:pt idx="683">
                  <c:v>120.42596679466087</c:v>
                </c:pt>
                <c:pt idx="684">
                  <c:v>120.42616021158778</c:v>
                </c:pt>
                <c:pt idx="685">
                  <c:v>120.42635362512388</c:v>
                </c:pt>
                <c:pt idx="686">
                  <c:v>120.42654703526919</c:v>
                </c:pt>
                <c:pt idx="687">
                  <c:v>120.42674044202377</c:v>
                </c:pt>
                <c:pt idx="688">
                  <c:v>120.42693384538761</c:v>
                </c:pt>
                <c:pt idx="689">
                  <c:v>120.42712724536077</c:v>
                </c:pt>
                <c:pt idx="690">
                  <c:v>120.42732064194325</c:v>
                </c:pt>
                <c:pt idx="691">
                  <c:v>120.4275140351351</c:v>
                </c:pt>
                <c:pt idx="692">
                  <c:v>120.42770742493637</c:v>
                </c:pt>
                <c:pt idx="693">
                  <c:v>120.42790081134706</c:v>
                </c:pt>
                <c:pt idx="694">
                  <c:v>120.4280941943672</c:v>
                </c:pt>
                <c:pt idx="695">
                  <c:v>120.42828757399685</c:v>
                </c:pt>
                <c:pt idx="696">
                  <c:v>120.42848095023601</c:v>
                </c:pt>
                <c:pt idx="697">
                  <c:v>120.42867432308472</c:v>
                </c:pt>
                <c:pt idx="698">
                  <c:v>120.42886769254299</c:v>
                </c:pt>
                <c:pt idx="699">
                  <c:v>120.4290610586109</c:v>
                </c:pt>
                <c:pt idx="700">
                  <c:v>120.42925442128843</c:v>
                </c:pt>
                <c:pt idx="701">
                  <c:v>120.42944778057564</c:v>
                </c:pt>
                <c:pt idx="702">
                  <c:v>120.42964113647255</c:v>
                </c:pt>
                <c:pt idx="703">
                  <c:v>120.42983448897918</c:v>
                </c:pt>
                <c:pt idx="704">
                  <c:v>120.43002783809558</c:v>
                </c:pt>
                <c:pt idx="705">
                  <c:v>120.43022118382179</c:v>
                </c:pt>
                <c:pt idx="706">
                  <c:v>120.43041452615779</c:v>
                </c:pt>
                <c:pt idx="707">
                  <c:v>120.43060786510367</c:v>
                </c:pt>
                <c:pt idx="708">
                  <c:v>120.43080120065942</c:v>
                </c:pt>
                <c:pt idx="709">
                  <c:v>120.43099453282507</c:v>
                </c:pt>
                <c:pt idx="710">
                  <c:v>120.43118786160068</c:v>
                </c:pt>
                <c:pt idx="711">
                  <c:v>120.43138118698626</c:v>
                </c:pt>
                <c:pt idx="712">
                  <c:v>120.43157450898183</c:v>
                </c:pt>
                <c:pt idx="713">
                  <c:v>120.43176782758744</c:v>
                </c:pt>
                <c:pt idx="714">
                  <c:v>120.4319611428031</c:v>
                </c:pt>
                <c:pt idx="715">
                  <c:v>120.43215445462886</c:v>
                </c:pt>
                <c:pt idx="716">
                  <c:v>120.43234776306474</c:v>
                </c:pt>
                <c:pt idx="717">
                  <c:v>120.43254106811078</c:v>
                </c:pt>
                <c:pt idx="718">
                  <c:v>120.432734369767</c:v>
                </c:pt>
                <c:pt idx="719">
                  <c:v>120.43292766803346</c:v>
                </c:pt>
                <c:pt idx="720">
                  <c:v>120.43312096291014</c:v>
                </c:pt>
                <c:pt idx="721">
                  <c:v>120.43331425439709</c:v>
                </c:pt>
                <c:pt idx="722">
                  <c:v>120.43350754249435</c:v>
                </c:pt>
                <c:pt idx="723">
                  <c:v>120.43370082720195</c:v>
                </c:pt>
                <c:pt idx="724">
                  <c:v>120.43389410851991</c:v>
                </c:pt>
                <c:pt idx="725">
                  <c:v>120.43408738644825</c:v>
                </c:pt>
                <c:pt idx="726">
                  <c:v>120.43428066098703</c:v>
                </c:pt>
                <c:pt idx="727">
                  <c:v>120.43447393213627</c:v>
                </c:pt>
                <c:pt idx="728">
                  <c:v>120.43466719989598</c:v>
                </c:pt>
                <c:pt idx="729">
                  <c:v>120.43486046426621</c:v>
                </c:pt>
                <c:pt idx="730">
                  <c:v>120.43505372524699</c:v>
                </c:pt>
                <c:pt idx="731">
                  <c:v>120.43524698283835</c:v>
                </c:pt>
                <c:pt idx="732">
                  <c:v>120.43544023704031</c:v>
                </c:pt>
                <c:pt idx="733">
                  <c:v>120.43563348785293</c:v>
                </c:pt>
                <c:pt idx="734">
                  <c:v>120.43582673527618</c:v>
                </c:pt>
                <c:pt idx="735">
                  <c:v>120.43601997931015</c:v>
                </c:pt>
                <c:pt idx="736">
                  <c:v>120.43621321995482</c:v>
                </c:pt>
                <c:pt idx="737">
                  <c:v>120.43640645721028</c:v>
                </c:pt>
                <c:pt idx="738">
                  <c:v>120.43659969107651</c:v>
                </c:pt>
                <c:pt idx="739">
                  <c:v>120.43679292155356</c:v>
                </c:pt>
                <c:pt idx="740">
                  <c:v>120.43698614864145</c:v>
                </c:pt>
                <c:pt idx="741">
                  <c:v>120.43717937234024</c:v>
                </c:pt>
                <c:pt idx="742">
                  <c:v>120.43737259264991</c:v>
                </c:pt>
                <c:pt idx="743">
                  <c:v>120.43756580957053</c:v>
                </c:pt>
                <c:pt idx="744">
                  <c:v>120.43775902310212</c:v>
                </c:pt>
                <c:pt idx="745">
                  <c:v>120.4379522332447</c:v>
                </c:pt>
                <c:pt idx="746">
                  <c:v>120.43814543999832</c:v>
                </c:pt>
                <c:pt idx="747">
                  <c:v>120.438338643363</c:v>
                </c:pt>
                <c:pt idx="748">
                  <c:v>120.43853184333875</c:v>
                </c:pt>
                <c:pt idx="749">
                  <c:v>120.43872503992564</c:v>
                </c:pt>
                <c:pt idx="750">
                  <c:v>120.43891823312367</c:v>
                </c:pt>
                <c:pt idx="751">
                  <c:v>120.43911142293288</c:v>
                </c:pt>
                <c:pt idx="752">
                  <c:v>120.4393046093533</c:v>
                </c:pt>
                <c:pt idx="753">
                  <c:v>120.43949779238496</c:v>
                </c:pt>
                <c:pt idx="754">
                  <c:v>120.43969097202789</c:v>
                </c:pt>
                <c:pt idx="755">
                  <c:v>120.43988414828212</c:v>
                </c:pt>
                <c:pt idx="756">
                  <c:v>120.44007732114767</c:v>
                </c:pt>
                <c:pt idx="757">
                  <c:v>120.4402704906246</c:v>
                </c:pt>
                <c:pt idx="758">
                  <c:v>120.44046365671289</c:v>
                </c:pt>
                <c:pt idx="759">
                  <c:v>120.44065681941262</c:v>
                </c:pt>
                <c:pt idx="760">
                  <c:v>120.44084997872379</c:v>
                </c:pt>
                <c:pt idx="761">
                  <c:v>120.44104313464645</c:v>
                </c:pt>
                <c:pt idx="762">
                  <c:v>120.44123628718062</c:v>
                </c:pt>
                <c:pt idx="763">
                  <c:v>120.44142943632633</c:v>
                </c:pt>
                <c:pt idx="764">
                  <c:v>120.44162258208361</c:v>
                </c:pt>
                <c:pt idx="765">
                  <c:v>120.4418157244525</c:v>
                </c:pt>
                <c:pt idx="766">
                  <c:v>120.442008863433</c:v>
                </c:pt>
                <c:pt idx="767">
                  <c:v>120.44220199902519</c:v>
                </c:pt>
                <c:pt idx="768">
                  <c:v>120.44239513122905</c:v>
                </c:pt>
                <c:pt idx="769">
                  <c:v>120.44258826004464</c:v>
                </c:pt>
                <c:pt idx="770">
                  <c:v>120.44278138547199</c:v>
                </c:pt>
                <c:pt idx="771">
                  <c:v>120.44297450751111</c:v>
                </c:pt>
                <c:pt idx="772">
                  <c:v>120.44316762616205</c:v>
                </c:pt>
                <c:pt idx="773">
                  <c:v>120.44336074142484</c:v>
                </c:pt>
                <c:pt idx="774">
                  <c:v>120.44355385329951</c:v>
                </c:pt>
                <c:pt idx="775">
                  <c:v>120.44374696178608</c:v>
                </c:pt>
                <c:pt idx="776">
                  <c:v>120.44394006688456</c:v>
                </c:pt>
                <c:pt idx="777">
                  <c:v>120.44413316859502</c:v>
                </c:pt>
                <c:pt idx="778">
                  <c:v>120.44432626691749</c:v>
                </c:pt>
                <c:pt idx="779">
                  <c:v>120.44451936185196</c:v>
                </c:pt>
                <c:pt idx="780">
                  <c:v>120.44471245339848</c:v>
                </c:pt>
                <c:pt idx="781">
                  <c:v>120.44490554155711</c:v>
                </c:pt>
                <c:pt idx="782">
                  <c:v>120.44509862632783</c:v>
                </c:pt>
                <c:pt idx="783">
                  <c:v>120.44529170771069</c:v>
                </c:pt>
                <c:pt idx="784">
                  <c:v>120.44548478570576</c:v>
                </c:pt>
                <c:pt idx="785">
                  <c:v>120.44567786031301</c:v>
                </c:pt>
                <c:pt idx="786">
                  <c:v>120.4458709315325</c:v>
                </c:pt>
                <c:pt idx="787">
                  <c:v>120.44606399936426</c:v>
                </c:pt>
                <c:pt idx="788">
                  <c:v>120.4462570638083</c:v>
                </c:pt>
                <c:pt idx="789">
                  <c:v>120.44645012486468</c:v>
                </c:pt>
                <c:pt idx="790">
                  <c:v>120.44664318253341</c:v>
                </c:pt>
                <c:pt idx="791">
                  <c:v>120.44683623681452</c:v>
                </c:pt>
                <c:pt idx="792">
                  <c:v>120.44702928770806</c:v>
                </c:pt>
                <c:pt idx="793">
                  <c:v>120.44722233521404</c:v>
                </c:pt>
                <c:pt idx="794">
                  <c:v>120.4474153793325</c:v>
                </c:pt>
                <c:pt idx="795">
                  <c:v>120.44760842006346</c:v>
                </c:pt>
                <c:pt idx="796">
                  <c:v>120.44780145740694</c:v>
                </c:pt>
                <c:pt idx="797">
                  <c:v>120.44799449136302</c:v>
                </c:pt>
                <c:pt idx="798">
                  <c:v>120.44818752193167</c:v>
                </c:pt>
                <c:pt idx="799">
                  <c:v>120.44838054911297</c:v>
                </c:pt>
                <c:pt idx="800">
                  <c:v>120.44857357290692</c:v>
                </c:pt>
                <c:pt idx="801">
                  <c:v>120.44876659331356</c:v>
                </c:pt>
                <c:pt idx="802">
                  <c:v>120.44895961033292</c:v>
                </c:pt>
                <c:pt idx="803">
                  <c:v>120.44915262396502</c:v>
                </c:pt>
                <c:pt idx="804">
                  <c:v>120.44934563420991</c:v>
                </c:pt>
                <c:pt idx="805">
                  <c:v>120.44953864106759</c:v>
                </c:pt>
                <c:pt idx="806">
                  <c:v>120.44973164453812</c:v>
                </c:pt>
                <c:pt idx="807">
                  <c:v>120.44992464462152</c:v>
                </c:pt>
                <c:pt idx="808">
                  <c:v>120.4501176413178</c:v>
                </c:pt>
                <c:pt idx="809">
                  <c:v>120.45031063462702</c:v>
                </c:pt>
                <c:pt idx="810">
                  <c:v>120.45050362454919</c:v>
                </c:pt>
                <c:pt idx="811">
                  <c:v>120.45069661108437</c:v>
                </c:pt>
                <c:pt idx="812">
                  <c:v>120.45088959423256</c:v>
                </c:pt>
                <c:pt idx="813">
                  <c:v>120.4510825739938</c:v>
                </c:pt>
                <c:pt idx="814">
                  <c:v>120.45127555036812</c:v>
                </c:pt>
                <c:pt idx="815">
                  <c:v>120.45146852335556</c:v>
                </c:pt>
                <c:pt idx="816">
                  <c:v>120.45166149295612</c:v>
                </c:pt>
                <c:pt idx="817">
                  <c:v>120.45185445916987</c:v>
                </c:pt>
                <c:pt idx="818">
                  <c:v>120.4520474219968</c:v>
                </c:pt>
                <c:pt idx="819">
                  <c:v>120.45224038143698</c:v>
                </c:pt>
                <c:pt idx="820">
                  <c:v>120.4524333374904</c:v>
                </c:pt>
                <c:pt idx="821">
                  <c:v>120.45262629015714</c:v>
                </c:pt>
                <c:pt idx="822">
                  <c:v>120.45281923943719</c:v>
                </c:pt>
                <c:pt idx="823">
                  <c:v>120.45301218533058</c:v>
                </c:pt>
                <c:pt idx="824">
                  <c:v>120.45320512783735</c:v>
                </c:pt>
                <c:pt idx="825">
                  <c:v>120.45339806695755</c:v>
                </c:pt>
                <c:pt idx="826">
                  <c:v>120.45359100269118</c:v>
                </c:pt>
                <c:pt idx="827">
                  <c:v>120.45378393503827</c:v>
                </c:pt>
                <c:pt idx="828">
                  <c:v>120.45397686399889</c:v>
                </c:pt>
                <c:pt idx="829">
                  <c:v>120.45416978957303</c:v>
                </c:pt>
                <c:pt idx="830">
                  <c:v>120.45436271176072</c:v>
                </c:pt>
                <c:pt idx="831">
                  <c:v>120.45455563056203</c:v>
                </c:pt>
                <c:pt idx="832">
                  <c:v>120.45474854597694</c:v>
                </c:pt>
                <c:pt idx="833">
                  <c:v>120.45494145800552</c:v>
                </c:pt>
                <c:pt idx="834">
                  <c:v>120.45513436664777</c:v>
                </c:pt>
                <c:pt idx="835">
                  <c:v>120.45532727190373</c:v>
                </c:pt>
                <c:pt idx="836">
                  <c:v>120.45552017377344</c:v>
                </c:pt>
                <c:pt idx="837">
                  <c:v>120.45571307225693</c:v>
                </c:pt>
                <c:pt idx="838">
                  <c:v>120.4559059673542</c:v>
                </c:pt>
                <c:pt idx="839">
                  <c:v>120.45609885906534</c:v>
                </c:pt>
                <c:pt idx="840">
                  <c:v>120.45629174739031</c:v>
                </c:pt>
                <c:pt idx="841">
                  <c:v>120.45648463232921</c:v>
                </c:pt>
                <c:pt idx="842">
                  <c:v>120.456677513882</c:v>
                </c:pt>
                <c:pt idx="843">
                  <c:v>120.45687039204877</c:v>
                </c:pt>
                <c:pt idx="844">
                  <c:v>120.45706326682951</c:v>
                </c:pt>
                <c:pt idx="845">
                  <c:v>120.45725613822425</c:v>
                </c:pt>
                <c:pt idx="846">
                  <c:v>120.45744900623308</c:v>
                </c:pt>
                <c:pt idx="847">
                  <c:v>120.45764187085595</c:v>
                </c:pt>
                <c:pt idx="848">
                  <c:v>120.45783473209293</c:v>
                </c:pt>
                <c:pt idx="849">
                  <c:v>120.45802758994405</c:v>
                </c:pt>
                <c:pt idx="850">
                  <c:v>120.45822044440935</c:v>
                </c:pt>
                <c:pt idx="851">
                  <c:v>120.45841329548882</c:v>
                </c:pt>
                <c:pt idx="852">
                  <c:v>120.45860614318254</c:v>
                </c:pt>
                <c:pt idx="853">
                  <c:v>120.4587989874905</c:v>
                </c:pt>
                <c:pt idx="854">
                  <c:v>120.45899182841275</c:v>
                </c:pt>
                <c:pt idx="855">
                  <c:v>120.45918466594931</c:v>
                </c:pt>
                <c:pt idx="856">
                  <c:v>120.45937750010025</c:v>
                </c:pt>
                <c:pt idx="857">
                  <c:v>120.45957033086553</c:v>
                </c:pt>
                <c:pt idx="858">
                  <c:v>120.45976315824524</c:v>
                </c:pt>
                <c:pt idx="859">
                  <c:v>120.45995598223938</c:v>
                </c:pt>
                <c:pt idx="860">
                  <c:v>120.46014880284798</c:v>
                </c:pt>
                <c:pt idx="861">
                  <c:v>120.46034162007109</c:v>
                </c:pt>
                <c:pt idx="862">
                  <c:v>120.46053443390871</c:v>
                </c:pt>
                <c:pt idx="863">
                  <c:v>120.46072724436091</c:v>
                </c:pt>
                <c:pt idx="864">
                  <c:v>120.46092005142769</c:v>
                </c:pt>
                <c:pt idx="865">
                  <c:v>120.46111285510908</c:v>
                </c:pt>
                <c:pt idx="866">
                  <c:v>120.46130565540511</c:v>
                </c:pt>
                <c:pt idx="867">
                  <c:v>120.46149845231585</c:v>
                </c:pt>
                <c:pt idx="868">
                  <c:v>120.46169124584129</c:v>
                </c:pt>
                <c:pt idx="869">
                  <c:v>120.46188403598147</c:v>
                </c:pt>
                <c:pt idx="870">
                  <c:v>120.46207682273642</c:v>
                </c:pt>
                <c:pt idx="871">
                  <c:v>120.46226960610616</c:v>
                </c:pt>
                <c:pt idx="872">
                  <c:v>120.46246238609073</c:v>
                </c:pt>
                <c:pt idx="873">
                  <c:v>120.46265516269017</c:v>
                </c:pt>
                <c:pt idx="874">
                  <c:v>120.46284793590449</c:v>
                </c:pt>
                <c:pt idx="875">
                  <c:v>120.46304070573373</c:v>
                </c:pt>
                <c:pt idx="876">
                  <c:v>120.46323347217792</c:v>
                </c:pt>
                <c:pt idx="877">
                  <c:v>120.46342623523709</c:v>
                </c:pt>
                <c:pt idx="878">
                  <c:v>120.46361899491129</c:v>
                </c:pt>
                <c:pt idx="879">
                  <c:v>120.46381175120051</c:v>
                </c:pt>
                <c:pt idx="880">
                  <c:v>120.46400450410481</c:v>
                </c:pt>
                <c:pt idx="881">
                  <c:v>120.46419725362421</c:v>
                </c:pt>
                <c:pt idx="882">
                  <c:v>120.46438999975874</c:v>
                </c:pt>
                <c:pt idx="883">
                  <c:v>120.46458274250843</c:v>
                </c:pt>
                <c:pt idx="884">
                  <c:v>120.4647754818733</c:v>
                </c:pt>
                <c:pt idx="885">
                  <c:v>120.46496821785341</c:v>
                </c:pt>
                <c:pt idx="886">
                  <c:v>120.46516095044875</c:v>
                </c:pt>
                <c:pt idx="887">
                  <c:v>120.46535367965939</c:v>
                </c:pt>
                <c:pt idx="888">
                  <c:v>120.46554640548533</c:v>
                </c:pt>
                <c:pt idx="889">
                  <c:v>120.46573912792662</c:v>
                </c:pt>
                <c:pt idx="890">
                  <c:v>120.4659318469833</c:v>
                </c:pt>
                <c:pt idx="891">
                  <c:v>120.46612456265535</c:v>
                </c:pt>
                <c:pt idx="892">
                  <c:v>120.46631727494287</c:v>
                </c:pt>
                <c:pt idx="893">
                  <c:v>120.46650998384581</c:v>
                </c:pt>
                <c:pt idx="894">
                  <c:v>120.46670268936428</c:v>
                </c:pt>
                <c:pt idx="895">
                  <c:v>120.46689539149827</c:v>
                </c:pt>
                <c:pt idx="896">
                  <c:v>120.46708809024781</c:v>
                </c:pt>
                <c:pt idx="897">
                  <c:v>120.46728078561294</c:v>
                </c:pt>
                <c:pt idx="898">
                  <c:v>120.46747347759367</c:v>
                </c:pt>
                <c:pt idx="899">
                  <c:v>120.46766616619006</c:v>
                </c:pt>
                <c:pt idx="900">
                  <c:v>120.46785885140211</c:v>
                </c:pt>
                <c:pt idx="901">
                  <c:v>120.46805153322988</c:v>
                </c:pt>
                <c:pt idx="902">
                  <c:v>120.46824421167337</c:v>
                </c:pt>
                <c:pt idx="903">
                  <c:v>120.46843688673262</c:v>
                </c:pt>
                <c:pt idx="904">
                  <c:v>120.46862955840767</c:v>
                </c:pt>
                <c:pt idx="905">
                  <c:v>120.46882222669855</c:v>
                </c:pt>
                <c:pt idx="906">
                  <c:v>120.46901489160527</c:v>
                </c:pt>
                <c:pt idx="907">
                  <c:v>120.46920755312789</c:v>
                </c:pt>
                <c:pt idx="908">
                  <c:v>120.46940021126643</c:v>
                </c:pt>
                <c:pt idx="909">
                  <c:v>120.46959286602092</c:v>
                </c:pt>
                <c:pt idx="910">
                  <c:v>120.46978551739137</c:v>
                </c:pt>
                <c:pt idx="911">
                  <c:v>120.46997816537784</c:v>
                </c:pt>
                <c:pt idx="912">
                  <c:v>120.47017080998035</c:v>
                </c:pt>
                <c:pt idx="913">
                  <c:v>120.47036345119891</c:v>
                </c:pt>
                <c:pt idx="914">
                  <c:v>120.47055608903356</c:v>
                </c:pt>
                <c:pt idx="915">
                  <c:v>120.47074872348436</c:v>
                </c:pt>
                <c:pt idx="916">
                  <c:v>120.4709413545513</c:v>
                </c:pt>
                <c:pt idx="917">
                  <c:v>120.47113398223443</c:v>
                </c:pt>
                <c:pt idx="918">
                  <c:v>120.47132660653378</c:v>
                </c:pt>
                <c:pt idx="919">
                  <c:v>120.47151922744939</c:v>
                </c:pt>
                <c:pt idx="920">
                  <c:v>120.47171184498126</c:v>
                </c:pt>
                <c:pt idx="921">
                  <c:v>120.47190445912945</c:v>
                </c:pt>
                <c:pt idx="922">
                  <c:v>120.47209706989396</c:v>
                </c:pt>
                <c:pt idx="923">
                  <c:v>120.47228967727484</c:v>
                </c:pt>
                <c:pt idx="924">
                  <c:v>120.47248228127214</c:v>
                </c:pt>
                <c:pt idx="925">
                  <c:v>120.47267488188585</c:v>
                </c:pt>
                <c:pt idx="926">
                  <c:v>120.47286747911603</c:v>
                </c:pt>
                <c:pt idx="927">
                  <c:v>120.4730600729627</c:v>
                </c:pt>
                <c:pt idx="928">
                  <c:v>120.47325266342587</c:v>
                </c:pt>
                <c:pt idx="929">
                  <c:v>120.47344525050559</c:v>
                </c:pt>
                <c:pt idx="930">
                  <c:v>120.47363783420191</c:v>
                </c:pt>
                <c:pt idx="931">
                  <c:v>120.47383041451485</c:v>
                </c:pt>
                <c:pt idx="932">
                  <c:v>120.47402299144441</c:v>
                </c:pt>
                <c:pt idx="933">
                  <c:v>120.47421556499063</c:v>
                </c:pt>
                <c:pt idx="934">
                  <c:v>120.47440813515358</c:v>
                </c:pt>
                <c:pt idx="935">
                  <c:v>120.47460070193324</c:v>
                </c:pt>
                <c:pt idx="936">
                  <c:v>120.47479326532967</c:v>
                </c:pt>
                <c:pt idx="937">
                  <c:v>120.47498582534288</c:v>
                </c:pt>
                <c:pt idx="938">
                  <c:v>120.47517838197291</c:v>
                </c:pt>
                <c:pt idx="939">
                  <c:v>120.4753709352198</c:v>
                </c:pt>
                <c:pt idx="940">
                  <c:v>120.47556348508357</c:v>
                </c:pt>
                <c:pt idx="941">
                  <c:v>120.47575603156425</c:v>
                </c:pt>
                <c:pt idx="942">
                  <c:v>120.47594857466187</c:v>
                </c:pt>
                <c:pt idx="943">
                  <c:v>120.47614111437645</c:v>
                </c:pt>
                <c:pt idx="944">
                  <c:v>120.47633365070804</c:v>
                </c:pt>
                <c:pt idx="945">
                  <c:v>120.47652618365667</c:v>
                </c:pt>
                <c:pt idx="946">
                  <c:v>120.47671871322235</c:v>
                </c:pt>
                <c:pt idx="947">
                  <c:v>120.47691123940513</c:v>
                </c:pt>
                <c:pt idx="948">
                  <c:v>120.47710376220503</c:v>
                </c:pt>
                <c:pt idx="949">
                  <c:v>120.47729628162209</c:v>
                </c:pt>
                <c:pt idx="950">
                  <c:v>120.47748879765632</c:v>
                </c:pt>
                <c:pt idx="951">
                  <c:v>120.47768131030777</c:v>
                </c:pt>
                <c:pt idx="952">
                  <c:v>120.47787381957647</c:v>
                </c:pt>
                <c:pt idx="953">
                  <c:v>120.47806632546244</c:v>
                </c:pt>
                <c:pt idx="954">
                  <c:v>120.47825882796572</c:v>
                </c:pt>
                <c:pt idx="955">
                  <c:v>120.47845132708632</c:v>
                </c:pt>
                <c:pt idx="956">
                  <c:v>120.47864382282428</c:v>
                </c:pt>
                <c:pt idx="957">
                  <c:v>120.47883631517965</c:v>
                </c:pt>
                <c:pt idx="958">
                  <c:v>120.47902880415242</c:v>
                </c:pt>
                <c:pt idx="959">
                  <c:v>120.47922128974265</c:v>
                </c:pt>
                <c:pt idx="960">
                  <c:v>120.47941377195038</c:v>
                </c:pt>
                <c:pt idx="961">
                  <c:v>120.47960625077562</c:v>
                </c:pt>
                <c:pt idx="962">
                  <c:v>120.47979872621841</c:v>
                </c:pt>
                <c:pt idx="963">
                  <c:v>120.47999119827877</c:v>
                </c:pt>
                <c:pt idx="964">
                  <c:v>120.48018366695673</c:v>
                </c:pt>
                <c:pt idx="965">
                  <c:v>120.48037613225232</c:v>
                </c:pt>
                <c:pt idx="966">
                  <c:v>120.48056859416559</c:v>
                </c:pt>
                <c:pt idx="967">
                  <c:v>120.48076105269655</c:v>
                </c:pt>
                <c:pt idx="968">
                  <c:v>120.48095350784523</c:v>
                </c:pt>
                <c:pt idx="969">
                  <c:v>120.48114595961168</c:v>
                </c:pt>
                <c:pt idx="970">
                  <c:v>120.48133840799591</c:v>
                </c:pt>
                <c:pt idx="971">
                  <c:v>120.48153085299796</c:v>
                </c:pt>
                <c:pt idx="972">
                  <c:v>120.48172329461785</c:v>
                </c:pt>
                <c:pt idx="973">
                  <c:v>120.48191573285561</c:v>
                </c:pt>
                <c:pt idx="974">
                  <c:v>120.48210816771129</c:v>
                </c:pt>
                <c:pt idx="975">
                  <c:v>120.4823005991849</c:v>
                </c:pt>
                <c:pt idx="976">
                  <c:v>120.48249302727646</c:v>
                </c:pt>
                <c:pt idx="977">
                  <c:v>120.48268545198604</c:v>
                </c:pt>
                <c:pt idx="978">
                  <c:v>120.48287787331364</c:v>
                </c:pt>
                <c:pt idx="979">
                  <c:v>120.48307029125931</c:v>
                </c:pt>
                <c:pt idx="980">
                  <c:v>120.48326270582305</c:v>
                </c:pt>
                <c:pt idx="981">
                  <c:v>120.48345511700491</c:v>
                </c:pt>
                <c:pt idx="982">
                  <c:v>120.48364752480492</c:v>
                </c:pt>
                <c:pt idx="983">
                  <c:v>120.48383992922311</c:v>
                </c:pt>
                <c:pt idx="984">
                  <c:v>120.48403233025951</c:v>
                </c:pt>
                <c:pt idx="985">
                  <c:v>120.48422472791414</c:v>
                </c:pt>
                <c:pt idx="986">
                  <c:v>120.48441712218705</c:v>
                </c:pt>
                <c:pt idx="987">
                  <c:v>120.48460951307825</c:v>
                </c:pt>
                <c:pt idx="988">
                  <c:v>120.4848019005878</c:v>
                </c:pt>
                <c:pt idx="989">
                  <c:v>120.4849942847157</c:v>
                </c:pt>
                <c:pt idx="990">
                  <c:v>120.48518666546197</c:v>
                </c:pt>
                <c:pt idx="991">
                  <c:v>120.48537904282668</c:v>
                </c:pt>
                <c:pt idx="992">
                  <c:v>120.48557141680983</c:v>
                </c:pt>
                <c:pt idx="993">
                  <c:v>120.48576378741146</c:v>
                </c:pt>
                <c:pt idx="994">
                  <c:v>120.48595615463161</c:v>
                </c:pt>
                <c:pt idx="995">
                  <c:v>120.48614851847029</c:v>
                </c:pt>
                <c:pt idx="996">
                  <c:v>120.48634087892754</c:v>
                </c:pt>
                <c:pt idx="997">
                  <c:v>120.4865332360034</c:v>
                </c:pt>
                <c:pt idx="998">
                  <c:v>120.48672558969787</c:v>
                </c:pt>
                <c:pt idx="999">
                  <c:v>120.48691794001103</c:v>
                </c:pt>
                <c:pt idx="1000">
                  <c:v>120.48711028694287</c:v>
                </c:pt>
              </c:numCache>
            </c:numRef>
          </c:yVal>
          <c:smooth val="0"/>
          <c:extLst>
            <c:ext xmlns:c16="http://schemas.microsoft.com/office/drawing/2014/chart" uri="{C3380CC4-5D6E-409C-BE32-E72D297353CC}">
              <c16:uniqueId val="{00000000-011B-490F-A283-4EB42FA064EB}"/>
            </c:ext>
          </c:extLst>
        </c:ser>
        <c:dLbls>
          <c:showLegendKey val="0"/>
          <c:showVal val="0"/>
          <c:showCatName val="0"/>
          <c:showSerName val="0"/>
          <c:showPercent val="0"/>
          <c:showBubbleSize val="0"/>
        </c:dLbls>
        <c:axId val="149125760"/>
        <c:axId val="149132032"/>
      </c:scatterChart>
      <c:valAx>
        <c:axId val="149125760"/>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32032"/>
        <c:crosses val="autoZero"/>
        <c:crossBetween val="midCat"/>
      </c:valAx>
      <c:valAx>
        <c:axId val="149132032"/>
        <c:scaling>
          <c:orientation val="minMax"/>
        </c:scaling>
        <c:delete val="0"/>
        <c:axPos val="l"/>
        <c:majorGridlines>
          <c:spPr>
            <a:ln w="3175">
              <a:solidFill>
                <a:srgbClr val="000000"/>
              </a:solidFill>
              <a:prstDash val="sysDash"/>
            </a:ln>
          </c:spPr>
        </c:majorGridlines>
        <c:title>
          <c:tx>
            <c:strRef>
              <c:f>Courbes!$B$141</c:f>
              <c:strCache>
                <c:ptCount val="1"/>
                <c:pt idx="0">
                  <c:v>Vitesse [m/s]</c:v>
                </c:pt>
              </c:strCache>
            </c:strRef>
          </c:tx>
          <c:layout>
            <c:manualLayout>
              <c:xMode val="edge"/>
              <c:yMode val="edge"/>
              <c:x val="2.5943396226415099E-2"/>
              <c:y val="0.22875870516185479"/>
            </c:manualLayout>
          </c:layout>
          <c:overlay val="0"/>
          <c:spPr>
            <a:noFill/>
            <a:ln w="25400">
              <a:noFill/>
            </a:ln>
          </c:spPr>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25760"/>
        <c:crosses val="autoZero"/>
        <c:crossBetween val="midCat"/>
      </c:valAx>
      <c:spPr>
        <a:noFill/>
        <a:ln w="12700">
          <a:solidFill>
            <a:srgbClr val="808080"/>
          </a:solidFill>
          <a:prstDash val="solid"/>
        </a:ln>
      </c:spPr>
    </c:plotArea>
    <c:legend>
      <c:legendPos val="r"/>
      <c:layout>
        <c:manualLayout>
          <c:xMode val="edge"/>
          <c:yMode val="edge"/>
          <c:x val="0.81839684544148961"/>
          <c:y val="0.46444479440069991"/>
          <c:w val="0.13207559550339221"/>
          <c:h val="7.7777777777777779E-2"/>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Accélérations</a:t>
            </a:r>
          </a:p>
        </c:rich>
      </c:tx>
      <c:overlay val="1"/>
    </c:title>
    <c:autoTitleDeleted val="0"/>
    <c:plotArea>
      <c:layout>
        <c:manualLayout>
          <c:layoutTarget val="inner"/>
          <c:xMode val="edge"/>
          <c:yMode val="edge"/>
          <c:x val="9.4339622641509524E-2"/>
          <c:y val="9.4771241830065356E-2"/>
          <c:w val="0.88679245283019104"/>
          <c:h val="0.81699346405228768"/>
        </c:manualLayout>
      </c:layout>
      <c:scatterChart>
        <c:scatterStyle val="lineMarker"/>
        <c:varyColors val="0"/>
        <c:ser>
          <c:idx val="0"/>
          <c:order val="0"/>
          <c:tx>
            <c:strRef>
              <c:f>Courbes!$B$137</c:f>
              <c:strCache>
                <c:ptCount val="1"/>
                <c:pt idx="0">
                  <c:v>Accélération longitudinale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34.500100000000224</c:v>
                </c:pt>
                <c:pt idx="527">
                  <c:v>34.500200000000227</c:v>
                </c:pt>
                <c:pt idx="528">
                  <c:v>34.50030000000023</c:v>
                </c:pt>
                <c:pt idx="529">
                  <c:v>34.500400000000234</c:v>
                </c:pt>
                <c:pt idx="530">
                  <c:v>34.500500000000237</c:v>
                </c:pt>
                <c:pt idx="531">
                  <c:v>34.50060000000024</c:v>
                </c:pt>
                <c:pt idx="532">
                  <c:v>34.500700000000244</c:v>
                </c:pt>
                <c:pt idx="533">
                  <c:v>34.500800000000247</c:v>
                </c:pt>
                <c:pt idx="534">
                  <c:v>34.50090000000025</c:v>
                </c:pt>
                <c:pt idx="535">
                  <c:v>34.501000000000253</c:v>
                </c:pt>
                <c:pt idx="536">
                  <c:v>34.501100000000257</c:v>
                </c:pt>
                <c:pt idx="537">
                  <c:v>34.50120000000026</c:v>
                </c:pt>
                <c:pt idx="538">
                  <c:v>34.501300000000263</c:v>
                </c:pt>
                <c:pt idx="539">
                  <c:v>34.501400000000267</c:v>
                </c:pt>
                <c:pt idx="540">
                  <c:v>34.50150000000027</c:v>
                </c:pt>
                <c:pt idx="541">
                  <c:v>34.501600000000273</c:v>
                </c:pt>
                <c:pt idx="542">
                  <c:v>34.501700000000277</c:v>
                </c:pt>
                <c:pt idx="543">
                  <c:v>34.50180000000028</c:v>
                </c:pt>
                <c:pt idx="544">
                  <c:v>34.501900000000283</c:v>
                </c:pt>
                <c:pt idx="545">
                  <c:v>34.502000000000287</c:v>
                </c:pt>
                <c:pt idx="546">
                  <c:v>34.50210000000029</c:v>
                </c:pt>
                <c:pt idx="547">
                  <c:v>34.502200000000293</c:v>
                </c:pt>
                <c:pt idx="548">
                  <c:v>34.502300000000297</c:v>
                </c:pt>
                <c:pt idx="549">
                  <c:v>34.5024000000003</c:v>
                </c:pt>
                <c:pt idx="550">
                  <c:v>34.502500000000303</c:v>
                </c:pt>
                <c:pt idx="551">
                  <c:v>34.502600000000307</c:v>
                </c:pt>
                <c:pt idx="552">
                  <c:v>34.50270000000031</c:v>
                </c:pt>
                <c:pt idx="553">
                  <c:v>34.502800000000313</c:v>
                </c:pt>
                <c:pt idx="554">
                  <c:v>34.502900000000317</c:v>
                </c:pt>
                <c:pt idx="555">
                  <c:v>34.50300000000032</c:v>
                </c:pt>
                <c:pt idx="556">
                  <c:v>34.503100000000323</c:v>
                </c:pt>
                <c:pt idx="557">
                  <c:v>34.503200000000326</c:v>
                </c:pt>
                <c:pt idx="558">
                  <c:v>34.50330000000033</c:v>
                </c:pt>
                <c:pt idx="559">
                  <c:v>34.503400000000333</c:v>
                </c:pt>
                <c:pt idx="560">
                  <c:v>34.503500000000336</c:v>
                </c:pt>
                <c:pt idx="561">
                  <c:v>34.50360000000034</c:v>
                </c:pt>
                <c:pt idx="562">
                  <c:v>34.503700000000343</c:v>
                </c:pt>
                <c:pt idx="563">
                  <c:v>34.503800000000346</c:v>
                </c:pt>
                <c:pt idx="564">
                  <c:v>34.50390000000035</c:v>
                </c:pt>
                <c:pt idx="565">
                  <c:v>34.504000000000353</c:v>
                </c:pt>
                <c:pt idx="566">
                  <c:v>34.504100000000356</c:v>
                </c:pt>
                <c:pt idx="567">
                  <c:v>34.50420000000036</c:v>
                </c:pt>
                <c:pt idx="568">
                  <c:v>34.504300000000363</c:v>
                </c:pt>
                <c:pt idx="569">
                  <c:v>34.504400000000366</c:v>
                </c:pt>
                <c:pt idx="570">
                  <c:v>34.50450000000037</c:v>
                </c:pt>
                <c:pt idx="571">
                  <c:v>34.504600000000373</c:v>
                </c:pt>
                <c:pt idx="572">
                  <c:v>34.504700000000376</c:v>
                </c:pt>
                <c:pt idx="573">
                  <c:v>34.50480000000038</c:v>
                </c:pt>
                <c:pt idx="574">
                  <c:v>34.504900000000383</c:v>
                </c:pt>
                <c:pt idx="575">
                  <c:v>34.505000000000386</c:v>
                </c:pt>
                <c:pt idx="576">
                  <c:v>34.50510000000039</c:v>
                </c:pt>
                <c:pt idx="577">
                  <c:v>34.505200000000393</c:v>
                </c:pt>
                <c:pt idx="578">
                  <c:v>34.505300000000396</c:v>
                </c:pt>
                <c:pt idx="579">
                  <c:v>34.5054000000004</c:v>
                </c:pt>
                <c:pt idx="580">
                  <c:v>34.505500000000403</c:v>
                </c:pt>
                <c:pt idx="581">
                  <c:v>34.505600000000406</c:v>
                </c:pt>
                <c:pt idx="582">
                  <c:v>34.505700000000409</c:v>
                </c:pt>
                <c:pt idx="583">
                  <c:v>34.505800000000413</c:v>
                </c:pt>
                <c:pt idx="584">
                  <c:v>34.505900000000416</c:v>
                </c:pt>
                <c:pt idx="585">
                  <c:v>34.506000000000419</c:v>
                </c:pt>
                <c:pt idx="586">
                  <c:v>34.506100000000423</c:v>
                </c:pt>
                <c:pt idx="587">
                  <c:v>34.506200000000426</c:v>
                </c:pt>
                <c:pt idx="588">
                  <c:v>34.506300000000429</c:v>
                </c:pt>
                <c:pt idx="589">
                  <c:v>34.506400000000433</c:v>
                </c:pt>
                <c:pt idx="590">
                  <c:v>34.506500000000436</c:v>
                </c:pt>
                <c:pt idx="591">
                  <c:v>34.506600000000439</c:v>
                </c:pt>
                <c:pt idx="592">
                  <c:v>34.506700000000443</c:v>
                </c:pt>
                <c:pt idx="593">
                  <c:v>34.506800000000446</c:v>
                </c:pt>
                <c:pt idx="594">
                  <c:v>34.506900000000449</c:v>
                </c:pt>
                <c:pt idx="595">
                  <c:v>34.507000000000453</c:v>
                </c:pt>
                <c:pt idx="596">
                  <c:v>34.507100000000456</c:v>
                </c:pt>
                <c:pt idx="597">
                  <c:v>34.507200000000459</c:v>
                </c:pt>
                <c:pt idx="598">
                  <c:v>34.507300000000463</c:v>
                </c:pt>
                <c:pt idx="599">
                  <c:v>34.507400000000466</c:v>
                </c:pt>
                <c:pt idx="600">
                  <c:v>34.507500000000469</c:v>
                </c:pt>
                <c:pt idx="601">
                  <c:v>34.507600000000473</c:v>
                </c:pt>
                <c:pt idx="602">
                  <c:v>34.507700000000476</c:v>
                </c:pt>
                <c:pt idx="603">
                  <c:v>34.507800000000479</c:v>
                </c:pt>
                <c:pt idx="604">
                  <c:v>34.507900000000483</c:v>
                </c:pt>
                <c:pt idx="605">
                  <c:v>34.508000000000486</c:v>
                </c:pt>
                <c:pt idx="606">
                  <c:v>34.508100000000489</c:v>
                </c:pt>
                <c:pt idx="607">
                  <c:v>34.508200000000492</c:v>
                </c:pt>
                <c:pt idx="608">
                  <c:v>34.508300000000496</c:v>
                </c:pt>
                <c:pt idx="609">
                  <c:v>34.508400000000499</c:v>
                </c:pt>
                <c:pt idx="610">
                  <c:v>34.508500000000502</c:v>
                </c:pt>
                <c:pt idx="611">
                  <c:v>34.508600000000506</c:v>
                </c:pt>
                <c:pt idx="612">
                  <c:v>34.508700000000509</c:v>
                </c:pt>
                <c:pt idx="613">
                  <c:v>34.508800000000512</c:v>
                </c:pt>
                <c:pt idx="614">
                  <c:v>34.508900000000516</c:v>
                </c:pt>
                <c:pt idx="615">
                  <c:v>34.509000000000519</c:v>
                </c:pt>
                <c:pt idx="616">
                  <c:v>34.509100000000522</c:v>
                </c:pt>
                <c:pt idx="617">
                  <c:v>34.509200000000526</c:v>
                </c:pt>
                <c:pt idx="618">
                  <c:v>34.509300000000529</c:v>
                </c:pt>
                <c:pt idx="619">
                  <c:v>34.509400000000532</c:v>
                </c:pt>
                <c:pt idx="620">
                  <c:v>34.509500000000536</c:v>
                </c:pt>
                <c:pt idx="621">
                  <c:v>34.509600000000539</c:v>
                </c:pt>
                <c:pt idx="622">
                  <c:v>34.509700000000542</c:v>
                </c:pt>
                <c:pt idx="623">
                  <c:v>34.509800000000546</c:v>
                </c:pt>
                <c:pt idx="624">
                  <c:v>34.509900000000549</c:v>
                </c:pt>
                <c:pt idx="625">
                  <c:v>34.510000000000552</c:v>
                </c:pt>
                <c:pt idx="626">
                  <c:v>34.510100000000556</c:v>
                </c:pt>
                <c:pt idx="627">
                  <c:v>34.510200000000559</c:v>
                </c:pt>
                <c:pt idx="628">
                  <c:v>34.510300000000562</c:v>
                </c:pt>
                <c:pt idx="629">
                  <c:v>34.510400000000566</c:v>
                </c:pt>
                <c:pt idx="630">
                  <c:v>34.510500000000569</c:v>
                </c:pt>
                <c:pt idx="631">
                  <c:v>34.510600000000572</c:v>
                </c:pt>
                <c:pt idx="632">
                  <c:v>34.510700000000575</c:v>
                </c:pt>
                <c:pt idx="633">
                  <c:v>34.510800000000579</c:v>
                </c:pt>
                <c:pt idx="634">
                  <c:v>34.510900000000582</c:v>
                </c:pt>
                <c:pt idx="635">
                  <c:v>34.511000000000585</c:v>
                </c:pt>
                <c:pt idx="636">
                  <c:v>34.511100000000589</c:v>
                </c:pt>
                <c:pt idx="637">
                  <c:v>34.511200000000592</c:v>
                </c:pt>
                <c:pt idx="638">
                  <c:v>34.511300000000595</c:v>
                </c:pt>
                <c:pt idx="639">
                  <c:v>34.511400000000599</c:v>
                </c:pt>
                <c:pt idx="640">
                  <c:v>34.511500000000602</c:v>
                </c:pt>
                <c:pt idx="641">
                  <c:v>34.511600000000605</c:v>
                </c:pt>
                <c:pt idx="642">
                  <c:v>34.511700000000609</c:v>
                </c:pt>
                <c:pt idx="643">
                  <c:v>34.511800000000612</c:v>
                </c:pt>
                <c:pt idx="644">
                  <c:v>34.511900000000615</c:v>
                </c:pt>
                <c:pt idx="645">
                  <c:v>34.512000000000619</c:v>
                </c:pt>
                <c:pt idx="646">
                  <c:v>34.512100000000622</c:v>
                </c:pt>
                <c:pt idx="647">
                  <c:v>34.512200000000625</c:v>
                </c:pt>
                <c:pt idx="648">
                  <c:v>34.512300000000629</c:v>
                </c:pt>
                <c:pt idx="649">
                  <c:v>34.512400000000632</c:v>
                </c:pt>
                <c:pt idx="650">
                  <c:v>34.512500000000635</c:v>
                </c:pt>
                <c:pt idx="651">
                  <c:v>34.512600000000639</c:v>
                </c:pt>
                <c:pt idx="652">
                  <c:v>34.512700000000642</c:v>
                </c:pt>
                <c:pt idx="653">
                  <c:v>34.512800000000645</c:v>
                </c:pt>
                <c:pt idx="654">
                  <c:v>34.512900000000649</c:v>
                </c:pt>
                <c:pt idx="655">
                  <c:v>34.513000000000652</c:v>
                </c:pt>
                <c:pt idx="656">
                  <c:v>34.513100000000655</c:v>
                </c:pt>
                <c:pt idx="657">
                  <c:v>34.513200000000658</c:v>
                </c:pt>
                <c:pt idx="658">
                  <c:v>34.513300000000662</c:v>
                </c:pt>
                <c:pt idx="659">
                  <c:v>34.513400000000665</c:v>
                </c:pt>
                <c:pt idx="660">
                  <c:v>34.513500000000668</c:v>
                </c:pt>
                <c:pt idx="661">
                  <c:v>34.513600000000672</c:v>
                </c:pt>
                <c:pt idx="662">
                  <c:v>34.513700000000675</c:v>
                </c:pt>
                <c:pt idx="663">
                  <c:v>34.513800000000678</c:v>
                </c:pt>
                <c:pt idx="664">
                  <c:v>34.513900000000682</c:v>
                </c:pt>
                <c:pt idx="665">
                  <c:v>34.514000000000685</c:v>
                </c:pt>
                <c:pt idx="666">
                  <c:v>34.514100000000688</c:v>
                </c:pt>
                <c:pt idx="667">
                  <c:v>34.514200000000692</c:v>
                </c:pt>
                <c:pt idx="668">
                  <c:v>34.514300000000695</c:v>
                </c:pt>
                <c:pt idx="669">
                  <c:v>34.514400000000698</c:v>
                </c:pt>
                <c:pt idx="670">
                  <c:v>34.514500000000702</c:v>
                </c:pt>
                <c:pt idx="671">
                  <c:v>34.514600000000705</c:v>
                </c:pt>
                <c:pt idx="672">
                  <c:v>34.514700000000708</c:v>
                </c:pt>
                <c:pt idx="673">
                  <c:v>34.514800000000712</c:v>
                </c:pt>
                <c:pt idx="674">
                  <c:v>34.514900000000715</c:v>
                </c:pt>
                <c:pt idx="675">
                  <c:v>34.515000000000718</c:v>
                </c:pt>
                <c:pt idx="676">
                  <c:v>34.515100000000722</c:v>
                </c:pt>
                <c:pt idx="677">
                  <c:v>34.515200000000725</c:v>
                </c:pt>
                <c:pt idx="678">
                  <c:v>34.515300000000728</c:v>
                </c:pt>
                <c:pt idx="679">
                  <c:v>34.515400000000731</c:v>
                </c:pt>
                <c:pt idx="680">
                  <c:v>34.515500000000735</c:v>
                </c:pt>
                <c:pt idx="681">
                  <c:v>34.515600000000738</c:v>
                </c:pt>
                <c:pt idx="682">
                  <c:v>34.515700000000741</c:v>
                </c:pt>
                <c:pt idx="683">
                  <c:v>34.515800000000745</c:v>
                </c:pt>
                <c:pt idx="684">
                  <c:v>34.515900000000748</c:v>
                </c:pt>
                <c:pt idx="685">
                  <c:v>34.516000000000751</c:v>
                </c:pt>
                <c:pt idx="686">
                  <c:v>34.516100000000755</c:v>
                </c:pt>
                <c:pt idx="687">
                  <c:v>34.516200000000758</c:v>
                </c:pt>
                <c:pt idx="688">
                  <c:v>34.516300000000761</c:v>
                </c:pt>
                <c:pt idx="689">
                  <c:v>34.516400000000765</c:v>
                </c:pt>
                <c:pt idx="690">
                  <c:v>34.516500000000768</c:v>
                </c:pt>
                <c:pt idx="691">
                  <c:v>34.516600000000771</c:v>
                </c:pt>
                <c:pt idx="692">
                  <c:v>34.516700000000775</c:v>
                </c:pt>
                <c:pt idx="693">
                  <c:v>34.516800000000778</c:v>
                </c:pt>
                <c:pt idx="694">
                  <c:v>34.516900000000781</c:v>
                </c:pt>
                <c:pt idx="695">
                  <c:v>34.517000000000785</c:v>
                </c:pt>
                <c:pt idx="696">
                  <c:v>34.517100000000788</c:v>
                </c:pt>
                <c:pt idx="697">
                  <c:v>34.517200000000791</c:v>
                </c:pt>
                <c:pt idx="698">
                  <c:v>34.517300000000795</c:v>
                </c:pt>
                <c:pt idx="699">
                  <c:v>34.517400000000798</c:v>
                </c:pt>
                <c:pt idx="700">
                  <c:v>34.517500000000801</c:v>
                </c:pt>
                <c:pt idx="701">
                  <c:v>34.517600000000805</c:v>
                </c:pt>
                <c:pt idx="702">
                  <c:v>34.517700000000808</c:v>
                </c:pt>
                <c:pt idx="703">
                  <c:v>34.517800000000811</c:v>
                </c:pt>
                <c:pt idx="704">
                  <c:v>34.517900000000814</c:v>
                </c:pt>
                <c:pt idx="705">
                  <c:v>34.518000000000818</c:v>
                </c:pt>
                <c:pt idx="706">
                  <c:v>34.518100000000821</c:v>
                </c:pt>
                <c:pt idx="707">
                  <c:v>34.518200000000824</c:v>
                </c:pt>
                <c:pt idx="708">
                  <c:v>34.518300000000828</c:v>
                </c:pt>
                <c:pt idx="709">
                  <c:v>34.518400000000831</c:v>
                </c:pt>
                <c:pt idx="710">
                  <c:v>34.518500000000834</c:v>
                </c:pt>
                <c:pt idx="711">
                  <c:v>34.518600000000838</c:v>
                </c:pt>
                <c:pt idx="712">
                  <c:v>34.518700000000841</c:v>
                </c:pt>
                <c:pt idx="713">
                  <c:v>34.518800000000844</c:v>
                </c:pt>
                <c:pt idx="714">
                  <c:v>34.518900000000848</c:v>
                </c:pt>
                <c:pt idx="715">
                  <c:v>34.519000000000851</c:v>
                </c:pt>
                <c:pt idx="716">
                  <c:v>34.519100000000854</c:v>
                </c:pt>
                <c:pt idx="717">
                  <c:v>34.519200000000858</c:v>
                </c:pt>
                <c:pt idx="718">
                  <c:v>34.519300000000861</c:v>
                </c:pt>
                <c:pt idx="719">
                  <c:v>34.519400000000864</c:v>
                </c:pt>
                <c:pt idx="720">
                  <c:v>34.519500000000868</c:v>
                </c:pt>
                <c:pt idx="721">
                  <c:v>34.519600000000871</c:v>
                </c:pt>
                <c:pt idx="722">
                  <c:v>34.519700000000874</c:v>
                </c:pt>
                <c:pt idx="723">
                  <c:v>34.519800000000878</c:v>
                </c:pt>
                <c:pt idx="724">
                  <c:v>34.519900000000881</c:v>
                </c:pt>
                <c:pt idx="725">
                  <c:v>34.520000000000884</c:v>
                </c:pt>
                <c:pt idx="726">
                  <c:v>34.520100000000888</c:v>
                </c:pt>
                <c:pt idx="727">
                  <c:v>34.520200000000891</c:v>
                </c:pt>
                <c:pt idx="728">
                  <c:v>34.520300000000894</c:v>
                </c:pt>
                <c:pt idx="729">
                  <c:v>34.520400000000897</c:v>
                </c:pt>
                <c:pt idx="730">
                  <c:v>34.520500000000901</c:v>
                </c:pt>
                <c:pt idx="731">
                  <c:v>34.520600000000904</c:v>
                </c:pt>
                <c:pt idx="732">
                  <c:v>34.520700000000907</c:v>
                </c:pt>
                <c:pt idx="733">
                  <c:v>34.520800000000911</c:v>
                </c:pt>
                <c:pt idx="734">
                  <c:v>34.520900000000914</c:v>
                </c:pt>
                <c:pt idx="735">
                  <c:v>34.521000000000917</c:v>
                </c:pt>
                <c:pt idx="736">
                  <c:v>34.521100000000921</c:v>
                </c:pt>
                <c:pt idx="737">
                  <c:v>34.521200000000924</c:v>
                </c:pt>
                <c:pt idx="738">
                  <c:v>34.521300000000927</c:v>
                </c:pt>
                <c:pt idx="739">
                  <c:v>34.521400000000931</c:v>
                </c:pt>
                <c:pt idx="740">
                  <c:v>34.521500000000934</c:v>
                </c:pt>
                <c:pt idx="741">
                  <c:v>34.521600000000937</c:v>
                </c:pt>
                <c:pt idx="742">
                  <c:v>34.521700000000941</c:v>
                </c:pt>
                <c:pt idx="743">
                  <c:v>34.521800000000944</c:v>
                </c:pt>
                <c:pt idx="744">
                  <c:v>34.521900000000947</c:v>
                </c:pt>
                <c:pt idx="745">
                  <c:v>34.522000000000951</c:v>
                </c:pt>
                <c:pt idx="746">
                  <c:v>34.522100000000954</c:v>
                </c:pt>
                <c:pt idx="747">
                  <c:v>34.522200000000957</c:v>
                </c:pt>
                <c:pt idx="748">
                  <c:v>34.522300000000961</c:v>
                </c:pt>
                <c:pt idx="749">
                  <c:v>34.522400000000964</c:v>
                </c:pt>
                <c:pt idx="750">
                  <c:v>34.522500000000967</c:v>
                </c:pt>
                <c:pt idx="751">
                  <c:v>34.522600000000971</c:v>
                </c:pt>
                <c:pt idx="752">
                  <c:v>34.522700000000974</c:v>
                </c:pt>
                <c:pt idx="753">
                  <c:v>34.522800000000977</c:v>
                </c:pt>
                <c:pt idx="754">
                  <c:v>34.52290000000098</c:v>
                </c:pt>
                <c:pt idx="755">
                  <c:v>34.523000000000984</c:v>
                </c:pt>
                <c:pt idx="756">
                  <c:v>34.523100000000987</c:v>
                </c:pt>
                <c:pt idx="757">
                  <c:v>34.52320000000099</c:v>
                </c:pt>
                <c:pt idx="758">
                  <c:v>34.523300000000994</c:v>
                </c:pt>
                <c:pt idx="759">
                  <c:v>34.523400000000997</c:v>
                </c:pt>
                <c:pt idx="760">
                  <c:v>34.523500000001</c:v>
                </c:pt>
                <c:pt idx="761">
                  <c:v>34.523600000001004</c:v>
                </c:pt>
                <c:pt idx="762">
                  <c:v>34.523700000001007</c:v>
                </c:pt>
                <c:pt idx="763">
                  <c:v>34.52380000000101</c:v>
                </c:pt>
                <c:pt idx="764">
                  <c:v>34.523900000001014</c:v>
                </c:pt>
                <c:pt idx="765">
                  <c:v>34.524000000001017</c:v>
                </c:pt>
                <c:pt idx="766">
                  <c:v>34.52410000000102</c:v>
                </c:pt>
                <c:pt idx="767">
                  <c:v>34.524200000001024</c:v>
                </c:pt>
                <c:pt idx="768">
                  <c:v>34.524300000001027</c:v>
                </c:pt>
                <c:pt idx="769">
                  <c:v>34.52440000000103</c:v>
                </c:pt>
                <c:pt idx="770">
                  <c:v>34.524500000001034</c:v>
                </c:pt>
                <c:pt idx="771">
                  <c:v>34.524600000001037</c:v>
                </c:pt>
                <c:pt idx="772">
                  <c:v>34.52470000000104</c:v>
                </c:pt>
                <c:pt idx="773">
                  <c:v>34.524800000001044</c:v>
                </c:pt>
                <c:pt idx="774">
                  <c:v>34.524900000001047</c:v>
                </c:pt>
                <c:pt idx="775">
                  <c:v>34.52500000000105</c:v>
                </c:pt>
                <c:pt idx="776">
                  <c:v>34.525100000001054</c:v>
                </c:pt>
                <c:pt idx="777">
                  <c:v>34.525200000001057</c:v>
                </c:pt>
                <c:pt idx="778">
                  <c:v>34.52530000000106</c:v>
                </c:pt>
                <c:pt idx="779">
                  <c:v>34.525400000001063</c:v>
                </c:pt>
                <c:pt idx="780">
                  <c:v>34.525500000001067</c:v>
                </c:pt>
                <c:pt idx="781">
                  <c:v>34.52560000000107</c:v>
                </c:pt>
                <c:pt idx="782">
                  <c:v>34.525700000001073</c:v>
                </c:pt>
                <c:pt idx="783">
                  <c:v>34.525800000001077</c:v>
                </c:pt>
                <c:pt idx="784">
                  <c:v>34.52590000000108</c:v>
                </c:pt>
                <c:pt idx="785">
                  <c:v>34.526000000001083</c:v>
                </c:pt>
                <c:pt idx="786">
                  <c:v>34.526100000001087</c:v>
                </c:pt>
                <c:pt idx="787">
                  <c:v>34.52620000000109</c:v>
                </c:pt>
                <c:pt idx="788">
                  <c:v>34.526300000001093</c:v>
                </c:pt>
                <c:pt idx="789">
                  <c:v>34.526400000001097</c:v>
                </c:pt>
                <c:pt idx="790">
                  <c:v>34.5265000000011</c:v>
                </c:pt>
                <c:pt idx="791">
                  <c:v>34.526600000001103</c:v>
                </c:pt>
                <c:pt idx="792">
                  <c:v>34.526700000001107</c:v>
                </c:pt>
                <c:pt idx="793">
                  <c:v>34.52680000000111</c:v>
                </c:pt>
                <c:pt idx="794">
                  <c:v>34.526900000001113</c:v>
                </c:pt>
                <c:pt idx="795">
                  <c:v>34.527000000001117</c:v>
                </c:pt>
                <c:pt idx="796">
                  <c:v>34.52710000000112</c:v>
                </c:pt>
                <c:pt idx="797">
                  <c:v>34.527200000001123</c:v>
                </c:pt>
                <c:pt idx="798">
                  <c:v>34.527300000001127</c:v>
                </c:pt>
                <c:pt idx="799">
                  <c:v>34.52740000000113</c:v>
                </c:pt>
                <c:pt idx="800">
                  <c:v>34.527500000001133</c:v>
                </c:pt>
                <c:pt idx="801">
                  <c:v>34.527600000001136</c:v>
                </c:pt>
                <c:pt idx="802">
                  <c:v>34.52770000000114</c:v>
                </c:pt>
                <c:pt idx="803">
                  <c:v>34.527800000001143</c:v>
                </c:pt>
                <c:pt idx="804">
                  <c:v>34.527900000001146</c:v>
                </c:pt>
                <c:pt idx="805">
                  <c:v>34.52800000000115</c:v>
                </c:pt>
                <c:pt idx="806">
                  <c:v>34.528100000001153</c:v>
                </c:pt>
                <c:pt idx="807">
                  <c:v>34.528200000001156</c:v>
                </c:pt>
                <c:pt idx="808">
                  <c:v>34.52830000000116</c:v>
                </c:pt>
                <c:pt idx="809">
                  <c:v>34.528400000001163</c:v>
                </c:pt>
                <c:pt idx="810">
                  <c:v>34.528500000001166</c:v>
                </c:pt>
                <c:pt idx="811">
                  <c:v>34.52860000000117</c:v>
                </c:pt>
                <c:pt idx="812">
                  <c:v>34.528700000001173</c:v>
                </c:pt>
                <c:pt idx="813">
                  <c:v>34.528800000001176</c:v>
                </c:pt>
                <c:pt idx="814">
                  <c:v>34.52890000000118</c:v>
                </c:pt>
                <c:pt idx="815">
                  <c:v>34.529000000001183</c:v>
                </c:pt>
                <c:pt idx="816">
                  <c:v>34.529100000001186</c:v>
                </c:pt>
                <c:pt idx="817">
                  <c:v>34.52920000000119</c:v>
                </c:pt>
                <c:pt idx="818">
                  <c:v>34.529300000001193</c:v>
                </c:pt>
                <c:pt idx="819">
                  <c:v>34.529400000001196</c:v>
                </c:pt>
                <c:pt idx="820">
                  <c:v>34.5295000000012</c:v>
                </c:pt>
                <c:pt idx="821">
                  <c:v>34.529600000001203</c:v>
                </c:pt>
                <c:pt idx="822">
                  <c:v>34.529700000001206</c:v>
                </c:pt>
                <c:pt idx="823">
                  <c:v>34.52980000000121</c:v>
                </c:pt>
                <c:pt idx="824">
                  <c:v>34.529900000001213</c:v>
                </c:pt>
                <c:pt idx="825">
                  <c:v>34.530000000001216</c:v>
                </c:pt>
                <c:pt idx="826">
                  <c:v>34.530100000001219</c:v>
                </c:pt>
                <c:pt idx="827">
                  <c:v>34.530200000001223</c:v>
                </c:pt>
                <c:pt idx="828">
                  <c:v>34.530300000001226</c:v>
                </c:pt>
                <c:pt idx="829">
                  <c:v>34.530400000001229</c:v>
                </c:pt>
                <c:pt idx="830">
                  <c:v>34.530500000001233</c:v>
                </c:pt>
                <c:pt idx="831">
                  <c:v>34.530600000001236</c:v>
                </c:pt>
                <c:pt idx="832">
                  <c:v>34.530700000001239</c:v>
                </c:pt>
                <c:pt idx="833">
                  <c:v>34.530800000001243</c:v>
                </c:pt>
                <c:pt idx="834">
                  <c:v>34.530900000001246</c:v>
                </c:pt>
                <c:pt idx="835">
                  <c:v>34.531000000001249</c:v>
                </c:pt>
                <c:pt idx="836">
                  <c:v>34.531100000001253</c:v>
                </c:pt>
                <c:pt idx="837">
                  <c:v>34.531200000001256</c:v>
                </c:pt>
                <c:pt idx="838">
                  <c:v>34.531300000001259</c:v>
                </c:pt>
                <c:pt idx="839">
                  <c:v>34.531400000001263</c:v>
                </c:pt>
                <c:pt idx="840">
                  <c:v>34.531500000001266</c:v>
                </c:pt>
                <c:pt idx="841">
                  <c:v>34.531600000001269</c:v>
                </c:pt>
                <c:pt idx="842">
                  <c:v>34.531700000001273</c:v>
                </c:pt>
                <c:pt idx="843">
                  <c:v>34.531800000001276</c:v>
                </c:pt>
                <c:pt idx="844">
                  <c:v>34.531900000001279</c:v>
                </c:pt>
                <c:pt idx="845">
                  <c:v>34.532000000001283</c:v>
                </c:pt>
                <c:pt idx="846">
                  <c:v>34.532100000001286</c:v>
                </c:pt>
                <c:pt idx="847">
                  <c:v>34.532200000001289</c:v>
                </c:pt>
                <c:pt idx="848">
                  <c:v>34.532300000001293</c:v>
                </c:pt>
                <c:pt idx="849">
                  <c:v>34.532400000001296</c:v>
                </c:pt>
                <c:pt idx="850">
                  <c:v>34.532500000001299</c:v>
                </c:pt>
                <c:pt idx="851">
                  <c:v>34.532600000001302</c:v>
                </c:pt>
                <c:pt idx="852">
                  <c:v>34.532700000001306</c:v>
                </c:pt>
                <c:pt idx="853">
                  <c:v>34.532800000001309</c:v>
                </c:pt>
                <c:pt idx="854">
                  <c:v>34.532900000001312</c:v>
                </c:pt>
                <c:pt idx="855">
                  <c:v>34.533000000001316</c:v>
                </c:pt>
                <c:pt idx="856">
                  <c:v>34.533100000001319</c:v>
                </c:pt>
                <c:pt idx="857">
                  <c:v>34.533200000001322</c:v>
                </c:pt>
                <c:pt idx="858">
                  <c:v>34.533300000001326</c:v>
                </c:pt>
                <c:pt idx="859">
                  <c:v>34.533400000001329</c:v>
                </c:pt>
                <c:pt idx="860">
                  <c:v>34.533500000001332</c:v>
                </c:pt>
                <c:pt idx="861">
                  <c:v>34.533600000001336</c:v>
                </c:pt>
                <c:pt idx="862">
                  <c:v>34.533700000001339</c:v>
                </c:pt>
                <c:pt idx="863">
                  <c:v>34.533800000001342</c:v>
                </c:pt>
                <c:pt idx="864">
                  <c:v>34.533900000001346</c:v>
                </c:pt>
                <c:pt idx="865">
                  <c:v>34.534000000001349</c:v>
                </c:pt>
                <c:pt idx="866">
                  <c:v>34.534100000001352</c:v>
                </c:pt>
                <c:pt idx="867">
                  <c:v>34.534200000001356</c:v>
                </c:pt>
                <c:pt idx="868">
                  <c:v>34.534300000001359</c:v>
                </c:pt>
                <c:pt idx="869">
                  <c:v>34.534400000001362</c:v>
                </c:pt>
                <c:pt idx="870">
                  <c:v>34.534500000001366</c:v>
                </c:pt>
                <c:pt idx="871">
                  <c:v>34.534600000001369</c:v>
                </c:pt>
                <c:pt idx="872">
                  <c:v>34.534700000001372</c:v>
                </c:pt>
                <c:pt idx="873">
                  <c:v>34.534800000001376</c:v>
                </c:pt>
                <c:pt idx="874">
                  <c:v>34.534900000001379</c:v>
                </c:pt>
                <c:pt idx="875">
                  <c:v>34.535000000001382</c:v>
                </c:pt>
                <c:pt idx="876">
                  <c:v>34.535100000001385</c:v>
                </c:pt>
                <c:pt idx="877">
                  <c:v>34.535200000001389</c:v>
                </c:pt>
                <c:pt idx="878">
                  <c:v>34.535300000001392</c:v>
                </c:pt>
                <c:pt idx="879">
                  <c:v>34.535400000001395</c:v>
                </c:pt>
                <c:pt idx="880">
                  <c:v>34.535500000001399</c:v>
                </c:pt>
                <c:pt idx="881">
                  <c:v>34.535600000001402</c:v>
                </c:pt>
                <c:pt idx="882">
                  <c:v>34.535700000001405</c:v>
                </c:pt>
                <c:pt idx="883">
                  <c:v>34.535800000001409</c:v>
                </c:pt>
                <c:pt idx="884">
                  <c:v>34.535900000001412</c:v>
                </c:pt>
                <c:pt idx="885">
                  <c:v>34.536000000001415</c:v>
                </c:pt>
                <c:pt idx="886">
                  <c:v>34.536100000001419</c:v>
                </c:pt>
                <c:pt idx="887">
                  <c:v>34.536200000001422</c:v>
                </c:pt>
                <c:pt idx="888">
                  <c:v>34.536300000001425</c:v>
                </c:pt>
                <c:pt idx="889">
                  <c:v>34.536400000001429</c:v>
                </c:pt>
                <c:pt idx="890">
                  <c:v>34.536500000001432</c:v>
                </c:pt>
                <c:pt idx="891">
                  <c:v>34.536600000001435</c:v>
                </c:pt>
                <c:pt idx="892">
                  <c:v>34.536700000001439</c:v>
                </c:pt>
                <c:pt idx="893">
                  <c:v>34.536800000001442</c:v>
                </c:pt>
                <c:pt idx="894">
                  <c:v>34.536900000001445</c:v>
                </c:pt>
                <c:pt idx="895">
                  <c:v>34.537000000001449</c:v>
                </c:pt>
                <c:pt idx="896">
                  <c:v>34.537100000001452</c:v>
                </c:pt>
                <c:pt idx="897">
                  <c:v>34.537200000001455</c:v>
                </c:pt>
                <c:pt idx="898">
                  <c:v>34.537300000001458</c:v>
                </c:pt>
                <c:pt idx="899">
                  <c:v>34.537400000001462</c:v>
                </c:pt>
                <c:pt idx="900">
                  <c:v>34.537500000001465</c:v>
                </c:pt>
                <c:pt idx="901">
                  <c:v>34.537600000001468</c:v>
                </c:pt>
                <c:pt idx="902">
                  <c:v>34.537700000001472</c:v>
                </c:pt>
                <c:pt idx="903">
                  <c:v>34.537800000001475</c:v>
                </c:pt>
                <c:pt idx="904">
                  <c:v>34.537900000001478</c:v>
                </c:pt>
                <c:pt idx="905">
                  <c:v>34.538000000001482</c:v>
                </c:pt>
                <c:pt idx="906">
                  <c:v>34.538100000001485</c:v>
                </c:pt>
                <c:pt idx="907">
                  <c:v>34.538200000001488</c:v>
                </c:pt>
                <c:pt idx="908">
                  <c:v>34.538300000001492</c:v>
                </c:pt>
                <c:pt idx="909">
                  <c:v>34.538400000001495</c:v>
                </c:pt>
                <c:pt idx="910">
                  <c:v>34.538500000001498</c:v>
                </c:pt>
                <c:pt idx="911">
                  <c:v>34.538600000001502</c:v>
                </c:pt>
                <c:pt idx="912">
                  <c:v>34.538700000001505</c:v>
                </c:pt>
                <c:pt idx="913">
                  <c:v>34.538800000001508</c:v>
                </c:pt>
                <c:pt idx="914">
                  <c:v>34.538900000001512</c:v>
                </c:pt>
                <c:pt idx="915">
                  <c:v>34.539000000001515</c:v>
                </c:pt>
                <c:pt idx="916">
                  <c:v>34.539100000001518</c:v>
                </c:pt>
                <c:pt idx="917">
                  <c:v>34.539200000001522</c:v>
                </c:pt>
                <c:pt idx="918">
                  <c:v>34.539300000001525</c:v>
                </c:pt>
                <c:pt idx="919">
                  <c:v>34.539400000001528</c:v>
                </c:pt>
                <c:pt idx="920">
                  <c:v>34.539500000001532</c:v>
                </c:pt>
                <c:pt idx="921">
                  <c:v>34.539600000001535</c:v>
                </c:pt>
                <c:pt idx="922">
                  <c:v>34.539700000001538</c:v>
                </c:pt>
                <c:pt idx="923">
                  <c:v>34.539800000001541</c:v>
                </c:pt>
                <c:pt idx="924">
                  <c:v>34.539900000001545</c:v>
                </c:pt>
                <c:pt idx="925">
                  <c:v>34.540000000001548</c:v>
                </c:pt>
                <c:pt idx="926">
                  <c:v>34.540100000001551</c:v>
                </c:pt>
                <c:pt idx="927">
                  <c:v>34.540200000001555</c:v>
                </c:pt>
                <c:pt idx="928">
                  <c:v>34.540300000001558</c:v>
                </c:pt>
                <c:pt idx="929">
                  <c:v>34.540400000001561</c:v>
                </c:pt>
                <c:pt idx="930">
                  <c:v>34.540500000001565</c:v>
                </c:pt>
                <c:pt idx="931">
                  <c:v>34.540600000001568</c:v>
                </c:pt>
                <c:pt idx="932">
                  <c:v>34.540700000001571</c:v>
                </c:pt>
                <c:pt idx="933">
                  <c:v>34.540800000001575</c:v>
                </c:pt>
                <c:pt idx="934">
                  <c:v>34.540900000001578</c:v>
                </c:pt>
                <c:pt idx="935">
                  <c:v>34.541000000001581</c:v>
                </c:pt>
                <c:pt idx="936">
                  <c:v>34.541100000001585</c:v>
                </c:pt>
                <c:pt idx="937">
                  <c:v>34.541200000001588</c:v>
                </c:pt>
                <c:pt idx="938">
                  <c:v>34.541300000001591</c:v>
                </c:pt>
                <c:pt idx="939">
                  <c:v>34.541400000001595</c:v>
                </c:pt>
                <c:pt idx="940">
                  <c:v>34.541500000001598</c:v>
                </c:pt>
                <c:pt idx="941">
                  <c:v>34.541600000001601</c:v>
                </c:pt>
                <c:pt idx="942">
                  <c:v>34.541700000001605</c:v>
                </c:pt>
                <c:pt idx="943">
                  <c:v>34.541800000001608</c:v>
                </c:pt>
                <c:pt idx="944">
                  <c:v>34.541900000001611</c:v>
                </c:pt>
                <c:pt idx="945">
                  <c:v>34.542000000001615</c:v>
                </c:pt>
                <c:pt idx="946">
                  <c:v>34.542100000001618</c:v>
                </c:pt>
                <c:pt idx="947">
                  <c:v>34.542200000001621</c:v>
                </c:pt>
                <c:pt idx="948">
                  <c:v>34.542300000001624</c:v>
                </c:pt>
                <c:pt idx="949">
                  <c:v>34.542400000001628</c:v>
                </c:pt>
                <c:pt idx="950">
                  <c:v>34.542500000001631</c:v>
                </c:pt>
                <c:pt idx="951">
                  <c:v>34.542600000001634</c:v>
                </c:pt>
                <c:pt idx="952">
                  <c:v>34.542700000001638</c:v>
                </c:pt>
                <c:pt idx="953">
                  <c:v>34.542800000001641</c:v>
                </c:pt>
                <c:pt idx="954">
                  <c:v>34.542900000001644</c:v>
                </c:pt>
                <c:pt idx="955">
                  <c:v>34.543000000001648</c:v>
                </c:pt>
                <c:pt idx="956">
                  <c:v>34.543100000001651</c:v>
                </c:pt>
                <c:pt idx="957">
                  <c:v>34.543200000001654</c:v>
                </c:pt>
                <c:pt idx="958">
                  <c:v>34.543300000001658</c:v>
                </c:pt>
                <c:pt idx="959">
                  <c:v>34.543400000001661</c:v>
                </c:pt>
                <c:pt idx="960">
                  <c:v>34.543500000001664</c:v>
                </c:pt>
                <c:pt idx="961">
                  <c:v>34.543600000001668</c:v>
                </c:pt>
                <c:pt idx="962">
                  <c:v>34.543700000001671</c:v>
                </c:pt>
                <c:pt idx="963">
                  <c:v>34.543800000001674</c:v>
                </c:pt>
                <c:pt idx="964">
                  <c:v>34.543900000001678</c:v>
                </c:pt>
                <c:pt idx="965">
                  <c:v>34.544000000001681</c:v>
                </c:pt>
                <c:pt idx="966">
                  <c:v>34.544100000001684</c:v>
                </c:pt>
                <c:pt idx="967">
                  <c:v>34.544200000001688</c:v>
                </c:pt>
                <c:pt idx="968">
                  <c:v>34.544300000001691</c:v>
                </c:pt>
                <c:pt idx="969">
                  <c:v>34.544400000001694</c:v>
                </c:pt>
                <c:pt idx="970">
                  <c:v>34.544500000001698</c:v>
                </c:pt>
                <c:pt idx="971">
                  <c:v>34.544600000001701</c:v>
                </c:pt>
                <c:pt idx="972">
                  <c:v>34.544700000001704</c:v>
                </c:pt>
                <c:pt idx="973">
                  <c:v>34.544800000001707</c:v>
                </c:pt>
                <c:pt idx="974">
                  <c:v>34.544900000001711</c:v>
                </c:pt>
                <c:pt idx="975">
                  <c:v>34.545000000001714</c:v>
                </c:pt>
                <c:pt idx="976">
                  <c:v>34.545100000001717</c:v>
                </c:pt>
                <c:pt idx="977">
                  <c:v>34.545200000001721</c:v>
                </c:pt>
                <c:pt idx="978">
                  <c:v>34.545300000001724</c:v>
                </c:pt>
                <c:pt idx="979">
                  <c:v>34.545400000001727</c:v>
                </c:pt>
                <c:pt idx="980">
                  <c:v>34.545500000001731</c:v>
                </c:pt>
                <c:pt idx="981">
                  <c:v>34.545600000001734</c:v>
                </c:pt>
                <c:pt idx="982">
                  <c:v>34.545700000001737</c:v>
                </c:pt>
                <c:pt idx="983">
                  <c:v>34.545800000001741</c:v>
                </c:pt>
                <c:pt idx="984">
                  <c:v>34.545900000001744</c:v>
                </c:pt>
                <c:pt idx="985">
                  <c:v>34.546000000001747</c:v>
                </c:pt>
                <c:pt idx="986">
                  <c:v>34.546100000001751</c:v>
                </c:pt>
                <c:pt idx="987">
                  <c:v>34.546200000001754</c:v>
                </c:pt>
                <c:pt idx="988">
                  <c:v>34.546300000001757</c:v>
                </c:pt>
                <c:pt idx="989">
                  <c:v>34.546400000001761</c:v>
                </c:pt>
                <c:pt idx="990">
                  <c:v>34.546500000001764</c:v>
                </c:pt>
                <c:pt idx="991">
                  <c:v>34.546600000001767</c:v>
                </c:pt>
                <c:pt idx="992">
                  <c:v>34.546700000001771</c:v>
                </c:pt>
                <c:pt idx="993">
                  <c:v>34.546800000001774</c:v>
                </c:pt>
                <c:pt idx="994">
                  <c:v>34.546900000001777</c:v>
                </c:pt>
                <c:pt idx="995">
                  <c:v>34.547000000001781</c:v>
                </c:pt>
                <c:pt idx="996">
                  <c:v>34.547100000001784</c:v>
                </c:pt>
                <c:pt idx="997">
                  <c:v>34.547200000001787</c:v>
                </c:pt>
                <c:pt idx="998">
                  <c:v>34.54730000000179</c:v>
                </c:pt>
                <c:pt idx="999">
                  <c:v>34.547400000001794</c:v>
                </c:pt>
                <c:pt idx="1000">
                  <c:v>34.547500000001797</c:v>
                </c:pt>
              </c:numCache>
            </c:numRef>
          </c:xVal>
          <c:yVal>
            <c:numRef>
              <c:f>Calculs!$AG$4:$AG$1004</c:f>
              <c:numCache>
                <c:formatCode>0.00</c:formatCode>
                <c:ptCount val="1001"/>
                <c:pt idx="0">
                  <c:v>0</c:v>
                </c:pt>
                <c:pt idx="1">
                  <c:v>19.53262117820212</c:v>
                </c:pt>
                <c:pt idx="2">
                  <c:v>100.81031421288107</c:v>
                </c:pt>
                <c:pt idx="3">
                  <c:v>150.34821267032996</c:v>
                </c:pt>
                <c:pt idx="4">
                  <c:v>145.17983214387007</c:v>
                </c:pt>
                <c:pt idx="5">
                  <c:v>139.99773289417016</c:v>
                </c:pt>
                <c:pt idx="6">
                  <c:v>137.96960618962831</c:v>
                </c:pt>
                <c:pt idx="7">
                  <c:v>139.10470083577806</c:v>
                </c:pt>
                <c:pt idx="8">
                  <c:v>140.24030481265777</c:v>
                </c:pt>
                <c:pt idx="9">
                  <c:v>141.37639120487418</c:v>
                </c:pt>
                <c:pt idx="10">
                  <c:v>142.51293265443425</c:v>
                </c:pt>
                <c:pt idx="11">
                  <c:v>143.32109197868292</c:v>
                </c:pt>
                <c:pt idx="12">
                  <c:v>143.79988574703214</c:v>
                </c:pt>
                <c:pt idx="13">
                  <c:v>144.27764482824227</c:v>
                </c:pt>
                <c:pt idx="14">
                  <c:v>144.75435001954736</c:v>
                </c:pt>
                <c:pt idx="15">
                  <c:v>145.22998206204926</c:v>
                </c:pt>
                <c:pt idx="16">
                  <c:v>145.70452164234896</c:v>
                </c:pt>
                <c:pt idx="17">
                  <c:v>146.17794939420139</c:v>
                </c:pt>
                <c:pt idx="18">
                  <c:v>146.65024590019394</c:v>
                </c:pt>
                <c:pt idx="19">
                  <c:v>147.12139169344809</c:v>
                </c:pt>
                <c:pt idx="20">
                  <c:v>147.59136725934511</c:v>
                </c:pt>
                <c:pt idx="21">
                  <c:v>147.92809790141038</c:v>
                </c:pt>
                <c:pt idx="22">
                  <c:v>148.1311890507279</c:v>
                </c:pt>
                <c:pt idx="23">
                  <c:v>148.33251224771539</c:v>
                </c:pt>
                <c:pt idx="24">
                  <c:v>148.53205587826218</c:v>
                </c:pt>
                <c:pt idx="25">
                  <c:v>148.72980839983987</c:v>
                </c:pt>
                <c:pt idx="26">
                  <c:v>148.92575834301175</c:v>
                </c:pt>
                <c:pt idx="27">
                  <c:v>149.12068613890008</c:v>
                </c:pt>
                <c:pt idx="28">
                  <c:v>149.31377500088865</c:v>
                </c:pt>
                <c:pt idx="29">
                  <c:v>149.50500102086357</c:v>
                </c:pt>
                <c:pt idx="30">
                  <c:v>149.69435477108462</c:v>
                </c:pt>
                <c:pt idx="31">
                  <c:v>149.88182672868405</c:v>
                </c:pt>
                <c:pt idx="32">
                  <c:v>150.06740730016188</c:v>
                </c:pt>
                <c:pt idx="33">
                  <c:v>150.25108684221527</c:v>
                </c:pt>
                <c:pt idx="34">
                  <c:v>150.43285567958208</c:v>
                </c:pt>
                <c:pt idx="35">
                  <c:v>150.61270412043589</c:v>
                </c:pt>
                <c:pt idx="36">
                  <c:v>150.79062246975886</c:v>
                </c:pt>
                <c:pt idx="37">
                  <c:v>150.96660104103523</c:v>
                </c:pt>
                <c:pt idx="38">
                  <c:v>151.14063016654114</c:v>
                </c:pt>
                <c:pt idx="39">
                  <c:v>151.31270020645485</c:v>
                </c:pt>
                <c:pt idx="40">
                  <c:v>151.48280155697074</c:v>
                </c:pt>
                <c:pt idx="41">
                  <c:v>151.54793553231514</c:v>
                </c:pt>
                <c:pt idx="42">
                  <c:v>151.50782271914994</c:v>
                </c:pt>
                <c:pt idx="43">
                  <c:v>151.46534334387869</c:v>
                </c:pt>
                <c:pt idx="44">
                  <c:v>151.42049635473245</c:v>
                </c:pt>
                <c:pt idx="45">
                  <c:v>151.37328082367068</c:v>
                </c:pt>
                <c:pt idx="46">
                  <c:v>151.32369595019279</c:v>
                </c:pt>
                <c:pt idx="47">
                  <c:v>151.27174106474908</c:v>
                </c:pt>
                <c:pt idx="48">
                  <c:v>151.21741563180041</c:v>
                </c:pt>
                <c:pt idx="49">
                  <c:v>151.16071925256938</c:v>
                </c:pt>
                <c:pt idx="50">
                  <c:v>151.10165166751855</c:v>
                </c:pt>
                <c:pt idx="51">
                  <c:v>151.04021275858639</c:v>
                </c:pt>
                <c:pt idx="52">
                  <c:v>150.97640255120692</c:v>
                </c:pt>
                <c:pt idx="53">
                  <c:v>150.91022121613665</c:v>
                </c:pt>
                <c:pt idx="54">
                  <c:v>150.84166907110762</c:v>
                </c:pt>
                <c:pt idx="55">
                  <c:v>150.77074658232337</c:v>
                </c:pt>
                <c:pt idx="56">
                  <c:v>150.69745436581351</c:v>
                </c:pt>
                <c:pt idx="57">
                  <c:v>150.62179318865844</c:v>
                </c:pt>
                <c:pt idx="58">
                  <c:v>150.5437639700969</c:v>
                </c:pt>
                <c:pt idx="59">
                  <c:v>150.46336778252453</c:v>
                </c:pt>
                <c:pt idx="60">
                  <c:v>150.38060585239344</c:v>
                </c:pt>
                <c:pt idx="61">
                  <c:v>150.29547956102007</c:v>
                </c:pt>
                <c:pt idx="62">
                  <c:v>150.2079904453073</c:v>
                </c:pt>
                <c:pt idx="63">
                  <c:v>150.11814019838761</c:v>
                </c:pt>
                <c:pt idx="64">
                  <c:v>150.02593067019205</c:v>
                </c:pt>
                <c:pt idx="65">
                  <c:v>149.93136386795015</c:v>
                </c:pt>
                <c:pt idx="66">
                  <c:v>149.8344419566242</c:v>
                </c:pt>
                <c:pt idx="67">
                  <c:v>149.73516725928258</c:v>
                </c:pt>
                <c:pt idx="68">
                  <c:v>149.63354225741432</c:v>
                </c:pt>
                <c:pt idx="69">
                  <c:v>149.52956959118913</c:v>
                </c:pt>
                <c:pt idx="70">
                  <c:v>149.42325205966446</c:v>
                </c:pt>
                <c:pt idx="71">
                  <c:v>149.31459262094251</c:v>
                </c:pt>
                <c:pt idx="72">
                  <c:v>149.20359439227963</c:v>
                </c:pt>
                <c:pt idx="73">
                  <c:v>149.09026065014936</c:v>
                </c:pt>
                <c:pt idx="74">
                  <c:v>148.97459483026176</c:v>
                </c:pt>
                <c:pt idx="75">
                  <c:v>148.85660052753965</c:v>
                </c:pt>
                <c:pt idx="76">
                  <c:v>148.73628149605429</c:v>
                </c:pt>
                <c:pt idx="77">
                  <c:v>148.61364164892106</c:v>
                </c:pt>
                <c:pt idx="78">
                  <c:v>148.48868505815651</c:v>
                </c:pt>
                <c:pt idx="79">
                  <c:v>148.36141595449848</c:v>
                </c:pt>
                <c:pt idx="80">
                  <c:v>148.23183872718963</c:v>
                </c:pt>
                <c:pt idx="81">
                  <c:v>147.99483534990884</c:v>
                </c:pt>
                <c:pt idx="82">
                  <c:v>147.65020069072654</c:v>
                </c:pt>
                <c:pt idx="83">
                  <c:v>147.30302907300521</c:v>
                </c:pt>
                <c:pt idx="84">
                  <c:v>146.95333591998303</c:v>
                </c:pt>
                <c:pt idx="85">
                  <c:v>146.60113682300664</c:v>
                </c:pt>
                <c:pt idx="86">
                  <c:v>146.24644753945955</c:v>
                </c:pt>
                <c:pt idx="87">
                  <c:v>145.88928399065742</c:v>
                </c:pt>
                <c:pt idx="88">
                  <c:v>145.52966225971178</c:v>
                </c:pt>
                <c:pt idx="89">
                  <c:v>145.167598589363</c:v>
                </c:pt>
                <c:pt idx="90">
                  <c:v>144.8031093797839</c:v>
                </c:pt>
                <c:pt idx="91">
                  <c:v>144.38970133840292</c:v>
                </c:pt>
                <c:pt idx="92">
                  <c:v>143.92730792338853</c:v>
                </c:pt>
                <c:pt idx="93">
                  <c:v>143.46245014528924</c:v>
                </c:pt>
                <c:pt idx="94">
                  <c:v>142.99515000577594</c:v>
                </c:pt>
                <c:pt idx="95">
                  <c:v>142.52542964584231</c:v>
                </c:pt>
                <c:pt idx="96">
                  <c:v>142.05331134258978</c:v>
                </c:pt>
                <c:pt idx="97">
                  <c:v>141.57881750599404</c:v>
                </c:pt>
                <c:pt idx="98">
                  <c:v>141.10197067565448</c:v>
                </c:pt>
                <c:pt idx="99">
                  <c:v>140.62279351752721</c:v>
                </c:pt>
                <c:pt idx="100">
                  <c:v>140.14130882064327</c:v>
                </c:pt>
                <c:pt idx="101">
                  <c:v>139.65009022933711</c:v>
                </c:pt>
                <c:pt idx="102">
                  <c:v>139.14914907099489</c:v>
                </c:pt>
                <c:pt idx="103">
                  <c:v>138.64595827931052</c:v>
                </c:pt>
                <c:pt idx="104">
                  <c:v>138.1405419164231</c:v>
                </c:pt>
                <c:pt idx="105">
                  <c:v>137.63292414865887</c:v>
                </c:pt>
                <c:pt idx="106">
                  <c:v>137.12312924304166</c:v>
                </c:pt>
                <c:pt idx="107">
                  <c:v>136.61118156379663</c:v>
                </c:pt>
                <c:pt idx="108">
                  <c:v>136.09710556884875</c:v>
                </c:pt>
                <c:pt idx="109">
                  <c:v>135.58092580631691</c:v>
                </c:pt>
                <c:pt idx="110">
                  <c:v>135.06266691100481</c:v>
                </c:pt>
                <c:pt idx="111">
                  <c:v>134.62823514234088</c:v>
                </c:pt>
                <c:pt idx="112">
                  <c:v>134.27777167394913</c:v>
                </c:pt>
                <c:pt idx="113">
                  <c:v>133.92539788829606</c:v>
                </c:pt>
                <c:pt idx="114">
                  <c:v>133.57112988625431</c:v>
                </c:pt>
                <c:pt idx="115">
                  <c:v>133.21498386553682</c:v>
                </c:pt>
                <c:pt idx="116">
                  <c:v>132.85697611859814</c:v>
                </c:pt>
                <c:pt idx="117">
                  <c:v>132.49712303052655</c:v>
                </c:pt>
                <c:pt idx="118">
                  <c:v>132.13544107692749</c:v>
                </c:pt>
                <c:pt idx="119">
                  <c:v>131.77194682179902</c:v>
                </c:pt>
                <c:pt idx="120">
                  <c:v>131.40665691539942</c:v>
                </c:pt>
                <c:pt idx="121">
                  <c:v>130.89695704437455</c:v>
                </c:pt>
                <c:pt idx="122">
                  <c:v>130.24269731550146</c:v>
                </c:pt>
                <c:pt idx="123">
                  <c:v>129.58658703843139</c:v>
                </c:pt>
                <c:pt idx="124">
                  <c:v>128.92865817168985</c:v>
                </c:pt>
                <c:pt idx="125">
                  <c:v>128.26894268186606</c:v>
                </c:pt>
                <c:pt idx="126">
                  <c:v>127.60747253908072</c:v>
                </c:pt>
                <c:pt idx="127">
                  <c:v>126.94427971247956</c:v>
                </c:pt>
                <c:pt idx="128">
                  <c:v>126.27939616575371</c:v>
                </c:pt>
                <c:pt idx="129">
                  <c:v>125.61285385268694</c:v>
                </c:pt>
                <c:pt idx="130">
                  <c:v>124.94468471273218</c:v>
                </c:pt>
                <c:pt idx="131">
                  <c:v>124.23753164619859</c:v>
                </c:pt>
                <c:pt idx="132">
                  <c:v>123.49139202227011</c:v>
                </c:pt>
                <c:pt idx="133">
                  <c:v>122.74371052006994</c:v>
                </c:pt>
                <c:pt idx="134">
                  <c:v>121.99452317084048</c:v>
                </c:pt>
                <c:pt idx="135">
                  <c:v>121.24386594037625</c:v>
                </c:pt>
                <c:pt idx="136">
                  <c:v>120.49177472413054</c:v>
                </c:pt>
                <c:pt idx="137">
                  <c:v>119.73828534237111</c:v>
                </c:pt>
                <c:pt idx="138">
                  <c:v>118.98343353538431</c:v>
                </c:pt>
                <c:pt idx="139">
                  <c:v>118.22725495872926</c:v>
                </c:pt>
                <c:pt idx="140">
                  <c:v>117.4697851785435</c:v>
                </c:pt>
                <c:pt idx="141">
                  <c:v>116.26345639557428</c:v>
                </c:pt>
                <c:pt idx="142">
                  <c:v>114.60801111986771</c:v>
                </c:pt>
                <c:pt idx="143">
                  <c:v>112.9514741370516</c:v>
                </c:pt>
                <c:pt idx="144">
                  <c:v>111.29394135659982</c:v>
                </c:pt>
                <c:pt idx="145">
                  <c:v>109.63550790519523</c:v>
                </c:pt>
                <c:pt idx="146">
                  <c:v>107.97626811193518</c:v>
                </c:pt>
                <c:pt idx="147">
                  <c:v>106.31631549394288</c:v>
                </c:pt>
                <c:pt idx="148">
                  <c:v>104.65574274238628</c:v>
                </c:pt>
                <c:pt idx="149">
                  <c:v>102.99464170890406</c:v>
                </c:pt>
                <c:pt idx="150">
                  <c:v>101.33310339244039</c:v>
                </c:pt>
                <c:pt idx="151">
                  <c:v>99.671217926487969</c:v>
                </c:pt>
                <c:pt idx="152">
                  <c:v>98.009074566739571</c:v>
                </c:pt>
                <c:pt idx="153">
                  <c:v>96.346761679147974</c:v>
                </c:pt>
                <c:pt idx="154">
                  <c:v>94.684366728393798</c:v>
                </c:pt>
                <c:pt idx="155">
                  <c:v>93.02197626676039</c:v>
                </c:pt>
                <c:pt idx="156">
                  <c:v>89.236401336721087</c:v>
                </c:pt>
                <c:pt idx="157">
                  <c:v>83.327885378803188</c:v>
                </c:pt>
                <c:pt idx="158">
                  <c:v>77.422802946592824</c:v>
                </c:pt>
                <c:pt idx="159">
                  <c:v>71.521801903825704</c:v>
                </c:pt>
                <c:pt idx="160">
                  <c:v>65.625517911279289</c:v>
                </c:pt>
                <c:pt idx="161">
                  <c:v>57.034073550596545</c:v>
                </c:pt>
                <c:pt idx="162">
                  <c:v>45.750497656149911</c:v>
                </c:pt>
                <c:pt idx="163">
                  <c:v>34.738855233210082</c:v>
                </c:pt>
                <c:pt idx="164">
                  <c:v>24.000757904796181</c:v>
                </c:pt>
                <c:pt idx="165">
                  <c:v>15.860174687268149</c:v>
                </c:pt>
                <c:pt idx="166">
                  <c:v>10.314314667826341</c:v>
                </c:pt>
                <c:pt idx="167">
                  <c:v>2.8167455140425499</c:v>
                </c:pt>
                <c:pt idx="168">
                  <c:v>-5.2089559949143238</c:v>
                </c:pt>
                <c:pt idx="169">
                  <c:v>-17.269753067266176</c:v>
                </c:pt>
                <c:pt idx="170">
                  <c:v>-30.516158327944556</c:v>
                </c:pt>
                <c:pt idx="171">
                  <c:v>-34.956600929414456</c:v>
                </c:pt>
                <c:pt idx="172">
                  <c:v>-34.870138782577726</c:v>
                </c:pt>
                <c:pt idx="173">
                  <c:v>-34.7840494338705</c:v>
                </c:pt>
                <c:pt idx="174">
                  <c:v>-34.698330734618573</c:v>
                </c:pt>
                <c:pt idx="175">
                  <c:v>-34.612980551711864</c:v>
                </c:pt>
                <c:pt idx="176">
                  <c:v>-34.527996767468487</c:v>
                </c:pt>
                <c:pt idx="177">
                  <c:v>-34.443377279500545</c:v>
                </c:pt>
                <c:pt idx="178">
                  <c:v>-34.359120000581001</c:v>
                </c:pt>
                <c:pt idx="179">
                  <c:v>-34.275222858512095</c:v>
                </c:pt>
                <c:pt idx="180">
                  <c:v>-34.191683795995019</c:v>
                </c:pt>
                <c:pt idx="181">
                  <c:v>-34.108500770500896</c:v>
                </c:pt>
                <c:pt idx="182">
                  <c:v>-34.025671754143119</c:v>
                </c:pt>
                <c:pt idx="183">
                  <c:v>-33.943194733550897</c:v>
                </c:pt>
                <c:pt idx="184">
                  <c:v>-33.861067709744177</c:v>
                </c:pt>
                <c:pt idx="185">
                  <c:v>-33.779288698009744</c:v>
                </c:pt>
                <c:pt idx="186">
                  <c:v>-33.697855727778645</c:v>
                </c:pt>
                <c:pt idx="187">
                  <c:v>-33.616766842504695</c:v>
                </c:pt>
                <c:pt idx="188">
                  <c:v>-33.536020099544388</c:v>
                </c:pt>
                <c:pt idx="189">
                  <c:v>-33.455613570037912</c:v>
                </c:pt>
                <c:pt idx="190">
                  <c:v>-33.375545338791319</c:v>
                </c:pt>
                <c:pt idx="191">
                  <c:v>-33.295813504159973</c:v>
                </c:pt>
                <c:pt idx="192">
                  <c:v>-33.21641617793307</c:v>
                </c:pt>
                <c:pt idx="193">
                  <c:v>-33.137351485219348</c:v>
                </c:pt>
                <c:pt idx="194">
                  <c:v>-33.058617564333879</c:v>
                </c:pt>
                <c:pt idx="195">
                  <c:v>-32.980212566686134</c:v>
                </c:pt>
                <c:pt idx="196">
                  <c:v>-32.902134656668977</c:v>
                </c:pt>
                <c:pt idx="197">
                  <c:v>-32.824382011548785</c:v>
                </c:pt>
                <c:pt idx="198">
                  <c:v>-32.746952821356835</c:v>
                </c:pt>
                <c:pt idx="199">
                  <c:v>-32.669845288781538</c:v>
                </c:pt>
                <c:pt idx="200">
                  <c:v>-32.593057629061818</c:v>
                </c:pt>
                <c:pt idx="201">
                  <c:v>-32.516588069881593</c:v>
                </c:pt>
                <c:pt idx="202">
                  <c:v>-31.761709710912285</c:v>
                </c:pt>
                <c:pt idx="203">
                  <c:v>-31.037483024137799</c:v>
                </c:pt>
                <c:pt idx="204">
                  <c:v>-30.342262313860353</c:v>
                </c:pt>
                <c:pt idx="205">
                  <c:v>-29.674511768810945</c:v>
                </c:pt>
                <c:pt idx="206">
                  <c:v>-29.032796714271434</c:v>
                </c:pt>
                <c:pt idx="207">
                  <c:v>-28.415775668690884</c:v>
                </c:pt>
                <c:pt idx="208">
                  <c:v>-27.822193121026277</c:v>
                </c:pt>
                <c:pt idx="209">
                  <c:v>-27.250872954746654</c:v>
                </c:pt>
                <c:pt idx="210">
                  <c:v>-26.700712452912128</c:v>
                </c:pt>
                <c:pt idx="211">
                  <c:v>-26.170676826144913</c:v>
                </c:pt>
                <c:pt idx="212">
                  <c:v>-25.659794211796022</c:v>
                </c:pt>
                <c:pt idx="213">
                  <c:v>-25.167151098302242</c:v>
                </c:pt>
                <c:pt idx="214">
                  <c:v>-24.691888133728881</c:v>
                </c:pt>
                <c:pt idx="215">
                  <c:v>-24.233196281897314</c:v>
                </c:pt>
                <c:pt idx="216">
                  <c:v>-23.790313293378556</c:v>
                </c:pt>
                <c:pt idx="217">
                  <c:v>-23.362520462062999</c:v>
                </c:pt>
                <c:pt idx="218">
                  <c:v>-22.949139641049868</c:v>
                </c:pt>
                <c:pt idx="219">
                  <c:v>-22.549530494286799</c:v>
                </c:pt>
                <c:pt idx="220">
                  <c:v>-22.163087962773993</c:v>
                </c:pt>
                <c:pt idx="221">
                  <c:v>-21.789239926265459</c:v>
                </c:pt>
                <c:pt idx="222">
                  <c:v>-21.4274450432846</c:v>
                </c:pt>
                <c:pt idx="223">
                  <c:v>-21.077190753949949</c:v>
                </c:pt>
                <c:pt idx="224">
                  <c:v>-20.737991431605252</c:v>
                </c:pt>
                <c:pt idx="225">
                  <c:v>-20.409386670585548</c:v>
                </c:pt>
                <c:pt idx="226">
                  <c:v>-20.090939698647738</c:v>
                </c:pt>
                <c:pt idx="227">
                  <c:v>-19.782235903665956</c:v>
                </c:pt>
                <c:pt idx="228">
                  <c:v>-19.482881465152129</c:v>
                </c:pt>
                <c:pt idx="229">
                  <c:v>-19.192502082025044</c:v>
                </c:pt>
                <c:pt idx="230">
                  <c:v>-18.91074178882549</c:v>
                </c:pt>
                <c:pt idx="231">
                  <c:v>-18.63726185327242</c:v>
                </c:pt>
                <c:pt idx="232">
                  <c:v>-18.371739748682302</c:v>
                </c:pt>
                <c:pt idx="233">
                  <c:v>-18.113868195339695</c:v>
                </c:pt>
                <c:pt idx="234">
                  <c:v>-17.863354265417293</c:v>
                </c:pt>
                <c:pt idx="235">
                  <c:v>-17.61991854650454</c:v>
                </c:pt>
                <c:pt idx="236">
                  <c:v>-17.383294359220486</c:v>
                </c:pt>
                <c:pt idx="237">
                  <c:v>-17.15322702476298</c:v>
                </c:pt>
                <c:pt idx="238">
                  <c:v>-16.929473178587724</c:v>
                </c:pt>
                <c:pt idx="239">
                  <c:v>-16.711800126718973</c:v>
                </c:pt>
                <c:pt idx="240">
                  <c:v>-16.499985241474061</c:v>
                </c:pt>
                <c:pt idx="241">
                  <c:v>-16.293815393637331</c:v>
                </c:pt>
                <c:pt idx="242">
                  <c:v>-16.093086418349444</c:v>
                </c:pt>
                <c:pt idx="243">
                  <c:v>-15.897602612186608</c:v>
                </c:pt>
                <c:pt idx="244">
                  <c:v>-15.707176259094084</c:v>
                </c:pt>
                <c:pt idx="245">
                  <c:v>-15.521627183009842</c:v>
                </c:pt>
                <c:pt idx="246">
                  <c:v>-15.340782325170505</c:v>
                </c:pt>
                <c:pt idx="247">
                  <c:v>-15.164475344232738</c:v>
                </c:pt>
                <c:pt idx="248">
                  <c:v>-14.992546237471586</c:v>
                </c:pt>
                <c:pt idx="249">
                  <c:v>-14.824840981432821</c:v>
                </c:pt>
                <c:pt idx="250">
                  <c:v>-14.661211190521136</c:v>
                </c:pt>
                <c:pt idx="251">
                  <c:v>-14.501513792100294</c:v>
                </c:pt>
                <c:pt idx="252">
                  <c:v>-14.345610716765965</c:v>
                </c:pt>
                <c:pt idx="253">
                  <c:v>-14.193368602528039</c:v>
                </c:pt>
                <c:pt idx="254">
                  <c:v>-14.044658511706537</c:v>
                </c:pt>
                <c:pt idx="255">
                  <c:v>-13.899355659405373</c:v>
                </c:pt>
                <c:pt idx="256">
                  <c:v>-13.757339152480366</c:v>
                </c:pt>
                <c:pt idx="257">
                  <c:v>-13.618491737963879</c:v>
                </c:pt>
                <c:pt idx="258">
                  <c:v>-13.4826995599471</c:v>
                </c:pt>
                <c:pt idx="259">
                  <c:v>-13.349851923953871</c:v>
                </c:pt>
                <c:pt idx="260">
                  <c:v>-13.219841067866227</c:v>
                </c:pt>
                <c:pt idx="261">
                  <c:v>-13.092561938482451</c:v>
                </c:pt>
                <c:pt idx="262">
                  <c:v>-12.967911972802915</c:v>
                </c:pt>
                <c:pt idx="263">
                  <c:v>-12.845790883147806</c:v>
                </c:pt>
                <c:pt idx="264">
                  <c:v>-12.726100445213632</c:v>
                </c:pt>
                <c:pt idx="265">
                  <c:v>-12.608744288172444</c:v>
                </c:pt>
                <c:pt idx="266">
                  <c:v>-12.49362768590874</c:v>
                </c:pt>
                <c:pt idx="267">
                  <c:v>-12.380657348473903</c:v>
                </c:pt>
                <c:pt idx="268">
                  <c:v>-12.269741212816594</c:v>
                </c:pt>
                <c:pt idx="269">
                  <c:v>-12.160788231819701</c:v>
                </c:pt>
                <c:pt idx="270">
                  <c:v>-12.053708160639639</c:v>
                </c:pt>
                <c:pt idx="271">
                  <c:v>-11.948411339302133</c:v>
                </c:pt>
                <c:pt idx="272">
                  <c:v>-11.844808470459322</c:v>
                </c:pt>
                <c:pt idx="273">
                  <c:v>-11.742810391156031</c:v>
                </c:pt>
                <c:pt idx="274">
                  <c:v>-11.642327837387963</c:v>
                </c:pt>
                <c:pt idx="275">
                  <c:v>-11.543271200160587</c:v>
                </c:pt>
                <c:pt idx="276">
                  <c:v>-11.445550271674829</c:v>
                </c:pt>
                <c:pt idx="277">
                  <c:v>-11.349073980173301</c:v>
                </c:pt>
                <c:pt idx="278">
                  <c:v>-11.253750111878793</c:v>
                </c:pt>
                <c:pt idx="279">
                  <c:v>-11.159485018344531</c:v>
                </c:pt>
                <c:pt idx="280">
                  <c:v>-11.066183307413214</c:v>
                </c:pt>
                <c:pt idx="281">
                  <c:v>-10.973747515848913</c:v>
                </c:pt>
                <c:pt idx="282">
                  <c:v>-10.882077761562858</c:v>
                </c:pt>
                <c:pt idx="283">
                  <c:v>-10.791071373201149</c:v>
                </c:pt>
                <c:pt idx="284">
                  <c:v>-10.700622494700683</c:v>
                </c:pt>
                <c:pt idx="285">
                  <c:v>-10.610621662250274</c:v>
                </c:pt>
                <c:pt idx="286">
                  <c:v>-10.520955350919175</c:v>
                </c:pt>
                <c:pt idx="287">
                  <c:v>-10.431505488038257</c:v>
                </c:pt>
                <c:pt idx="288">
                  <c:v>-10.342148930243876</c:v>
                </c:pt>
                <c:pt idx="289">
                  <c:v>-10.252756900927286</c:v>
                </c:pt>
                <c:pt idx="290">
                  <c:v>-10.163194384680491</c:v>
                </c:pt>
                <c:pt idx="291">
                  <c:v>-10.073319475203814</c:v>
                </c:pt>
                <c:pt idx="292">
                  <c:v>-9.9829826730542059</c:v>
                </c:pt>
                <c:pt idx="293">
                  <c:v>-9.8920261295840817</c:v>
                </c:pt>
                <c:pt idx="294">
                  <c:v>-9.8002828334715417</c:v>
                </c:pt>
                <c:pt idx="295">
                  <c:v>-9.7075757364022213</c:v>
                </c:pt>
                <c:pt idx="296">
                  <c:v>-9.6137168147684307</c:v>
                </c:pt>
                <c:pt idx="297">
                  <c:v>-9.5185060647483777</c:v>
                </c:pt>
                <c:pt idx="298">
                  <c:v>-9.4217304288754899</c:v>
                </c:pt>
                <c:pt idx="299">
                  <c:v>-9.3231626532771337</c:v>
                </c:pt>
                <c:pt idx="300">
                  <c:v>-9.2225600762424733</c:v>
                </c:pt>
                <c:pt idx="301">
                  <c:v>-9.1196633507800069</c:v>
                </c:pt>
                <c:pt idx="302">
                  <c:v>-9.0141951064785317</c:v>
                </c:pt>
                <c:pt idx="303">
                  <c:v>-8.9058585594505271</c:v>
                </c:pt>
                <c:pt idx="304">
                  <c:v>-8.794336083602591</c:v>
                </c:pt>
                <c:pt idx="305">
                  <c:v>-8.6792877621648472</c:v>
                </c:pt>
                <c:pt idx="306">
                  <c:v>-8.5603499455741012</c:v>
                </c:pt>
                <c:pt idx="307">
                  <c:v>-8.4371338507285945</c:v>
                </c:pt>
                <c:pt idx="308">
                  <c:v>-8.3092242476253215</c:v>
                </c:pt>
                <c:pt idx="309">
                  <c:v>-8.176178292775834</c:v>
                </c:pt>
                <c:pt idx="310">
                  <c:v>-8.0375245848848138</c:v>
                </c:pt>
                <c:pt idx="311">
                  <c:v>-7.892762537332926</c:v>
                </c:pt>
                <c:pt idx="312">
                  <c:v>-7.741362184197369</c:v>
                </c:pt>
                <c:pt idx="313">
                  <c:v>-7.5827645618571156</c:v>
                </c:pt>
                <c:pt idx="314">
                  <c:v>-7.4163828363664557</c:v>
                </c:pt>
                <c:pt idx="315">
                  <c:v>-7.2416043770111012</c:v>
                </c:pt>
                <c:pt idx="316">
                  <c:v>-7.057794007445084</c:v>
                </c:pt>
                <c:pt idx="317">
                  <c:v>-6.8642986953721765</c:v>
                </c:pt>
                <c:pt idx="318">
                  <c:v>-6.6604539666353286</c:v>
                </c:pt>
                <c:pt idx="319">
                  <c:v>-6.4455923452449522</c:v>
                </c:pt>
                <c:pt idx="320">
                  <c:v>-6.2190541212316806</c:v>
                </c:pt>
                <c:pt idx="321">
                  <c:v>-5.9802007255885226</c:v>
                </c:pt>
                <c:pt idx="322">
                  <c:v>-5.7284309368983157</c:v>
                </c:pt>
                <c:pt idx="323">
                  <c:v>-5.4632000475955289</c:v>
                </c:pt>
                <c:pt idx="324">
                  <c:v>-5.184041969506783</c:v>
                </c:pt>
                <c:pt idx="325">
                  <c:v>-4.8905940507205754</c:v>
                </c:pt>
                <c:pt idx="326">
                  <c:v>-4.582624105938204</c:v>
                </c:pt>
                <c:pt idx="327">
                  <c:v>-4.2600588350826181</c:v>
                </c:pt>
                <c:pt idx="328">
                  <c:v>-3.9230124362625447</c:v>
                </c:pt>
                <c:pt idx="329">
                  <c:v>-3.5718138397327235</c:v>
                </c:pt>
                <c:pt idx="330">
                  <c:v>-3.2070306454927522</c:v>
                </c:pt>
                <c:pt idx="331">
                  <c:v>-2.8294875988480634</c:v>
                </c:pt>
                <c:pt idx="332">
                  <c:v>-2.4402773537113904</c:v>
                </c:pt>
                <c:pt idx="333">
                  <c:v>-2.0407614175064341</c:v>
                </c:pt>
                <c:pt idx="334">
                  <c:v>-1.6325595905456391</c:v>
                </c:pt>
                <c:pt idx="335">
                  <c:v>-1.2175269176255139</c:v>
                </c:pt>
                <c:pt idx="336">
                  <c:v>-0.79771812215080529</c:v>
                </c:pt>
                <c:pt idx="337">
                  <c:v>-0.37534060085996312</c:v>
                </c:pt>
                <c:pt idx="338">
                  <c:v>4.7301818988527033E-2</c:v>
                </c:pt>
                <c:pt idx="339">
                  <c:v>0.46787118233899139</c:v>
                </c:pt>
                <c:pt idx="340">
                  <c:v>0.88405992012627388</c:v>
                </c:pt>
                <c:pt idx="341">
                  <c:v>1.2936534727207829</c:v>
                </c:pt>
                <c:pt idx="342">
                  <c:v>1.6945871320659216</c:v>
                </c:pt>
                <c:pt idx="343">
                  <c:v>2.0849938486082116</c:v>
                </c:pt>
                <c:pt idx="344">
                  <c:v>2.4632407046172031</c:v>
                </c:pt>
                <c:pt idx="345">
                  <c:v>2.8279528753518135</c:v>
                </c:pt>
                <c:pt idx="346">
                  <c:v>3.1780250184834666</c:v>
                </c:pt>
                <c:pt idx="347">
                  <c:v>3.5126210069439168</c:v>
                </c:pt>
                <c:pt idx="348">
                  <c:v>3.8311636528519832</c:v>
                </c:pt>
                <c:pt idx="349">
                  <c:v>4.1333165167421955</c:v>
                </c:pt>
                <c:pt idx="350">
                  <c:v>4.4189600636753674</c:v>
                </c:pt>
                <c:pt idx="351">
                  <c:v>4.6881643598385985</c:v>
                </c:pt>
                <c:pt idx="352">
                  <c:v>4.9411602641698495</c:v>
                </c:pt>
                <c:pt idx="353">
                  <c:v>5.1783107282146297</c:v>
                </c:pt>
                <c:pt idx="354">
                  <c:v>5.4000834356112657</c:v>
                </c:pt>
                <c:pt idx="355">
                  <c:v>5.607025638351903</c:v>
                </c:pt>
                <c:pt idx="356">
                  <c:v>5.7997417124779567</c:v>
                </c:pt>
                <c:pt idx="357">
                  <c:v>5.9788736786269547</c:v>
                </c:pt>
                <c:pt idx="358">
                  <c:v>6.1450847185628747</c:v>
                </c:pt>
                <c:pt idx="359">
                  <c:v>6.2990455649628183</c:v>
                </c:pt>
                <c:pt idx="360">
                  <c:v>6.4414235408392626</c:v>
                </c:pt>
                <c:pt idx="361">
                  <c:v>6.5728739673254113</c:v>
                </c:pt>
                <c:pt idx="362">
                  <c:v>6.6940336340467761</c:v>
                </c:pt>
                <c:pt idx="363">
                  <c:v>6.805516025652218</c:v>
                </c:pt>
                <c:pt idx="364">
                  <c:v>6.9079080133950557</c:v>
                </c:pt>
                <c:pt idx="365">
                  <c:v>7.0017677456567666</c:v>
                </c:pt>
                <c:pt idx="366">
                  <c:v>7.0876235012583484</c:v>
                </c:pt>
                <c:pt idx="367">
                  <c:v>7.1659733009320572</c:v>
                </c:pt>
                <c:pt idx="368">
                  <c:v>7.2372851031637628</c:v>
                </c:pt>
                <c:pt idx="369">
                  <c:v>7.3019974393602674</c:v>
                </c:pt>
                <c:pt idx="370">
                  <c:v>7.3605203691784018</c:v>
                </c:pt>
                <c:pt idx="371">
                  <c:v>7.4132366595530748</c:v>
                </c:pt>
                <c:pt idx="372">
                  <c:v>7.4605031104578359</c:v>
                </c:pt>
                <c:pt idx="373">
                  <c:v>7.5026519668882683</c:v>
                </c:pt>
                <c:pt idx="374">
                  <c:v>7.5399923702452512</c:v>
                </c:pt>
                <c:pt idx="375">
                  <c:v>7.5728118135299898</c:v>
                </c:pt>
                <c:pt idx="376">
                  <c:v>7.6013775738754807</c:v>
                </c:pt>
                <c:pt idx="377">
                  <c:v>7.6259381032472717</c:v>
                </c:pt>
                <c:pt idx="378">
                  <c:v>7.6467243639427513</c:v>
                </c:pt>
                <c:pt idx="379">
                  <c:v>7.6639511000632616</c:v>
                </c:pt>
                <c:pt idx="380">
                  <c:v>7.6778180396540758</c:v>
                </c:pt>
                <c:pt idx="381">
                  <c:v>7.6885110248979345</c:v>
                </c:pt>
                <c:pt idx="382">
                  <c:v>7.6962030697711148</c:v>
                </c:pt>
                <c:pt idx="383">
                  <c:v>7.7010553460634998</c:v>
                </c:pt>
                <c:pt idx="384">
                  <c:v>7.7032180997369037</c:v>
                </c:pt>
                <c:pt idx="385">
                  <c:v>7.7028315003407979</c:v>
                </c:pt>
                <c:pt idx="386">
                  <c:v>7.7000264266950058</c:v>
                </c:pt>
                <c:pt idx="387">
                  <c:v>7.6949251923445114</c:v>
                </c:pt>
                <c:pt idx="388">
                  <c:v>7.6876422144392622</c:v>
                </c:pt>
                <c:pt idx="389">
                  <c:v>7.6782846297296397</c:v>
                </c:pt>
                <c:pt idx="390">
                  <c:v>7.6669528613251972</c:v>
                </c:pt>
                <c:pt idx="391">
                  <c:v>7.6537411397637509</c:v>
                </c:pt>
                <c:pt idx="392">
                  <c:v>7.6387379817976617</c:v>
                </c:pt>
                <c:pt idx="393">
                  <c:v>7.6220266301378317</c:v>
                </c:pt>
                <c:pt idx="394">
                  <c:v>7.6036854572143504</c:v>
                </c:pt>
                <c:pt idx="395">
                  <c:v>7.5837883358232814</c:v>
                </c:pt>
                <c:pt idx="396">
                  <c:v>7.5624049793379688</c:v>
                </c:pt>
                <c:pt idx="397">
                  <c:v>7.5396012539745927</c:v>
                </c:pt>
                <c:pt idx="398">
                  <c:v>7.5154394654184351</c:v>
                </c:pt>
                <c:pt idx="399">
                  <c:v>7.4899786219416171</c:v>
                </c:pt>
                <c:pt idx="400">
                  <c:v>7.4632746759761988</c:v>
                </c:pt>
                <c:pt idx="401">
                  <c:v>7.4353807459492707</c:v>
                </c:pt>
                <c:pt idx="402">
                  <c:v>7.4063473200394139</c:v>
                </c:pt>
                <c:pt idx="403">
                  <c:v>7.3762224433766743</c:v>
                </c:pt>
                <c:pt idx="404">
                  <c:v>7.3450518900809083</c:v>
                </c:pt>
                <c:pt idx="405">
                  <c:v>7.3128793214155934</c:v>
                </c:pt>
                <c:pt idx="406">
                  <c:v>7.2797464312256741</c:v>
                </c:pt>
                <c:pt idx="407">
                  <c:v>7.2456930797281576</c:v>
                </c:pt>
                <c:pt idx="408">
                  <c:v>7.2107574166324433</c:v>
                </c:pt>
                <c:pt idx="409">
                  <c:v>7.1749759944834128</c:v>
                </c:pt>
                <c:pt idx="410">
                  <c:v>7.1383838730432831</c:v>
                </c:pt>
                <c:pt idx="411">
                  <c:v>7.1010147154579712</c:v>
                </c:pt>
                <c:pt idx="412">
                  <c:v>7.0629008768893549</c:v>
                </c:pt>
                <c:pt idx="413">
                  <c:v>7.0240734862362055</c:v>
                </c:pt>
                <c:pt idx="414">
                  <c:v>6.984562521512979</c:v>
                </c:pt>
                <c:pt idx="415">
                  <c:v>6.9443968794068134</c:v>
                </c:pt>
                <c:pt idx="416">
                  <c:v>6.903604439488559</c:v>
                </c:pt>
                <c:pt idx="417">
                  <c:v>6.8622121235130127</c:v>
                </c:pt>
                <c:pt idx="418">
                  <c:v>6.8202459502065835</c:v>
                </c:pt>
                <c:pt idx="419">
                  <c:v>6.7777310859068134</c:v>
                </c:pt>
                <c:pt idx="420">
                  <c:v>6.7346918913873628</c:v>
                </c:pt>
                <c:pt idx="421">
                  <c:v>6.6911519651741571</c:v>
                </c:pt>
                <c:pt idx="422">
                  <c:v>6.6471341836326507</c:v>
                </c:pt>
                <c:pt idx="423">
                  <c:v>6.6026607380829567</c:v>
                </c:pt>
                <c:pt idx="424">
                  <c:v>6.5577531691781932</c:v>
                </c:pt>
                <c:pt idx="425">
                  <c:v>6.5124323987620407</c:v>
                </c:pt>
                <c:pt idx="426">
                  <c:v>6.4667187594037312</c:v>
                </c:pt>
                <c:pt idx="427">
                  <c:v>6.4206320217924873</c:v>
                </c:pt>
                <c:pt idx="428">
                  <c:v>6.3741914201586409</c:v>
                </c:pt>
                <c:pt idx="429">
                  <c:v>6.3274156758750957</c:v>
                </c:pt>
                <c:pt idx="430">
                  <c:v>6.2803230193804795</c:v>
                </c:pt>
                <c:pt idx="431">
                  <c:v>6.2329312105539438</c:v>
                </c:pt>
                <c:pt idx="432">
                  <c:v>6.1852575576612896</c:v>
                </c:pt>
                <c:pt idx="433">
                  <c:v>6.1373189349824848</c:v>
                </c:pt>
                <c:pt idx="434">
                  <c:v>6.0891317992221357</c:v>
                </c:pt>
                <c:pt idx="435">
                  <c:v>6.0407122047962822</c:v>
                </c:pt>
                <c:pt idx="436">
                  <c:v>5.9920758180817675</c:v>
                </c:pt>
                <c:pt idx="437">
                  <c:v>5.9432379307076211</c:v>
                </c:pt>
                <c:pt idx="438">
                  <c:v>5.8942134719617787</c:v>
                </c:pt>
                <c:pt idx="439">
                  <c:v>5.845017020380797</c:v>
                </c:pt>
                <c:pt idx="440">
                  <c:v>5.7956628145850146</c:v>
                </c:pt>
                <c:pt idx="441">
                  <c:v>5.7461647634168713</c:v>
                </c:pt>
                <c:pt idx="442">
                  <c:v>5.6965364554356359</c:v>
                </c:pt>
                <c:pt idx="443">
                  <c:v>5.6467911678178044</c:v>
                </c:pt>
                <c:pt idx="444">
                  <c:v>5.596941874708711</c:v>
                </c:pt>
                <c:pt idx="445">
                  <c:v>5.5470012550673573</c:v>
                </c:pt>
                <c:pt idx="446">
                  <c:v>5.4969817000434462</c:v>
                </c:pt>
                <c:pt idx="447">
                  <c:v>5.4468953199225858</c:v>
                </c:pt>
                <c:pt idx="448">
                  <c:v>5.3967539506729292</c:v>
                </c:pt>
                <c:pt idx="449">
                  <c:v>5.3465691601241261</c:v>
                </c:pt>
                <c:pt idx="450">
                  <c:v>5.2963522538070285</c:v>
                </c:pt>
                <c:pt idx="451">
                  <c:v>5.2461142804805787</c:v>
                </c:pt>
                <c:pt idx="452">
                  <c:v>5.1958660373702603</c:v>
                </c:pt>
                <c:pt idx="453">
                  <c:v>5.1456180751407654</c:v>
                </c:pt>
                <c:pt idx="454">
                  <c:v>5.0953807026237286</c:v>
                </c:pt>
                <c:pt idx="455">
                  <c:v>5.0451639913199466</c:v>
                </c:pt>
                <c:pt idx="456">
                  <c:v>4.9949777796939623</c:v>
                </c:pt>
                <c:pt idx="457">
                  <c:v>4.9448316772776124</c:v>
                </c:pt>
                <c:pt idx="458">
                  <c:v>4.8947350685978686</c:v>
                </c:pt>
                <c:pt idx="459">
                  <c:v>4.8446971169431459</c:v>
                </c:pt>
                <c:pt idx="460">
                  <c:v>4.7947267679812375</c:v>
                </c:pt>
                <c:pt idx="461">
                  <c:v>4.7448327532409884</c:v>
                </c:pt>
                <c:pt idx="462">
                  <c:v>4.6950235934688589</c:v>
                </c:pt>
                <c:pt idx="463">
                  <c:v>4.6453076018708934</c:v>
                </c:pt>
                <c:pt idx="464">
                  <c:v>4.5956928872494585</c:v>
                </c:pt>
                <c:pt idx="465">
                  <c:v>4.5461873570437454</c:v>
                </c:pt>
                <c:pt idx="466">
                  <c:v>4.4967987202820892</c:v>
                </c:pt>
                <c:pt idx="467">
                  <c:v>4.4475344904536387</c:v>
                </c:pt>
                <c:pt idx="468">
                  <c:v>4.3984019883062837</c:v>
                </c:pt>
                <c:pt idx="469">
                  <c:v>4.3494083445772453</c:v>
                </c:pt>
                <c:pt idx="470">
                  <c:v>4.3005605026620985</c:v>
                </c:pt>
                <c:pt idx="471">
                  <c:v>4.2518652212276882</c:v>
                </c:pt>
                <c:pt idx="472">
                  <c:v>4.2033290767738496</c:v>
                </c:pt>
                <c:pt idx="473">
                  <c:v>4.154958466148412</c:v>
                </c:pt>
                <c:pt idx="474">
                  <c:v>4.1067596090197114</c:v>
                </c:pt>
                <c:pt idx="475">
                  <c:v>4.0587385503102951</c:v>
                </c:pt>
                <c:pt idx="476">
                  <c:v>4.0109011625953777</c:v>
                </c:pt>
                <c:pt idx="477">
                  <c:v>3.9632531484691267</c:v>
                </c:pt>
                <c:pt idx="478">
                  <c:v>3.915800042881636</c:v>
                </c:pt>
                <c:pt idx="479">
                  <c:v>3.8685472154492384</c:v>
                </c:pt>
                <c:pt idx="480">
                  <c:v>3.8214998727404526</c:v>
                </c:pt>
                <c:pt idx="481">
                  <c:v>3.7746630605397051</c:v>
                </c:pt>
                <c:pt idx="482">
                  <c:v>3.7280416660907321</c:v>
                </c:pt>
                <c:pt idx="483">
                  <c:v>3.6816404203213677</c:v>
                </c:pt>
                <c:pt idx="484">
                  <c:v>3.6354639000512501</c:v>
                </c:pt>
                <c:pt idx="485">
                  <c:v>3.5895165301838006</c:v>
                </c:pt>
                <c:pt idx="486">
                  <c:v>3.5438025858836619</c:v>
                </c:pt>
                <c:pt idx="487">
                  <c:v>3.4983261947406818</c:v>
                </c:pt>
                <c:pt idx="488">
                  <c:v>3.4530913389213191</c:v>
                </c:pt>
                <c:pt idx="489">
                  <c:v>3.4081018573082948</c:v>
                </c:pt>
                <c:pt idx="490">
                  <c:v>3.3633614476291873</c:v>
                </c:pt>
                <c:pt idx="491">
                  <c:v>3.3188736685744908</c:v>
                </c:pt>
                <c:pt idx="492">
                  <c:v>3.2746419419056618</c:v>
                </c:pt>
                <c:pt idx="493">
                  <c:v>3.2306695545535327</c:v>
                </c:pt>
                <c:pt idx="494">
                  <c:v>3.1869596607074069</c:v>
                </c:pt>
                <c:pt idx="495">
                  <c:v>3.1435152838950087</c:v>
                </c:pt>
                <c:pt idx="496">
                  <c:v>3.1003393190535569</c:v>
                </c:pt>
                <c:pt idx="497">
                  <c:v>3.0574345345919571</c:v>
                </c:pt>
                <c:pt idx="498">
                  <c:v>3.0148035744442359</c:v>
                </c:pt>
                <c:pt idx="499">
                  <c:v>2.9724489601141482</c:v>
                </c:pt>
                <c:pt idx="500">
                  <c:v>2.9303730927109282</c:v>
                </c:pt>
                <c:pt idx="501">
                  <c:v>2.8885782549761112</c:v>
                </c:pt>
                <c:pt idx="502">
                  <c:v>2.8470666133012488</c:v>
                </c:pt>
                <c:pt idx="503">
                  <c:v>2.8058402197363561</c:v>
                </c:pt>
                <c:pt idx="504">
                  <c:v>2.7649010139889203</c:v>
                </c:pt>
                <c:pt idx="505">
                  <c:v>2.7242508254131987</c:v>
                </c:pt>
                <c:pt idx="506">
                  <c:v>2.6838913749896189</c:v>
                </c:pt>
                <c:pt idx="507">
                  <c:v>2.6438242772939287</c:v>
                </c:pt>
                <c:pt idx="508">
                  <c:v>2.6040510424558914</c:v>
                </c:pt>
                <c:pt idx="509">
                  <c:v>2.5645730781071761</c:v>
                </c:pt>
                <c:pt idx="510">
                  <c:v>2.5253916913181129</c:v>
                </c:pt>
                <c:pt idx="511">
                  <c:v>2.486508090523067</c:v>
                </c:pt>
                <c:pt idx="512">
                  <c:v>2.4479233874339883</c:v>
                </c:pt>
                <c:pt idx="513">
                  <c:v>2.4096385989418962</c:v>
                </c:pt>
                <c:pt idx="514">
                  <c:v>2.3716546490058965</c:v>
                </c:pt>
                <c:pt idx="515">
                  <c:v>2.333972370529426</c:v>
                </c:pt>
                <c:pt idx="516">
                  <c:v>2.2965925072233286</c:v>
                </c:pt>
                <c:pt idx="517">
                  <c:v>2.259515715455473</c:v>
                </c:pt>
                <c:pt idx="518">
                  <c:v>2.2227425660865121</c:v>
                </c:pt>
                <c:pt idx="519">
                  <c:v>2.1862735462915257</c:v>
                </c:pt>
                <c:pt idx="520">
                  <c:v>2.1501090613670888</c:v>
                </c:pt>
                <c:pt idx="521">
                  <c:v>2.1142494365235516</c:v>
                </c:pt>
                <c:pt idx="522">
                  <c:v>2.0786949186621548</c:v>
                </c:pt>
                <c:pt idx="523">
                  <c:v>2.0434456781366324</c:v>
                </c:pt>
                <c:pt idx="524">
                  <c:v>2.0085018104990597</c:v>
                </c:pt>
                <c:pt idx="525">
                  <c:v>1.9738633382295845</c:v>
                </c:pt>
                <c:pt idx="526">
                  <c:v>1.9395302124497871</c:v>
                </c:pt>
                <c:pt idx="527">
                  <c:v>1.9394962566609362</c:v>
                </c:pt>
                <c:pt idx="528">
                  <c:v>1.9394623011738323</c:v>
                </c:pt>
                <c:pt idx="529">
                  <c:v>1.9394283459884747</c:v>
                </c:pt>
                <c:pt idx="530">
                  <c:v>1.9393943911048552</c:v>
                </c:pt>
                <c:pt idx="531">
                  <c:v>1.9393604365229811</c:v>
                </c:pt>
                <c:pt idx="532">
                  <c:v>1.939326482242854</c:v>
                </c:pt>
                <c:pt idx="533">
                  <c:v>1.9392925282644669</c:v>
                </c:pt>
                <c:pt idx="534">
                  <c:v>1.9392585745878259</c:v>
                </c:pt>
                <c:pt idx="535">
                  <c:v>1.9392246212129276</c:v>
                </c:pt>
                <c:pt idx="536">
                  <c:v>1.9391906681397737</c:v>
                </c:pt>
                <c:pt idx="537">
                  <c:v>1.9391567153683615</c:v>
                </c:pt>
                <c:pt idx="538">
                  <c:v>1.9391227628986902</c:v>
                </c:pt>
                <c:pt idx="539">
                  <c:v>1.9390888107307651</c:v>
                </c:pt>
                <c:pt idx="540">
                  <c:v>1.93905485886458</c:v>
                </c:pt>
                <c:pt idx="541">
                  <c:v>1.9390209073001339</c:v>
                </c:pt>
                <c:pt idx="542">
                  <c:v>1.9389869560374349</c:v>
                </c:pt>
                <c:pt idx="543">
                  <c:v>1.9389530050764758</c:v>
                </c:pt>
                <c:pt idx="544">
                  <c:v>1.9389190544172576</c:v>
                </c:pt>
                <c:pt idx="545">
                  <c:v>1.938885104059783</c:v>
                </c:pt>
                <c:pt idx="546">
                  <c:v>1.9388511540040509</c:v>
                </c:pt>
                <c:pt idx="547">
                  <c:v>1.9388172042500598</c:v>
                </c:pt>
                <c:pt idx="548">
                  <c:v>1.9387832547978121</c:v>
                </c:pt>
                <c:pt idx="549">
                  <c:v>1.9387493056472982</c:v>
                </c:pt>
                <c:pt idx="550">
                  <c:v>1.9387153567985278</c:v>
                </c:pt>
                <c:pt idx="551">
                  <c:v>1.9386814082514983</c:v>
                </c:pt>
                <c:pt idx="552">
                  <c:v>1.9386474600062131</c:v>
                </c:pt>
                <c:pt idx="553">
                  <c:v>1.9386135120626626</c:v>
                </c:pt>
                <c:pt idx="554">
                  <c:v>1.9385795644208548</c:v>
                </c:pt>
                <c:pt idx="555">
                  <c:v>1.9385456170807878</c:v>
                </c:pt>
                <c:pt idx="556">
                  <c:v>1.9385116700424598</c:v>
                </c:pt>
                <c:pt idx="557">
                  <c:v>1.9384777233058674</c:v>
                </c:pt>
                <c:pt idx="558">
                  <c:v>1.9384437768710239</c:v>
                </c:pt>
                <c:pt idx="559">
                  <c:v>1.9384098307379141</c:v>
                </c:pt>
                <c:pt idx="560">
                  <c:v>1.9383758849065424</c:v>
                </c:pt>
                <c:pt idx="561">
                  <c:v>1.9383419393769099</c:v>
                </c:pt>
                <c:pt idx="562">
                  <c:v>1.9383079941490182</c:v>
                </c:pt>
                <c:pt idx="563">
                  <c:v>1.9382740492228603</c:v>
                </c:pt>
                <c:pt idx="564">
                  <c:v>1.9382401045984405</c:v>
                </c:pt>
                <c:pt idx="565">
                  <c:v>1.9382061602757679</c:v>
                </c:pt>
                <c:pt idx="566">
                  <c:v>1.9381722162548307</c:v>
                </c:pt>
                <c:pt idx="567">
                  <c:v>1.9381382725356273</c:v>
                </c:pt>
                <c:pt idx="568">
                  <c:v>1.9381043291181603</c:v>
                </c:pt>
                <c:pt idx="569">
                  <c:v>1.9380703860024342</c:v>
                </c:pt>
                <c:pt idx="570">
                  <c:v>1.9380364431884489</c:v>
                </c:pt>
                <c:pt idx="571">
                  <c:v>1.9380025006761965</c:v>
                </c:pt>
                <c:pt idx="572">
                  <c:v>1.9379685584656787</c:v>
                </c:pt>
                <c:pt idx="573">
                  <c:v>1.9379346165569</c:v>
                </c:pt>
                <c:pt idx="574">
                  <c:v>1.9379006749498604</c:v>
                </c:pt>
                <c:pt idx="575">
                  <c:v>1.9378667336445581</c:v>
                </c:pt>
                <c:pt idx="576">
                  <c:v>1.9378327926409895</c:v>
                </c:pt>
                <c:pt idx="577">
                  <c:v>1.93779885193916</c:v>
                </c:pt>
                <c:pt idx="578">
                  <c:v>1.9377649115390634</c:v>
                </c:pt>
                <c:pt idx="579">
                  <c:v>1.9377309714407049</c:v>
                </c:pt>
                <c:pt idx="580">
                  <c:v>1.9376970316440838</c:v>
                </c:pt>
                <c:pt idx="581">
                  <c:v>1.9376630921491911</c:v>
                </c:pt>
                <c:pt idx="582">
                  <c:v>1.9376291529560419</c:v>
                </c:pt>
                <c:pt idx="583">
                  <c:v>1.937595214064622</c:v>
                </c:pt>
                <c:pt idx="584">
                  <c:v>1.9375612754749429</c:v>
                </c:pt>
                <c:pt idx="585">
                  <c:v>1.937527337186995</c:v>
                </c:pt>
                <c:pt idx="586">
                  <c:v>1.9374933992007817</c:v>
                </c:pt>
                <c:pt idx="587">
                  <c:v>1.9374594615163012</c:v>
                </c:pt>
                <c:pt idx="588">
                  <c:v>1.9374255241335598</c:v>
                </c:pt>
                <c:pt idx="589">
                  <c:v>1.9373915870525451</c:v>
                </c:pt>
                <c:pt idx="590">
                  <c:v>1.9373576502732739</c:v>
                </c:pt>
                <c:pt idx="591">
                  <c:v>1.9373237137957311</c:v>
                </c:pt>
                <c:pt idx="592">
                  <c:v>1.9372897776199194</c:v>
                </c:pt>
                <c:pt idx="593">
                  <c:v>1.9372558417458485</c:v>
                </c:pt>
                <c:pt idx="594">
                  <c:v>1.9372219061735079</c:v>
                </c:pt>
                <c:pt idx="595">
                  <c:v>1.9371879709028983</c:v>
                </c:pt>
                <c:pt idx="596">
                  <c:v>1.9371540359340242</c:v>
                </c:pt>
                <c:pt idx="597">
                  <c:v>1.9371201012668822</c:v>
                </c:pt>
                <c:pt idx="598">
                  <c:v>1.9370861669014658</c:v>
                </c:pt>
                <c:pt idx="599">
                  <c:v>1.9370522328377939</c:v>
                </c:pt>
                <c:pt idx="600">
                  <c:v>1.9370182990758513</c:v>
                </c:pt>
                <c:pt idx="601">
                  <c:v>1.9369843656156371</c:v>
                </c:pt>
                <c:pt idx="602">
                  <c:v>1.9369504324571558</c:v>
                </c:pt>
                <c:pt idx="603">
                  <c:v>1.93691649960041</c:v>
                </c:pt>
                <c:pt idx="604">
                  <c:v>1.9368825670453926</c:v>
                </c:pt>
                <c:pt idx="605">
                  <c:v>1.9368486347921081</c:v>
                </c:pt>
                <c:pt idx="606">
                  <c:v>1.9368147028405511</c:v>
                </c:pt>
                <c:pt idx="607">
                  <c:v>1.9367807711907314</c:v>
                </c:pt>
                <c:pt idx="608">
                  <c:v>1.9367468398426402</c:v>
                </c:pt>
                <c:pt idx="609">
                  <c:v>1.9367129087962773</c:v>
                </c:pt>
                <c:pt idx="610">
                  <c:v>1.9366789780516509</c:v>
                </c:pt>
                <c:pt idx="611">
                  <c:v>1.9366450476087493</c:v>
                </c:pt>
                <c:pt idx="612">
                  <c:v>1.936611117467578</c:v>
                </c:pt>
                <c:pt idx="613">
                  <c:v>1.9365771876281421</c:v>
                </c:pt>
                <c:pt idx="614">
                  <c:v>1.9365432580904312</c:v>
                </c:pt>
                <c:pt idx="615">
                  <c:v>1.9365093288544566</c:v>
                </c:pt>
                <c:pt idx="616">
                  <c:v>1.9364753999202025</c:v>
                </c:pt>
                <c:pt idx="617">
                  <c:v>1.9364414712876865</c:v>
                </c:pt>
                <c:pt idx="618">
                  <c:v>1.9364075429568945</c:v>
                </c:pt>
                <c:pt idx="619">
                  <c:v>1.936373614927831</c:v>
                </c:pt>
                <c:pt idx="620">
                  <c:v>1.9363396872004985</c:v>
                </c:pt>
                <c:pt idx="621">
                  <c:v>1.9363057597748954</c:v>
                </c:pt>
                <c:pt idx="622">
                  <c:v>1.9362718326510207</c:v>
                </c:pt>
                <c:pt idx="623">
                  <c:v>1.9362379058288708</c:v>
                </c:pt>
                <c:pt idx="624">
                  <c:v>1.9362039793084547</c:v>
                </c:pt>
                <c:pt idx="625">
                  <c:v>1.9361700530897634</c:v>
                </c:pt>
                <c:pt idx="626">
                  <c:v>1.9361361271728024</c:v>
                </c:pt>
                <c:pt idx="627">
                  <c:v>1.9361022015575662</c:v>
                </c:pt>
                <c:pt idx="628">
                  <c:v>1.9360682762440584</c:v>
                </c:pt>
                <c:pt idx="629">
                  <c:v>1.9360343512322817</c:v>
                </c:pt>
                <c:pt idx="630">
                  <c:v>1.9360004265222281</c:v>
                </c:pt>
                <c:pt idx="631">
                  <c:v>1.9359665021139021</c:v>
                </c:pt>
                <c:pt idx="632">
                  <c:v>1.9359325780073044</c:v>
                </c:pt>
                <c:pt idx="633">
                  <c:v>1.9358986542024335</c:v>
                </c:pt>
                <c:pt idx="634">
                  <c:v>1.9358647306992829</c:v>
                </c:pt>
                <c:pt idx="635">
                  <c:v>1.9358308074978678</c:v>
                </c:pt>
                <c:pt idx="636">
                  <c:v>1.9357968845981732</c:v>
                </c:pt>
                <c:pt idx="637">
                  <c:v>1.9357629620002079</c:v>
                </c:pt>
                <c:pt idx="638">
                  <c:v>1.9357290397039675</c:v>
                </c:pt>
                <c:pt idx="639">
                  <c:v>1.9356951177094519</c:v>
                </c:pt>
                <c:pt idx="640">
                  <c:v>1.935661196016663</c:v>
                </c:pt>
                <c:pt idx="641">
                  <c:v>1.9356272746256016</c:v>
                </c:pt>
                <c:pt idx="642">
                  <c:v>1.9355933535362597</c:v>
                </c:pt>
                <c:pt idx="643">
                  <c:v>1.9355594327486445</c:v>
                </c:pt>
                <c:pt idx="644">
                  <c:v>1.935525512262755</c:v>
                </c:pt>
                <c:pt idx="645">
                  <c:v>1.9354915920785905</c:v>
                </c:pt>
                <c:pt idx="646">
                  <c:v>1.9354576721961516</c:v>
                </c:pt>
                <c:pt idx="647">
                  <c:v>1.9354237526154359</c:v>
                </c:pt>
                <c:pt idx="648">
                  <c:v>1.9353898333364468</c:v>
                </c:pt>
                <c:pt idx="649">
                  <c:v>1.9353559143591763</c:v>
                </c:pt>
                <c:pt idx="650">
                  <c:v>1.9353219956836298</c:v>
                </c:pt>
                <c:pt idx="651">
                  <c:v>1.9352880773098091</c:v>
                </c:pt>
                <c:pt idx="652">
                  <c:v>1.9352541592377115</c:v>
                </c:pt>
                <c:pt idx="653">
                  <c:v>1.9352202414673405</c:v>
                </c:pt>
                <c:pt idx="654">
                  <c:v>1.93518632399869</c:v>
                </c:pt>
                <c:pt idx="655">
                  <c:v>1.9351524068317607</c:v>
                </c:pt>
                <c:pt idx="656">
                  <c:v>1.935118489966559</c:v>
                </c:pt>
                <c:pt idx="657">
                  <c:v>1.9350845734030742</c:v>
                </c:pt>
                <c:pt idx="658">
                  <c:v>1.9350506571413133</c:v>
                </c:pt>
                <c:pt idx="659">
                  <c:v>1.9350167411812773</c:v>
                </c:pt>
                <c:pt idx="660">
                  <c:v>1.9349828255229591</c:v>
                </c:pt>
                <c:pt idx="661">
                  <c:v>1.9349489101663684</c:v>
                </c:pt>
                <c:pt idx="662">
                  <c:v>1.9349149951114919</c:v>
                </c:pt>
                <c:pt idx="663">
                  <c:v>1.9348810803583447</c:v>
                </c:pt>
                <c:pt idx="664">
                  <c:v>1.9348471659069117</c:v>
                </c:pt>
                <c:pt idx="665">
                  <c:v>1.9348132517572036</c:v>
                </c:pt>
                <c:pt idx="666">
                  <c:v>1.9347793379092177</c:v>
                </c:pt>
                <c:pt idx="667">
                  <c:v>1.9347454243629532</c:v>
                </c:pt>
                <c:pt idx="668">
                  <c:v>1.9347115111184072</c:v>
                </c:pt>
                <c:pt idx="669">
                  <c:v>1.9346775981755826</c:v>
                </c:pt>
                <c:pt idx="670">
                  <c:v>1.934643685534474</c:v>
                </c:pt>
                <c:pt idx="671">
                  <c:v>1.9346097731950938</c:v>
                </c:pt>
                <c:pt idx="672">
                  <c:v>1.9345758611574286</c:v>
                </c:pt>
                <c:pt idx="673">
                  <c:v>1.9345419494214795</c:v>
                </c:pt>
                <c:pt idx="674">
                  <c:v>1.9345080379872543</c:v>
                </c:pt>
                <c:pt idx="675">
                  <c:v>1.9344741268547496</c:v>
                </c:pt>
                <c:pt idx="676">
                  <c:v>1.9344402160239635</c:v>
                </c:pt>
                <c:pt idx="677">
                  <c:v>1.934406305494897</c:v>
                </c:pt>
                <c:pt idx="678">
                  <c:v>1.9343723952675473</c:v>
                </c:pt>
                <c:pt idx="679">
                  <c:v>1.934338485341919</c:v>
                </c:pt>
                <c:pt idx="680">
                  <c:v>1.9343045757180066</c:v>
                </c:pt>
                <c:pt idx="681">
                  <c:v>1.9342706663958094</c:v>
                </c:pt>
                <c:pt idx="682">
                  <c:v>1.9342367573753387</c:v>
                </c:pt>
                <c:pt idx="683">
                  <c:v>1.9342028486565814</c:v>
                </c:pt>
                <c:pt idx="684">
                  <c:v>1.9341689402395454</c:v>
                </c:pt>
                <c:pt idx="685">
                  <c:v>1.9341350321242219</c:v>
                </c:pt>
                <c:pt idx="686">
                  <c:v>1.9341011243106196</c:v>
                </c:pt>
                <c:pt idx="687">
                  <c:v>1.9340672167987343</c:v>
                </c:pt>
                <c:pt idx="688">
                  <c:v>1.9340333095885631</c:v>
                </c:pt>
                <c:pt idx="689">
                  <c:v>1.9339994026801124</c:v>
                </c:pt>
                <c:pt idx="690">
                  <c:v>1.933965496073375</c:v>
                </c:pt>
                <c:pt idx="691">
                  <c:v>1.9339315897683544</c:v>
                </c:pt>
                <c:pt idx="692">
                  <c:v>1.9338976837650543</c:v>
                </c:pt>
                <c:pt idx="693">
                  <c:v>1.9338637780634675</c:v>
                </c:pt>
                <c:pt idx="694">
                  <c:v>1.9338298726635967</c:v>
                </c:pt>
                <c:pt idx="695">
                  <c:v>1.9337959675654455</c:v>
                </c:pt>
                <c:pt idx="696">
                  <c:v>1.933762062769004</c:v>
                </c:pt>
                <c:pt idx="697">
                  <c:v>1.9337281582742829</c:v>
                </c:pt>
                <c:pt idx="698">
                  <c:v>1.9336942540812752</c:v>
                </c:pt>
                <c:pt idx="699">
                  <c:v>1.9336603501899834</c:v>
                </c:pt>
                <c:pt idx="700">
                  <c:v>1.9336264466004076</c:v>
                </c:pt>
                <c:pt idx="701">
                  <c:v>1.9335925433125443</c:v>
                </c:pt>
                <c:pt idx="702">
                  <c:v>1.9335586403263978</c:v>
                </c:pt>
                <c:pt idx="703">
                  <c:v>1.9335247376419638</c:v>
                </c:pt>
                <c:pt idx="704">
                  <c:v>1.9334908352592493</c:v>
                </c:pt>
                <c:pt idx="705">
                  <c:v>1.9334569331782445</c:v>
                </c:pt>
                <c:pt idx="706">
                  <c:v>1.9334230313989496</c:v>
                </c:pt>
                <c:pt idx="707">
                  <c:v>1.9333891299213759</c:v>
                </c:pt>
                <c:pt idx="708">
                  <c:v>1.9333552287455111</c:v>
                </c:pt>
                <c:pt idx="709">
                  <c:v>1.9333213278713623</c:v>
                </c:pt>
                <c:pt idx="710">
                  <c:v>1.933287427298926</c:v>
                </c:pt>
                <c:pt idx="711">
                  <c:v>1.933253527028203</c:v>
                </c:pt>
                <c:pt idx="712">
                  <c:v>1.9332196270591941</c:v>
                </c:pt>
                <c:pt idx="713">
                  <c:v>1.9331857273918951</c:v>
                </c:pt>
                <c:pt idx="714">
                  <c:v>1.9331518280263076</c:v>
                </c:pt>
                <c:pt idx="715">
                  <c:v>1.9331179289624387</c:v>
                </c:pt>
                <c:pt idx="716">
                  <c:v>1.9330840302002779</c:v>
                </c:pt>
                <c:pt idx="717">
                  <c:v>1.933050131739833</c:v>
                </c:pt>
                <c:pt idx="718">
                  <c:v>1.9330162335810961</c:v>
                </c:pt>
                <c:pt idx="719">
                  <c:v>1.9329823357240699</c:v>
                </c:pt>
                <c:pt idx="720">
                  <c:v>1.9329484381687578</c:v>
                </c:pt>
                <c:pt idx="721">
                  <c:v>1.9329145409151565</c:v>
                </c:pt>
                <c:pt idx="722">
                  <c:v>1.9328806439632675</c:v>
                </c:pt>
                <c:pt idx="723">
                  <c:v>1.9328467473130821</c:v>
                </c:pt>
                <c:pt idx="724">
                  <c:v>1.9328128509646136</c:v>
                </c:pt>
                <c:pt idx="725">
                  <c:v>1.9327789549178584</c:v>
                </c:pt>
                <c:pt idx="726">
                  <c:v>1.9327450591728104</c:v>
                </c:pt>
                <c:pt idx="727">
                  <c:v>1.932711163729472</c:v>
                </c:pt>
                <c:pt idx="728">
                  <c:v>1.9326772685878453</c:v>
                </c:pt>
                <c:pt idx="729">
                  <c:v>1.9326433737479283</c:v>
                </c:pt>
                <c:pt idx="730">
                  <c:v>1.9326094792097219</c:v>
                </c:pt>
                <c:pt idx="731">
                  <c:v>1.9325755849732227</c:v>
                </c:pt>
                <c:pt idx="732">
                  <c:v>1.9325416910384341</c:v>
                </c:pt>
                <c:pt idx="733">
                  <c:v>1.9325077974053517</c:v>
                </c:pt>
                <c:pt idx="734">
                  <c:v>1.9324739040739791</c:v>
                </c:pt>
                <c:pt idx="735">
                  <c:v>1.9324400110443216</c:v>
                </c:pt>
                <c:pt idx="736">
                  <c:v>1.9324061183163641</c:v>
                </c:pt>
                <c:pt idx="737">
                  <c:v>1.9323722258901217</c:v>
                </c:pt>
                <c:pt idx="738">
                  <c:v>1.9323383337655864</c:v>
                </c:pt>
                <c:pt idx="739">
                  <c:v>1.9323044419427555</c:v>
                </c:pt>
                <c:pt idx="740">
                  <c:v>1.9322705504216362</c:v>
                </c:pt>
                <c:pt idx="741">
                  <c:v>1.932236659202224</c:v>
                </c:pt>
                <c:pt idx="742">
                  <c:v>1.9322027682845153</c:v>
                </c:pt>
                <c:pt idx="743">
                  <c:v>1.9321688776685209</c:v>
                </c:pt>
                <c:pt idx="744">
                  <c:v>1.9321349873542291</c:v>
                </c:pt>
                <c:pt idx="745">
                  <c:v>1.9321010973416426</c:v>
                </c:pt>
                <c:pt idx="746">
                  <c:v>1.9320672076307668</c:v>
                </c:pt>
                <c:pt idx="747">
                  <c:v>1.9320333182215981</c:v>
                </c:pt>
                <c:pt idx="748">
                  <c:v>1.931999429114132</c:v>
                </c:pt>
                <c:pt idx="749">
                  <c:v>1.9319655403083766</c:v>
                </c:pt>
                <c:pt idx="750">
                  <c:v>1.931931651804323</c:v>
                </c:pt>
                <c:pt idx="751">
                  <c:v>1.9318977636019774</c:v>
                </c:pt>
                <c:pt idx="752">
                  <c:v>1.931863875701338</c:v>
                </c:pt>
                <c:pt idx="753">
                  <c:v>1.9318299881024039</c:v>
                </c:pt>
                <c:pt idx="754">
                  <c:v>1.9317961008051787</c:v>
                </c:pt>
                <c:pt idx="755">
                  <c:v>1.9317622138096544</c:v>
                </c:pt>
                <c:pt idx="756">
                  <c:v>1.9317283271158345</c:v>
                </c:pt>
                <c:pt idx="757">
                  <c:v>1.9316944407237209</c:v>
                </c:pt>
                <c:pt idx="758">
                  <c:v>1.9316605546333108</c:v>
                </c:pt>
                <c:pt idx="759">
                  <c:v>1.9316266688446087</c:v>
                </c:pt>
                <c:pt idx="760">
                  <c:v>1.9315927833576074</c:v>
                </c:pt>
                <c:pt idx="761">
                  <c:v>1.9315588981723142</c:v>
                </c:pt>
                <c:pt idx="762">
                  <c:v>1.9315250132887245</c:v>
                </c:pt>
                <c:pt idx="763">
                  <c:v>1.9314911287068339</c:v>
                </c:pt>
                <c:pt idx="764">
                  <c:v>1.9314572444266531</c:v>
                </c:pt>
                <c:pt idx="765">
                  <c:v>1.9314233604481696</c:v>
                </c:pt>
                <c:pt idx="766">
                  <c:v>1.9313894767713915</c:v>
                </c:pt>
                <c:pt idx="767">
                  <c:v>1.9313555933963205</c:v>
                </c:pt>
                <c:pt idx="768">
                  <c:v>1.9313217103229494</c:v>
                </c:pt>
                <c:pt idx="769">
                  <c:v>1.9312878275512784</c:v>
                </c:pt>
                <c:pt idx="770">
                  <c:v>1.9312539450813144</c:v>
                </c:pt>
                <c:pt idx="771">
                  <c:v>1.9312200629130496</c:v>
                </c:pt>
                <c:pt idx="772">
                  <c:v>1.9311861810464883</c:v>
                </c:pt>
                <c:pt idx="773">
                  <c:v>1.9311522994816279</c:v>
                </c:pt>
                <c:pt idx="774">
                  <c:v>1.9311184182184684</c:v>
                </c:pt>
                <c:pt idx="775">
                  <c:v>1.9310845372570107</c:v>
                </c:pt>
                <c:pt idx="776">
                  <c:v>1.9310506565972538</c:v>
                </c:pt>
                <c:pt idx="777">
                  <c:v>1.9310167762392041</c:v>
                </c:pt>
                <c:pt idx="778">
                  <c:v>1.9309828961828517</c:v>
                </c:pt>
                <c:pt idx="779">
                  <c:v>1.9309490164281975</c:v>
                </c:pt>
                <c:pt idx="780">
                  <c:v>1.9309151369752451</c:v>
                </c:pt>
                <c:pt idx="781">
                  <c:v>1.9308812578239953</c:v>
                </c:pt>
                <c:pt idx="782">
                  <c:v>1.9308473789744429</c:v>
                </c:pt>
                <c:pt idx="783">
                  <c:v>1.9308135004265949</c:v>
                </c:pt>
                <c:pt idx="784">
                  <c:v>1.9307796221804452</c:v>
                </c:pt>
                <c:pt idx="785">
                  <c:v>1.9307457442359963</c:v>
                </c:pt>
                <c:pt idx="786">
                  <c:v>1.9307118665932421</c:v>
                </c:pt>
                <c:pt idx="787">
                  <c:v>1.9306779892521915</c:v>
                </c:pt>
                <c:pt idx="788">
                  <c:v>1.930644112212839</c:v>
                </c:pt>
                <c:pt idx="789">
                  <c:v>1.9306102354751866</c:v>
                </c:pt>
                <c:pt idx="790">
                  <c:v>1.9305763590392333</c:v>
                </c:pt>
                <c:pt idx="791">
                  <c:v>1.9305424829049782</c:v>
                </c:pt>
                <c:pt idx="792">
                  <c:v>1.9305086070724231</c:v>
                </c:pt>
                <c:pt idx="793">
                  <c:v>1.9304747315415582</c:v>
                </c:pt>
                <c:pt idx="794">
                  <c:v>1.9304408563123996</c:v>
                </c:pt>
                <c:pt idx="795">
                  <c:v>1.9304069813849418</c:v>
                </c:pt>
                <c:pt idx="796">
                  <c:v>1.9303731067591743</c:v>
                </c:pt>
                <c:pt idx="797">
                  <c:v>1.9303392324351094</c:v>
                </c:pt>
                <c:pt idx="798">
                  <c:v>1.9303053584127374</c:v>
                </c:pt>
                <c:pt idx="799">
                  <c:v>1.9302714846920681</c:v>
                </c:pt>
                <c:pt idx="800">
                  <c:v>1.9302376112730943</c:v>
                </c:pt>
                <c:pt idx="801">
                  <c:v>1.9302037381558126</c:v>
                </c:pt>
                <c:pt idx="802">
                  <c:v>1.9301698653402282</c:v>
                </c:pt>
                <c:pt idx="803">
                  <c:v>1.9301359928263437</c:v>
                </c:pt>
                <c:pt idx="804">
                  <c:v>1.9301021206141549</c:v>
                </c:pt>
                <c:pt idx="805">
                  <c:v>1.9300682487036607</c:v>
                </c:pt>
                <c:pt idx="806">
                  <c:v>1.9300343770948638</c:v>
                </c:pt>
                <c:pt idx="807">
                  <c:v>1.9300005057877669</c:v>
                </c:pt>
                <c:pt idx="808">
                  <c:v>1.9299666347823576</c:v>
                </c:pt>
                <c:pt idx="809">
                  <c:v>1.9299327640786474</c:v>
                </c:pt>
                <c:pt idx="810">
                  <c:v>1.9298988936766364</c:v>
                </c:pt>
                <c:pt idx="811">
                  <c:v>1.9298650235763199</c:v>
                </c:pt>
                <c:pt idx="812">
                  <c:v>1.9298311537776911</c:v>
                </c:pt>
                <c:pt idx="813">
                  <c:v>1.9297972842807622</c:v>
                </c:pt>
                <c:pt idx="814">
                  <c:v>1.9297634150855272</c:v>
                </c:pt>
                <c:pt idx="815">
                  <c:v>1.9297295461919859</c:v>
                </c:pt>
                <c:pt idx="816">
                  <c:v>1.9296956776001384</c:v>
                </c:pt>
                <c:pt idx="817">
                  <c:v>1.9296618093099864</c:v>
                </c:pt>
                <c:pt idx="818">
                  <c:v>1.9296279413215265</c:v>
                </c:pt>
                <c:pt idx="819">
                  <c:v>1.9295940736347639</c:v>
                </c:pt>
                <c:pt idx="820">
                  <c:v>1.9295602062496862</c:v>
                </c:pt>
                <c:pt idx="821">
                  <c:v>1.9295263391663102</c:v>
                </c:pt>
                <c:pt idx="822">
                  <c:v>1.9294924723846227</c:v>
                </c:pt>
                <c:pt idx="823">
                  <c:v>1.9294586059046273</c:v>
                </c:pt>
                <c:pt idx="824">
                  <c:v>1.9294247397263282</c:v>
                </c:pt>
                <c:pt idx="825">
                  <c:v>1.9293908738497221</c:v>
                </c:pt>
                <c:pt idx="826">
                  <c:v>1.9293570082748079</c:v>
                </c:pt>
                <c:pt idx="827">
                  <c:v>1.9293231430015814</c:v>
                </c:pt>
                <c:pt idx="828">
                  <c:v>1.9292892780300521</c:v>
                </c:pt>
                <c:pt idx="829">
                  <c:v>1.9292554133602069</c:v>
                </c:pt>
                <c:pt idx="830">
                  <c:v>1.9292215489920617</c:v>
                </c:pt>
                <c:pt idx="831">
                  <c:v>1.9291876849256049</c:v>
                </c:pt>
                <c:pt idx="832">
                  <c:v>1.9291538211608366</c:v>
                </c:pt>
                <c:pt idx="833">
                  <c:v>1.9291199576977638</c:v>
                </c:pt>
                <c:pt idx="834">
                  <c:v>1.929086094536375</c:v>
                </c:pt>
                <c:pt idx="835">
                  <c:v>1.9290522316766836</c:v>
                </c:pt>
                <c:pt idx="836">
                  <c:v>1.9290183691186806</c:v>
                </c:pt>
                <c:pt idx="837">
                  <c:v>1.9289845068623679</c:v>
                </c:pt>
                <c:pt idx="838">
                  <c:v>1.9289506449077436</c:v>
                </c:pt>
                <c:pt idx="839">
                  <c:v>1.9289167832548166</c:v>
                </c:pt>
                <c:pt idx="840">
                  <c:v>1.9288829219035684</c:v>
                </c:pt>
                <c:pt idx="841">
                  <c:v>1.9288490608540183</c:v>
                </c:pt>
                <c:pt idx="842">
                  <c:v>1.9288152001061505</c:v>
                </c:pt>
                <c:pt idx="843">
                  <c:v>1.9287813396599756</c:v>
                </c:pt>
                <c:pt idx="844">
                  <c:v>1.9287474795154891</c:v>
                </c:pt>
                <c:pt idx="845">
                  <c:v>1.9287136196726937</c:v>
                </c:pt>
                <c:pt idx="846">
                  <c:v>1.9286797601315833</c:v>
                </c:pt>
                <c:pt idx="847">
                  <c:v>1.928645900892163</c:v>
                </c:pt>
                <c:pt idx="848">
                  <c:v>1.9286120419544313</c:v>
                </c:pt>
                <c:pt idx="849">
                  <c:v>1.9285781833183862</c:v>
                </c:pt>
                <c:pt idx="850">
                  <c:v>1.9285443249840295</c:v>
                </c:pt>
                <c:pt idx="851">
                  <c:v>1.9285104669513631</c:v>
                </c:pt>
                <c:pt idx="852">
                  <c:v>1.9284766092203807</c:v>
                </c:pt>
                <c:pt idx="853">
                  <c:v>1.9284427517910858</c:v>
                </c:pt>
                <c:pt idx="854">
                  <c:v>1.9284088946634812</c:v>
                </c:pt>
                <c:pt idx="855">
                  <c:v>1.9283750378375588</c:v>
                </c:pt>
                <c:pt idx="856">
                  <c:v>1.9283411813133293</c:v>
                </c:pt>
                <c:pt idx="857">
                  <c:v>1.9283073250907794</c:v>
                </c:pt>
                <c:pt idx="858">
                  <c:v>1.9282734691699188</c:v>
                </c:pt>
                <c:pt idx="859">
                  <c:v>1.928239613550744</c:v>
                </c:pt>
                <c:pt idx="860">
                  <c:v>1.9282057582332532</c:v>
                </c:pt>
                <c:pt idx="861">
                  <c:v>1.9281719032174545</c:v>
                </c:pt>
                <c:pt idx="862">
                  <c:v>1.9281380485033361</c:v>
                </c:pt>
                <c:pt idx="863">
                  <c:v>1.9281041940909072</c:v>
                </c:pt>
                <c:pt idx="864">
                  <c:v>1.9280703399801586</c:v>
                </c:pt>
                <c:pt idx="865">
                  <c:v>1.9280364861710977</c:v>
                </c:pt>
                <c:pt idx="866">
                  <c:v>1.9280026326637181</c:v>
                </c:pt>
                <c:pt idx="867">
                  <c:v>1.9279687794580287</c:v>
                </c:pt>
                <c:pt idx="868">
                  <c:v>1.9279349265540198</c:v>
                </c:pt>
                <c:pt idx="869">
                  <c:v>1.9279010739516957</c:v>
                </c:pt>
                <c:pt idx="870">
                  <c:v>1.9278672216510575</c:v>
                </c:pt>
                <c:pt idx="871">
                  <c:v>1.9278333696521024</c:v>
                </c:pt>
                <c:pt idx="872">
                  <c:v>1.9277995179548286</c:v>
                </c:pt>
                <c:pt idx="873">
                  <c:v>1.9277656665592389</c:v>
                </c:pt>
                <c:pt idx="874">
                  <c:v>1.9277318154653349</c:v>
                </c:pt>
                <c:pt idx="875">
                  <c:v>1.9276979646731141</c:v>
                </c:pt>
                <c:pt idx="876">
                  <c:v>1.9276641141825772</c:v>
                </c:pt>
                <c:pt idx="877">
                  <c:v>1.9276302639937191</c:v>
                </c:pt>
                <c:pt idx="878">
                  <c:v>1.9275964141065476</c:v>
                </c:pt>
                <c:pt idx="879">
                  <c:v>1.9275625645210539</c:v>
                </c:pt>
                <c:pt idx="880">
                  <c:v>1.9275287152372469</c:v>
                </c:pt>
                <c:pt idx="881">
                  <c:v>1.9274948662551195</c:v>
                </c:pt>
                <c:pt idx="882">
                  <c:v>1.9274610175746769</c:v>
                </c:pt>
                <c:pt idx="883">
                  <c:v>1.9274271691959122</c:v>
                </c:pt>
                <c:pt idx="884">
                  <c:v>1.9273933211188305</c:v>
                </c:pt>
                <c:pt idx="885">
                  <c:v>1.9273594733434276</c:v>
                </c:pt>
                <c:pt idx="886">
                  <c:v>1.9273256258697069</c:v>
                </c:pt>
                <c:pt idx="887">
                  <c:v>1.9272917786976747</c:v>
                </c:pt>
                <c:pt idx="888">
                  <c:v>1.9272579318273184</c:v>
                </c:pt>
                <c:pt idx="889">
                  <c:v>1.9272240852586382</c:v>
                </c:pt>
                <c:pt idx="890">
                  <c:v>1.9271902389916411</c:v>
                </c:pt>
                <c:pt idx="891">
                  <c:v>1.9271563930263271</c:v>
                </c:pt>
                <c:pt idx="892">
                  <c:v>1.9271225473626918</c:v>
                </c:pt>
                <c:pt idx="893">
                  <c:v>1.9270887020007299</c:v>
                </c:pt>
                <c:pt idx="894">
                  <c:v>1.9270548569404555</c:v>
                </c:pt>
                <c:pt idx="895">
                  <c:v>1.9270210121818589</c:v>
                </c:pt>
                <c:pt idx="896">
                  <c:v>1.9269871677249375</c:v>
                </c:pt>
                <c:pt idx="897">
                  <c:v>1.9269533235696947</c:v>
                </c:pt>
                <c:pt idx="898">
                  <c:v>1.9269194797161342</c:v>
                </c:pt>
                <c:pt idx="899">
                  <c:v>1.9268856361642515</c:v>
                </c:pt>
                <c:pt idx="900">
                  <c:v>1.9268517929140465</c:v>
                </c:pt>
                <c:pt idx="901">
                  <c:v>1.9268179499655202</c:v>
                </c:pt>
                <c:pt idx="902">
                  <c:v>1.9267841073186709</c:v>
                </c:pt>
                <c:pt idx="903">
                  <c:v>1.9267502649734993</c:v>
                </c:pt>
                <c:pt idx="904">
                  <c:v>1.9267164229300109</c:v>
                </c:pt>
                <c:pt idx="905">
                  <c:v>1.9266825811881967</c:v>
                </c:pt>
                <c:pt idx="906">
                  <c:v>1.9266487397480585</c:v>
                </c:pt>
                <c:pt idx="907">
                  <c:v>1.926614898609599</c:v>
                </c:pt>
                <c:pt idx="908">
                  <c:v>1.9265810577728137</c:v>
                </c:pt>
                <c:pt idx="909">
                  <c:v>1.9265472172377063</c:v>
                </c:pt>
                <c:pt idx="910">
                  <c:v>1.9265133770042739</c:v>
                </c:pt>
                <c:pt idx="911">
                  <c:v>1.9264795370725194</c:v>
                </c:pt>
                <c:pt idx="912">
                  <c:v>1.9264456974424435</c:v>
                </c:pt>
                <c:pt idx="913">
                  <c:v>1.9264118581140375</c:v>
                </c:pt>
                <c:pt idx="914">
                  <c:v>1.9263780190873128</c:v>
                </c:pt>
                <c:pt idx="915">
                  <c:v>1.9263441803622632</c:v>
                </c:pt>
                <c:pt idx="916">
                  <c:v>1.9263103419388878</c:v>
                </c:pt>
                <c:pt idx="917">
                  <c:v>1.9262765038171885</c:v>
                </c:pt>
                <c:pt idx="918">
                  <c:v>1.9262426659971617</c:v>
                </c:pt>
                <c:pt idx="919">
                  <c:v>1.9262088284788144</c:v>
                </c:pt>
                <c:pt idx="920">
                  <c:v>1.926174991262136</c:v>
                </c:pt>
                <c:pt idx="921">
                  <c:v>1.9261411543471372</c:v>
                </c:pt>
                <c:pt idx="922">
                  <c:v>1.9261073177338055</c:v>
                </c:pt>
                <c:pt idx="923">
                  <c:v>1.9260734814221561</c:v>
                </c:pt>
                <c:pt idx="924">
                  <c:v>1.9260396454121782</c:v>
                </c:pt>
                <c:pt idx="925">
                  <c:v>1.9260058097038728</c:v>
                </c:pt>
                <c:pt idx="926">
                  <c:v>1.9259719742972417</c:v>
                </c:pt>
                <c:pt idx="927">
                  <c:v>1.9259381391922821</c:v>
                </c:pt>
                <c:pt idx="928">
                  <c:v>1.9259043043889976</c:v>
                </c:pt>
                <c:pt idx="929">
                  <c:v>1.9258704698873856</c:v>
                </c:pt>
                <c:pt idx="930">
                  <c:v>1.9258366356874506</c:v>
                </c:pt>
                <c:pt idx="931">
                  <c:v>1.9258028017891808</c:v>
                </c:pt>
                <c:pt idx="932">
                  <c:v>1.9257689681925818</c:v>
                </c:pt>
                <c:pt idx="933">
                  <c:v>1.9257351348976588</c:v>
                </c:pt>
                <c:pt idx="934">
                  <c:v>1.9257013019044109</c:v>
                </c:pt>
                <c:pt idx="935">
                  <c:v>1.9256674692128302</c:v>
                </c:pt>
                <c:pt idx="936">
                  <c:v>1.9256336368229219</c:v>
                </c:pt>
                <c:pt idx="937">
                  <c:v>1.9255998047346834</c:v>
                </c:pt>
                <c:pt idx="938">
                  <c:v>1.9255659729481183</c:v>
                </c:pt>
                <c:pt idx="939">
                  <c:v>1.9255321414632247</c:v>
                </c:pt>
                <c:pt idx="940">
                  <c:v>1.9254983102800027</c:v>
                </c:pt>
                <c:pt idx="941">
                  <c:v>1.9254644793984488</c:v>
                </c:pt>
                <c:pt idx="942">
                  <c:v>1.9254306488185682</c:v>
                </c:pt>
                <c:pt idx="943">
                  <c:v>1.9253968185403538</c:v>
                </c:pt>
                <c:pt idx="944">
                  <c:v>1.9253629885638146</c:v>
                </c:pt>
                <c:pt idx="945">
                  <c:v>1.9253291588889425</c:v>
                </c:pt>
                <c:pt idx="946">
                  <c:v>1.9252953295157376</c:v>
                </c:pt>
                <c:pt idx="947">
                  <c:v>1.9252615004442077</c:v>
                </c:pt>
                <c:pt idx="948">
                  <c:v>1.9252276716743451</c:v>
                </c:pt>
                <c:pt idx="949">
                  <c:v>1.9251938432061468</c:v>
                </c:pt>
                <c:pt idx="950">
                  <c:v>1.9251600150396202</c:v>
                </c:pt>
                <c:pt idx="951">
                  <c:v>1.9251261871747634</c:v>
                </c:pt>
                <c:pt idx="952">
                  <c:v>1.9250923596115763</c:v>
                </c:pt>
                <c:pt idx="953">
                  <c:v>1.9250585323500529</c:v>
                </c:pt>
                <c:pt idx="954">
                  <c:v>1.925024705390201</c:v>
                </c:pt>
                <c:pt idx="955">
                  <c:v>1.9249908787320118</c:v>
                </c:pt>
                <c:pt idx="956">
                  <c:v>1.9249570523754969</c:v>
                </c:pt>
                <c:pt idx="957">
                  <c:v>1.9249232263206491</c:v>
                </c:pt>
                <c:pt idx="958">
                  <c:v>1.9248894005674666</c:v>
                </c:pt>
                <c:pt idx="959">
                  <c:v>1.9248555751159531</c:v>
                </c:pt>
                <c:pt idx="960">
                  <c:v>1.924821749966104</c:v>
                </c:pt>
                <c:pt idx="961">
                  <c:v>1.9247879251179221</c:v>
                </c:pt>
                <c:pt idx="962">
                  <c:v>1.9247541005714082</c:v>
                </c:pt>
                <c:pt idx="963">
                  <c:v>1.924720276326557</c:v>
                </c:pt>
                <c:pt idx="964">
                  <c:v>1.92468645238338</c:v>
                </c:pt>
                <c:pt idx="965">
                  <c:v>1.9246526287418613</c:v>
                </c:pt>
                <c:pt idx="966">
                  <c:v>1.9246188054020132</c:v>
                </c:pt>
                <c:pt idx="967">
                  <c:v>1.924584982363827</c:v>
                </c:pt>
                <c:pt idx="968">
                  <c:v>1.9245511596273071</c:v>
                </c:pt>
                <c:pt idx="969">
                  <c:v>1.9245173371924524</c:v>
                </c:pt>
                <c:pt idx="970">
                  <c:v>1.9244835150592596</c:v>
                </c:pt>
                <c:pt idx="971">
                  <c:v>1.9244496932277384</c:v>
                </c:pt>
                <c:pt idx="972">
                  <c:v>1.9244158716978781</c:v>
                </c:pt>
                <c:pt idx="973">
                  <c:v>1.9243820504696796</c:v>
                </c:pt>
                <c:pt idx="974">
                  <c:v>1.9243482295431509</c:v>
                </c:pt>
                <c:pt idx="975">
                  <c:v>1.9243144089182813</c:v>
                </c:pt>
                <c:pt idx="976">
                  <c:v>1.9242805885950789</c:v>
                </c:pt>
                <c:pt idx="977">
                  <c:v>1.92424676857354</c:v>
                </c:pt>
                <c:pt idx="978">
                  <c:v>1.924212948853663</c:v>
                </c:pt>
                <c:pt idx="979">
                  <c:v>1.9241791294354531</c:v>
                </c:pt>
                <c:pt idx="980">
                  <c:v>1.9241453103189006</c:v>
                </c:pt>
                <c:pt idx="981">
                  <c:v>1.9241114915040134</c:v>
                </c:pt>
                <c:pt idx="982">
                  <c:v>1.924077672990788</c:v>
                </c:pt>
                <c:pt idx="983">
                  <c:v>1.9240438547792289</c:v>
                </c:pt>
                <c:pt idx="984">
                  <c:v>1.9240100368693289</c:v>
                </c:pt>
                <c:pt idx="985">
                  <c:v>1.9239762192610934</c:v>
                </c:pt>
                <c:pt idx="986">
                  <c:v>1.9239424019545162</c:v>
                </c:pt>
                <c:pt idx="987">
                  <c:v>1.9239085849496007</c:v>
                </c:pt>
                <c:pt idx="988">
                  <c:v>1.9238747682463488</c:v>
                </c:pt>
                <c:pt idx="989">
                  <c:v>1.9238409518447561</c:v>
                </c:pt>
                <c:pt idx="990">
                  <c:v>1.9238071357448252</c:v>
                </c:pt>
                <c:pt idx="991">
                  <c:v>1.9237733199465588</c:v>
                </c:pt>
                <c:pt idx="992">
                  <c:v>1.9237395044499488</c:v>
                </c:pt>
                <c:pt idx="993">
                  <c:v>1.9237056892550006</c:v>
                </c:pt>
                <c:pt idx="994">
                  <c:v>1.9236718743617125</c:v>
                </c:pt>
                <c:pt idx="995">
                  <c:v>1.9236380597700835</c:v>
                </c:pt>
                <c:pt idx="996">
                  <c:v>1.9236042454801163</c:v>
                </c:pt>
                <c:pt idx="997">
                  <c:v>1.9235704314918083</c:v>
                </c:pt>
                <c:pt idx="998">
                  <c:v>1.9235366178051612</c:v>
                </c:pt>
                <c:pt idx="999">
                  <c:v>1.9235028044201705</c:v>
                </c:pt>
                <c:pt idx="1000">
                  <c:v>1.9234689913368426</c:v>
                </c:pt>
              </c:numCache>
            </c:numRef>
          </c:yVal>
          <c:smooth val="0"/>
          <c:extLst>
            <c:ext xmlns:c16="http://schemas.microsoft.com/office/drawing/2014/chart" uri="{C3380CC4-5D6E-409C-BE32-E72D297353CC}">
              <c16:uniqueId val="{00000000-BDD6-4E9B-9AFA-2396233049A9}"/>
            </c:ext>
          </c:extLst>
        </c:ser>
        <c:ser>
          <c:idx val="1"/>
          <c:order val="1"/>
          <c:tx>
            <c:strRef>
              <c:f>Courbes!$B$138</c:f>
              <c:strCache>
                <c:ptCount val="1"/>
                <c:pt idx="0">
                  <c:v>Charge vue par un capteur</c:v>
                </c:pt>
              </c:strCache>
            </c:strRef>
          </c:tx>
          <c:spPr>
            <a:ln w="25400">
              <a:solidFill>
                <a:srgbClr val="008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34.500100000000224</c:v>
                </c:pt>
                <c:pt idx="527">
                  <c:v>34.500200000000227</c:v>
                </c:pt>
                <c:pt idx="528">
                  <c:v>34.50030000000023</c:v>
                </c:pt>
                <c:pt idx="529">
                  <c:v>34.500400000000234</c:v>
                </c:pt>
                <c:pt idx="530">
                  <c:v>34.500500000000237</c:v>
                </c:pt>
                <c:pt idx="531">
                  <c:v>34.50060000000024</c:v>
                </c:pt>
                <c:pt idx="532">
                  <c:v>34.500700000000244</c:v>
                </c:pt>
                <c:pt idx="533">
                  <c:v>34.500800000000247</c:v>
                </c:pt>
                <c:pt idx="534">
                  <c:v>34.50090000000025</c:v>
                </c:pt>
                <c:pt idx="535">
                  <c:v>34.501000000000253</c:v>
                </c:pt>
                <c:pt idx="536">
                  <c:v>34.501100000000257</c:v>
                </c:pt>
                <c:pt idx="537">
                  <c:v>34.50120000000026</c:v>
                </c:pt>
                <c:pt idx="538">
                  <c:v>34.501300000000263</c:v>
                </c:pt>
                <c:pt idx="539">
                  <c:v>34.501400000000267</c:v>
                </c:pt>
                <c:pt idx="540">
                  <c:v>34.50150000000027</c:v>
                </c:pt>
                <c:pt idx="541">
                  <c:v>34.501600000000273</c:v>
                </c:pt>
                <c:pt idx="542">
                  <c:v>34.501700000000277</c:v>
                </c:pt>
                <c:pt idx="543">
                  <c:v>34.50180000000028</c:v>
                </c:pt>
                <c:pt idx="544">
                  <c:v>34.501900000000283</c:v>
                </c:pt>
                <c:pt idx="545">
                  <c:v>34.502000000000287</c:v>
                </c:pt>
                <c:pt idx="546">
                  <c:v>34.50210000000029</c:v>
                </c:pt>
                <c:pt idx="547">
                  <c:v>34.502200000000293</c:v>
                </c:pt>
                <c:pt idx="548">
                  <c:v>34.502300000000297</c:v>
                </c:pt>
                <c:pt idx="549">
                  <c:v>34.5024000000003</c:v>
                </c:pt>
                <c:pt idx="550">
                  <c:v>34.502500000000303</c:v>
                </c:pt>
                <c:pt idx="551">
                  <c:v>34.502600000000307</c:v>
                </c:pt>
                <c:pt idx="552">
                  <c:v>34.50270000000031</c:v>
                </c:pt>
                <c:pt idx="553">
                  <c:v>34.502800000000313</c:v>
                </c:pt>
                <c:pt idx="554">
                  <c:v>34.502900000000317</c:v>
                </c:pt>
                <c:pt idx="555">
                  <c:v>34.50300000000032</c:v>
                </c:pt>
                <c:pt idx="556">
                  <c:v>34.503100000000323</c:v>
                </c:pt>
                <c:pt idx="557">
                  <c:v>34.503200000000326</c:v>
                </c:pt>
                <c:pt idx="558">
                  <c:v>34.50330000000033</c:v>
                </c:pt>
                <c:pt idx="559">
                  <c:v>34.503400000000333</c:v>
                </c:pt>
                <c:pt idx="560">
                  <c:v>34.503500000000336</c:v>
                </c:pt>
                <c:pt idx="561">
                  <c:v>34.50360000000034</c:v>
                </c:pt>
                <c:pt idx="562">
                  <c:v>34.503700000000343</c:v>
                </c:pt>
                <c:pt idx="563">
                  <c:v>34.503800000000346</c:v>
                </c:pt>
                <c:pt idx="564">
                  <c:v>34.50390000000035</c:v>
                </c:pt>
                <c:pt idx="565">
                  <c:v>34.504000000000353</c:v>
                </c:pt>
                <c:pt idx="566">
                  <c:v>34.504100000000356</c:v>
                </c:pt>
                <c:pt idx="567">
                  <c:v>34.50420000000036</c:v>
                </c:pt>
                <c:pt idx="568">
                  <c:v>34.504300000000363</c:v>
                </c:pt>
                <c:pt idx="569">
                  <c:v>34.504400000000366</c:v>
                </c:pt>
                <c:pt idx="570">
                  <c:v>34.50450000000037</c:v>
                </c:pt>
                <c:pt idx="571">
                  <c:v>34.504600000000373</c:v>
                </c:pt>
                <c:pt idx="572">
                  <c:v>34.504700000000376</c:v>
                </c:pt>
                <c:pt idx="573">
                  <c:v>34.50480000000038</c:v>
                </c:pt>
                <c:pt idx="574">
                  <c:v>34.504900000000383</c:v>
                </c:pt>
                <c:pt idx="575">
                  <c:v>34.505000000000386</c:v>
                </c:pt>
                <c:pt idx="576">
                  <c:v>34.50510000000039</c:v>
                </c:pt>
                <c:pt idx="577">
                  <c:v>34.505200000000393</c:v>
                </c:pt>
                <c:pt idx="578">
                  <c:v>34.505300000000396</c:v>
                </c:pt>
                <c:pt idx="579">
                  <c:v>34.5054000000004</c:v>
                </c:pt>
                <c:pt idx="580">
                  <c:v>34.505500000000403</c:v>
                </c:pt>
                <c:pt idx="581">
                  <c:v>34.505600000000406</c:v>
                </c:pt>
                <c:pt idx="582">
                  <c:v>34.505700000000409</c:v>
                </c:pt>
                <c:pt idx="583">
                  <c:v>34.505800000000413</c:v>
                </c:pt>
                <c:pt idx="584">
                  <c:v>34.505900000000416</c:v>
                </c:pt>
                <c:pt idx="585">
                  <c:v>34.506000000000419</c:v>
                </c:pt>
                <c:pt idx="586">
                  <c:v>34.506100000000423</c:v>
                </c:pt>
                <c:pt idx="587">
                  <c:v>34.506200000000426</c:v>
                </c:pt>
                <c:pt idx="588">
                  <c:v>34.506300000000429</c:v>
                </c:pt>
                <c:pt idx="589">
                  <c:v>34.506400000000433</c:v>
                </c:pt>
                <c:pt idx="590">
                  <c:v>34.506500000000436</c:v>
                </c:pt>
                <c:pt idx="591">
                  <c:v>34.506600000000439</c:v>
                </c:pt>
                <c:pt idx="592">
                  <c:v>34.506700000000443</c:v>
                </c:pt>
                <c:pt idx="593">
                  <c:v>34.506800000000446</c:v>
                </c:pt>
                <c:pt idx="594">
                  <c:v>34.506900000000449</c:v>
                </c:pt>
                <c:pt idx="595">
                  <c:v>34.507000000000453</c:v>
                </c:pt>
                <c:pt idx="596">
                  <c:v>34.507100000000456</c:v>
                </c:pt>
                <c:pt idx="597">
                  <c:v>34.507200000000459</c:v>
                </c:pt>
                <c:pt idx="598">
                  <c:v>34.507300000000463</c:v>
                </c:pt>
                <c:pt idx="599">
                  <c:v>34.507400000000466</c:v>
                </c:pt>
                <c:pt idx="600">
                  <c:v>34.507500000000469</c:v>
                </c:pt>
                <c:pt idx="601">
                  <c:v>34.507600000000473</c:v>
                </c:pt>
                <c:pt idx="602">
                  <c:v>34.507700000000476</c:v>
                </c:pt>
                <c:pt idx="603">
                  <c:v>34.507800000000479</c:v>
                </c:pt>
                <c:pt idx="604">
                  <c:v>34.507900000000483</c:v>
                </c:pt>
                <c:pt idx="605">
                  <c:v>34.508000000000486</c:v>
                </c:pt>
                <c:pt idx="606">
                  <c:v>34.508100000000489</c:v>
                </c:pt>
                <c:pt idx="607">
                  <c:v>34.508200000000492</c:v>
                </c:pt>
                <c:pt idx="608">
                  <c:v>34.508300000000496</c:v>
                </c:pt>
                <c:pt idx="609">
                  <c:v>34.508400000000499</c:v>
                </c:pt>
                <c:pt idx="610">
                  <c:v>34.508500000000502</c:v>
                </c:pt>
                <c:pt idx="611">
                  <c:v>34.508600000000506</c:v>
                </c:pt>
                <c:pt idx="612">
                  <c:v>34.508700000000509</c:v>
                </c:pt>
                <c:pt idx="613">
                  <c:v>34.508800000000512</c:v>
                </c:pt>
                <c:pt idx="614">
                  <c:v>34.508900000000516</c:v>
                </c:pt>
                <c:pt idx="615">
                  <c:v>34.509000000000519</c:v>
                </c:pt>
                <c:pt idx="616">
                  <c:v>34.509100000000522</c:v>
                </c:pt>
                <c:pt idx="617">
                  <c:v>34.509200000000526</c:v>
                </c:pt>
                <c:pt idx="618">
                  <c:v>34.509300000000529</c:v>
                </c:pt>
                <c:pt idx="619">
                  <c:v>34.509400000000532</c:v>
                </c:pt>
                <c:pt idx="620">
                  <c:v>34.509500000000536</c:v>
                </c:pt>
                <c:pt idx="621">
                  <c:v>34.509600000000539</c:v>
                </c:pt>
                <c:pt idx="622">
                  <c:v>34.509700000000542</c:v>
                </c:pt>
                <c:pt idx="623">
                  <c:v>34.509800000000546</c:v>
                </c:pt>
                <c:pt idx="624">
                  <c:v>34.509900000000549</c:v>
                </c:pt>
                <c:pt idx="625">
                  <c:v>34.510000000000552</c:v>
                </c:pt>
                <c:pt idx="626">
                  <c:v>34.510100000000556</c:v>
                </c:pt>
                <c:pt idx="627">
                  <c:v>34.510200000000559</c:v>
                </c:pt>
                <c:pt idx="628">
                  <c:v>34.510300000000562</c:v>
                </c:pt>
                <c:pt idx="629">
                  <c:v>34.510400000000566</c:v>
                </c:pt>
                <c:pt idx="630">
                  <c:v>34.510500000000569</c:v>
                </c:pt>
                <c:pt idx="631">
                  <c:v>34.510600000000572</c:v>
                </c:pt>
                <c:pt idx="632">
                  <c:v>34.510700000000575</c:v>
                </c:pt>
                <c:pt idx="633">
                  <c:v>34.510800000000579</c:v>
                </c:pt>
                <c:pt idx="634">
                  <c:v>34.510900000000582</c:v>
                </c:pt>
                <c:pt idx="635">
                  <c:v>34.511000000000585</c:v>
                </c:pt>
                <c:pt idx="636">
                  <c:v>34.511100000000589</c:v>
                </c:pt>
                <c:pt idx="637">
                  <c:v>34.511200000000592</c:v>
                </c:pt>
                <c:pt idx="638">
                  <c:v>34.511300000000595</c:v>
                </c:pt>
                <c:pt idx="639">
                  <c:v>34.511400000000599</c:v>
                </c:pt>
                <c:pt idx="640">
                  <c:v>34.511500000000602</c:v>
                </c:pt>
                <c:pt idx="641">
                  <c:v>34.511600000000605</c:v>
                </c:pt>
                <c:pt idx="642">
                  <c:v>34.511700000000609</c:v>
                </c:pt>
                <c:pt idx="643">
                  <c:v>34.511800000000612</c:v>
                </c:pt>
                <c:pt idx="644">
                  <c:v>34.511900000000615</c:v>
                </c:pt>
                <c:pt idx="645">
                  <c:v>34.512000000000619</c:v>
                </c:pt>
                <c:pt idx="646">
                  <c:v>34.512100000000622</c:v>
                </c:pt>
                <c:pt idx="647">
                  <c:v>34.512200000000625</c:v>
                </c:pt>
                <c:pt idx="648">
                  <c:v>34.512300000000629</c:v>
                </c:pt>
                <c:pt idx="649">
                  <c:v>34.512400000000632</c:v>
                </c:pt>
                <c:pt idx="650">
                  <c:v>34.512500000000635</c:v>
                </c:pt>
                <c:pt idx="651">
                  <c:v>34.512600000000639</c:v>
                </c:pt>
                <c:pt idx="652">
                  <c:v>34.512700000000642</c:v>
                </c:pt>
                <c:pt idx="653">
                  <c:v>34.512800000000645</c:v>
                </c:pt>
                <c:pt idx="654">
                  <c:v>34.512900000000649</c:v>
                </c:pt>
                <c:pt idx="655">
                  <c:v>34.513000000000652</c:v>
                </c:pt>
                <c:pt idx="656">
                  <c:v>34.513100000000655</c:v>
                </c:pt>
                <c:pt idx="657">
                  <c:v>34.513200000000658</c:v>
                </c:pt>
                <c:pt idx="658">
                  <c:v>34.513300000000662</c:v>
                </c:pt>
                <c:pt idx="659">
                  <c:v>34.513400000000665</c:v>
                </c:pt>
                <c:pt idx="660">
                  <c:v>34.513500000000668</c:v>
                </c:pt>
                <c:pt idx="661">
                  <c:v>34.513600000000672</c:v>
                </c:pt>
                <c:pt idx="662">
                  <c:v>34.513700000000675</c:v>
                </c:pt>
                <c:pt idx="663">
                  <c:v>34.513800000000678</c:v>
                </c:pt>
                <c:pt idx="664">
                  <c:v>34.513900000000682</c:v>
                </c:pt>
                <c:pt idx="665">
                  <c:v>34.514000000000685</c:v>
                </c:pt>
                <c:pt idx="666">
                  <c:v>34.514100000000688</c:v>
                </c:pt>
                <c:pt idx="667">
                  <c:v>34.514200000000692</c:v>
                </c:pt>
                <c:pt idx="668">
                  <c:v>34.514300000000695</c:v>
                </c:pt>
                <c:pt idx="669">
                  <c:v>34.514400000000698</c:v>
                </c:pt>
                <c:pt idx="670">
                  <c:v>34.514500000000702</c:v>
                </c:pt>
                <c:pt idx="671">
                  <c:v>34.514600000000705</c:v>
                </c:pt>
                <c:pt idx="672">
                  <c:v>34.514700000000708</c:v>
                </c:pt>
                <c:pt idx="673">
                  <c:v>34.514800000000712</c:v>
                </c:pt>
                <c:pt idx="674">
                  <c:v>34.514900000000715</c:v>
                </c:pt>
                <c:pt idx="675">
                  <c:v>34.515000000000718</c:v>
                </c:pt>
                <c:pt idx="676">
                  <c:v>34.515100000000722</c:v>
                </c:pt>
                <c:pt idx="677">
                  <c:v>34.515200000000725</c:v>
                </c:pt>
                <c:pt idx="678">
                  <c:v>34.515300000000728</c:v>
                </c:pt>
                <c:pt idx="679">
                  <c:v>34.515400000000731</c:v>
                </c:pt>
                <c:pt idx="680">
                  <c:v>34.515500000000735</c:v>
                </c:pt>
                <c:pt idx="681">
                  <c:v>34.515600000000738</c:v>
                </c:pt>
                <c:pt idx="682">
                  <c:v>34.515700000000741</c:v>
                </c:pt>
                <c:pt idx="683">
                  <c:v>34.515800000000745</c:v>
                </c:pt>
                <c:pt idx="684">
                  <c:v>34.515900000000748</c:v>
                </c:pt>
                <c:pt idx="685">
                  <c:v>34.516000000000751</c:v>
                </c:pt>
                <c:pt idx="686">
                  <c:v>34.516100000000755</c:v>
                </c:pt>
                <c:pt idx="687">
                  <c:v>34.516200000000758</c:v>
                </c:pt>
                <c:pt idx="688">
                  <c:v>34.516300000000761</c:v>
                </c:pt>
                <c:pt idx="689">
                  <c:v>34.516400000000765</c:v>
                </c:pt>
                <c:pt idx="690">
                  <c:v>34.516500000000768</c:v>
                </c:pt>
                <c:pt idx="691">
                  <c:v>34.516600000000771</c:v>
                </c:pt>
                <c:pt idx="692">
                  <c:v>34.516700000000775</c:v>
                </c:pt>
                <c:pt idx="693">
                  <c:v>34.516800000000778</c:v>
                </c:pt>
                <c:pt idx="694">
                  <c:v>34.516900000000781</c:v>
                </c:pt>
                <c:pt idx="695">
                  <c:v>34.517000000000785</c:v>
                </c:pt>
                <c:pt idx="696">
                  <c:v>34.517100000000788</c:v>
                </c:pt>
                <c:pt idx="697">
                  <c:v>34.517200000000791</c:v>
                </c:pt>
                <c:pt idx="698">
                  <c:v>34.517300000000795</c:v>
                </c:pt>
                <c:pt idx="699">
                  <c:v>34.517400000000798</c:v>
                </c:pt>
                <c:pt idx="700">
                  <c:v>34.517500000000801</c:v>
                </c:pt>
                <c:pt idx="701">
                  <c:v>34.517600000000805</c:v>
                </c:pt>
                <c:pt idx="702">
                  <c:v>34.517700000000808</c:v>
                </c:pt>
                <c:pt idx="703">
                  <c:v>34.517800000000811</c:v>
                </c:pt>
                <c:pt idx="704">
                  <c:v>34.517900000000814</c:v>
                </c:pt>
                <c:pt idx="705">
                  <c:v>34.518000000000818</c:v>
                </c:pt>
                <c:pt idx="706">
                  <c:v>34.518100000000821</c:v>
                </c:pt>
                <c:pt idx="707">
                  <c:v>34.518200000000824</c:v>
                </c:pt>
                <c:pt idx="708">
                  <c:v>34.518300000000828</c:v>
                </c:pt>
                <c:pt idx="709">
                  <c:v>34.518400000000831</c:v>
                </c:pt>
                <c:pt idx="710">
                  <c:v>34.518500000000834</c:v>
                </c:pt>
                <c:pt idx="711">
                  <c:v>34.518600000000838</c:v>
                </c:pt>
                <c:pt idx="712">
                  <c:v>34.518700000000841</c:v>
                </c:pt>
                <c:pt idx="713">
                  <c:v>34.518800000000844</c:v>
                </c:pt>
                <c:pt idx="714">
                  <c:v>34.518900000000848</c:v>
                </c:pt>
                <c:pt idx="715">
                  <c:v>34.519000000000851</c:v>
                </c:pt>
                <c:pt idx="716">
                  <c:v>34.519100000000854</c:v>
                </c:pt>
                <c:pt idx="717">
                  <c:v>34.519200000000858</c:v>
                </c:pt>
                <c:pt idx="718">
                  <c:v>34.519300000000861</c:v>
                </c:pt>
                <c:pt idx="719">
                  <c:v>34.519400000000864</c:v>
                </c:pt>
                <c:pt idx="720">
                  <c:v>34.519500000000868</c:v>
                </c:pt>
                <c:pt idx="721">
                  <c:v>34.519600000000871</c:v>
                </c:pt>
                <c:pt idx="722">
                  <c:v>34.519700000000874</c:v>
                </c:pt>
                <c:pt idx="723">
                  <c:v>34.519800000000878</c:v>
                </c:pt>
                <c:pt idx="724">
                  <c:v>34.519900000000881</c:v>
                </c:pt>
                <c:pt idx="725">
                  <c:v>34.520000000000884</c:v>
                </c:pt>
                <c:pt idx="726">
                  <c:v>34.520100000000888</c:v>
                </c:pt>
                <c:pt idx="727">
                  <c:v>34.520200000000891</c:v>
                </c:pt>
                <c:pt idx="728">
                  <c:v>34.520300000000894</c:v>
                </c:pt>
                <c:pt idx="729">
                  <c:v>34.520400000000897</c:v>
                </c:pt>
                <c:pt idx="730">
                  <c:v>34.520500000000901</c:v>
                </c:pt>
                <c:pt idx="731">
                  <c:v>34.520600000000904</c:v>
                </c:pt>
                <c:pt idx="732">
                  <c:v>34.520700000000907</c:v>
                </c:pt>
                <c:pt idx="733">
                  <c:v>34.520800000000911</c:v>
                </c:pt>
                <c:pt idx="734">
                  <c:v>34.520900000000914</c:v>
                </c:pt>
                <c:pt idx="735">
                  <c:v>34.521000000000917</c:v>
                </c:pt>
                <c:pt idx="736">
                  <c:v>34.521100000000921</c:v>
                </c:pt>
                <c:pt idx="737">
                  <c:v>34.521200000000924</c:v>
                </c:pt>
                <c:pt idx="738">
                  <c:v>34.521300000000927</c:v>
                </c:pt>
                <c:pt idx="739">
                  <c:v>34.521400000000931</c:v>
                </c:pt>
                <c:pt idx="740">
                  <c:v>34.521500000000934</c:v>
                </c:pt>
                <c:pt idx="741">
                  <c:v>34.521600000000937</c:v>
                </c:pt>
                <c:pt idx="742">
                  <c:v>34.521700000000941</c:v>
                </c:pt>
                <c:pt idx="743">
                  <c:v>34.521800000000944</c:v>
                </c:pt>
                <c:pt idx="744">
                  <c:v>34.521900000000947</c:v>
                </c:pt>
                <c:pt idx="745">
                  <c:v>34.522000000000951</c:v>
                </c:pt>
                <c:pt idx="746">
                  <c:v>34.522100000000954</c:v>
                </c:pt>
                <c:pt idx="747">
                  <c:v>34.522200000000957</c:v>
                </c:pt>
                <c:pt idx="748">
                  <c:v>34.522300000000961</c:v>
                </c:pt>
                <c:pt idx="749">
                  <c:v>34.522400000000964</c:v>
                </c:pt>
                <c:pt idx="750">
                  <c:v>34.522500000000967</c:v>
                </c:pt>
                <c:pt idx="751">
                  <c:v>34.522600000000971</c:v>
                </c:pt>
                <c:pt idx="752">
                  <c:v>34.522700000000974</c:v>
                </c:pt>
                <c:pt idx="753">
                  <c:v>34.522800000000977</c:v>
                </c:pt>
                <c:pt idx="754">
                  <c:v>34.52290000000098</c:v>
                </c:pt>
                <c:pt idx="755">
                  <c:v>34.523000000000984</c:v>
                </c:pt>
                <c:pt idx="756">
                  <c:v>34.523100000000987</c:v>
                </c:pt>
                <c:pt idx="757">
                  <c:v>34.52320000000099</c:v>
                </c:pt>
                <c:pt idx="758">
                  <c:v>34.523300000000994</c:v>
                </c:pt>
                <c:pt idx="759">
                  <c:v>34.523400000000997</c:v>
                </c:pt>
                <c:pt idx="760">
                  <c:v>34.523500000001</c:v>
                </c:pt>
                <c:pt idx="761">
                  <c:v>34.523600000001004</c:v>
                </c:pt>
                <c:pt idx="762">
                  <c:v>34.523700000001007</c:v>
                </c:pt>
                <c:pt idx="763">
                  <c:v>34.52380000000101</c:v>
                </c:pt>
                <c:pt idx="764">
                  <c:v>34.523900000001014</c:v>
                </c:pt>
                <c:pt idx="765">
                  <c:v>34.524000000001017</c:v>
                </c:pt>
                <c:pt idx="766">
                  <c:v>34.52410000000102</c:v>
                </c:pt>
                <c:pt idx="767">
                  <c:v>34.524200000001024</c:v>
                </c:pt>
                <c:pt idx="768">
                  <c:v>34.524300000001027</c:v>
                </c:pt>
                <c:pt idx="769">
                  <c:v>34.52440000000103</c:v>
                </c:pt>
                <c:pt idx="770">
                  <c:v>34.524500000001034</c:v>
                </c:pt>
                <c:pt idx="771">
                  <c:v>34.524600000001037</c:v>
                </c:pt>
                <c:pt idx="772">
                  <c:v>34.52470000000104</c:v>
                </c:pt>
                <c:pt idx="773">
                  <c:v>34.524800000001044</c:v>
                </c:pt>
                <c:pt idx="774">
                  <c:v>34.524900000001047</c:v>
                </c:pt>
                <c:pt idx="775">
                  <c:v>34.52500000000105</c:v>
                </c:pt>
                <c:pt idx="776">
                  <c:v>34.525100000001054</c:v>
                </c:pt>
                <c:pt idx="777">
                  <c:v>34.525200000001057</c:v>
                </c:pt>
                <c:pt idx="778">
                  <c:v>34.52530000000106</c:v>
                </c:pt>
                <c:pt idx="779">
                  <c:v>34.525400000001063</c:v>
                </c:pt>
                <c:pt idx="780">
                  <c:v>34.525500000001067</c:v>
                </c:pt>
                <c:pt idx="781">
                  <c:v>34.52560000000107</c:v>
                </c:pt>
                <c:pt idx="782">
                  <c:v>34.525700000001073</c:v>
                </c:pt>
                <c:pt idx="783">
                  <c:v>34.525800000001077</c:v>
                </c:pt>
                <c:pt idx="784">
                  <c:v>34.52590000000108</c:v>
                </c:pt>
                <c:pt idx="785">
                  <c:v>34.526000000001083</c:v>
                </c:pt>
                <c:pt idx="786">
                  <c:v>34.526100000001087</c:v>
                </c:pt>
                <c:pt idx="787">
                  <c:v>34.52620000000109</c:v>
                </c:pt>
                <c:pt idx="788">
                  <c:v>34.526300000001093</c:v>
                </c:pt>
                <c:pt idx="789">
                  <c:v>34.526400000001097</c:v>
                </c:pt>
                <c:pt idx="790">
                  <c:v>34.5265000000011</c:v>
                </c:pt>
                <c:pt idx="791">
                  <c:v>34.526600000001103</c:v>
                </c:pt>
                <c:pt idx="792">
                  <c:v>34.526700000001107</c:v>
                </c:pt>
                <c:pt idx="793">
                  <c:v>34.52680000000111</c:v>
                </c:pt>
                <c:pt idx="794">
                  <c:v>34.526900000001113</c:v>
                </c:pt>
                <c:pt idx="795">
                  <c:v>34.527000000001117</c:v>
                </c:pt>
                <c:pt idx="796">
                  <c:v>34.52710000000112</c:v>
                </c:pt>
                <c:pt idx="797">
                  <c:v>34.527200000001123</c:v>
                </c:pt>
                <c:pt idx="798">
                  <c:v>34.527300000001127</c:v>
                </c:pt>
                <c:pt idx="799">
                  <c:v>34.52740000000113</c:v>
                </c:pt>
                <c:pt idx="800">
                  <c:v>34.527500000001133</c:v>
                </c:pt>
                <c:pt idx="801">
                  <c:v>34.527600000001136</c:v>
                </c:pt>
                <c:pt idx="802">
                  <c:v>34.52770000000114</c:v>
                </c:pt>
                <c:pt idx="803">
                  <c:v>34.527800000001143</c:v>
                </c:pt>
                <c:pt idx="804">
                  <c:v>34.527900000001146</c:v>
                </c:pt>
                <c:pt idx="805">
                  <c:v>34.52800000000115</c:v>
                </c:pt>
                <c:pt idx="806">
                  <c:v>34.528100000001153</c:v>
                </c:pt>
                <c:pt idx="807">
                  <c:v>34.528200000001156</c:v>
                </c:pt>
                <c:pt idx="808">
                  <c:v>34.52830000000116</c:v>
                </c:pt>
                <c:pt idx="809">
                  <c:v>34.528400000001163</c:v>
                </c:pt>
                <c:pt idx="810">
                  <c:v>34.528500000001166</c:v>
                </c:pt>
                <c:pt idx="811">
                  <c:v>34.52860000000117</c:v>
                </c:pt>
                <c:pt idx="812">
                  <c:v>34.528700000001173</c:v>
                </c:pt>
                <c:pt idx="813">
                  <c:v>34.528800000001176</c:v>
                </c:pt>
                <c:pt idx="814">
                  <c:v>34.52890000000118</c:v>
                </c:pt>
                <c:pt idx="815">
                  <c:v>34.529000000001183</c:v>
                </c:pt>
                <c:pt idx="816">
                  <c:v>34.529100000001186</c:v>
                </c:pt>
                <c:pt idx="817">
                  <c:v>34.52920000000119</c:v>
                </c:pt>
                <c:pt idx="818">
                  <c:v>34.529300000001193</c:v>
                </c:pt>
                <c:pt idx="819">
                  <c:v>34.529400000001196</c:v>
                </c:pt>
                <c:pt idx="820">
                  <c:v>34.5295000000012</c:v>
                </c:pt>
                <c:pt idx="821">
                  <c:v>34.529600000001203</c:v>
                </c:pt>
                <c:pt idx="822">
                  <c:v>34.529700000001206</c:v>
                </c:pt>
                <c:pt idx="823">
                  <c:v>34.52980000000121</c:v>
                </c:pt>
                <c:pt idx="824">
                  <c:v>34.529900000001213</c:v>
                </c:pt>
                <c:pt idx="825">
                  <c:v>34.530000000001216</c:v>
                </c:pt>
                <c:pt idx="826">
                  <c:v>34.530100000001219</c:v>
                </c:pt>
                <c:pt idx="827">
                  <c:v>34.530200000001223</c:v>
                </c:pt>
                <c:pt idx="828">
                  <c:v>34.530300000001226</c:v>
                </c:pt>
                <c:pt idx="829">
                  <c:v>34.530400000001229</c:v>
                </c:pt>
                <c:pt idx="830">
                  <c:v>34.530500000001233</c:v>
                </c:pt>
                <c:pt idx="831">
                  <c:v>34.530600000001236</c:v>
                </c:pt>
                <c:pt idx="832">
                  <c:v>34.530700000001239</c:v>
                </c:pt>
                <c:pt idx="833">
                  <c:v>34.530800000001243</c:v>
                </c:pt>
                <c:pt idx="834">
                  <c:v>34.530900000001246</c:v>
                </c:pt>
                <c:pt idx="835">
                  <c:v>34.531000000001249</c:v>
                </c:pt>
                <c:pt idx="836">
                  <c:v>34.531100000001253</c:v>
                </c:pt>
                <c:pt idx="837">
                  <c:v>34.531200000001256</c:v>
                </c:pt>
                <c:pt idx="838">
                  <c:v>34.531300000001259</c:v>
                </c:pt>
                <c:pt idx="839">
                  <c:v>34.531400000001263</c:v>
                </c:pt>
                <c:pt idx="840">
                  <c:v>34.531500000001266</c:v>
                </c:pt>
                <c:pt idx="841">
                  <c:v>34.531600000001269</c:v>
                </c:pt>
                <c:pt idx="842">
                  <c:v>34.531700000001273</c:v>
                </c:pt>
                <c:pt idx="843">
                  <c:v>34.531800000001276</c:v>
                </c:pt>
                <c:pt idx="844">
                  <c:v>34.531900000001279</c:v>
                </c:pt>
                <c:pt idx="845">
                  <c:v>34.532000000001283</c:v>
                </c:pt>
                <c:pt idx="846">
                  <c:v>34.532100000001286</c:v>
                </c:pt>
                <c:pt idx="847">
                  <c:v>34.532200000001289</c:v>
                </c:pt>
                <c:pt idx="848">
                  <c:v>34.532300000001293</c:v>
                </c:pt>
                <c:pt idx="849">
                  <c:v>34.532400000001296</c:v>
                </c:pt>
                <c:pt idx="850">
                  <c:v>34.532500000001299</c:v>
                </c:pt>
                <c:pt idx="851">
                  <c:v>34.532600000001302</c:v>
                </c:pt>
                <c:pt idx="852">
                  <c:v>34.532700000001306</c:v>
                </c:pt>
                <c:pt idx="853">
                  <c:v>34.532800000001309</c:v>
                </c:pt>
                <c:pt idx="854">
                  <c:v>34.532900000001312</c:v>
                </c:pt>
                <c:pt idx="855">
                  <c:v>34.533000000001316</c:v>
                </c:pt>
                <c:pt idx="856">
                  <c:v>34.533100000001319</c:v>
                </c:pt>
                <c:pt idx="857">
                  <c:v>34.533200000001322</c:v>
                </c:pt>
                <c:pt idx="858">
                  <c:v>34.533300000001326</c:v>
                </c:pt>
                <c:pt idx="859">
                  <c:v>34.533400000001329</c:v>
                </c:pt>
                <c:pt idx="860">
                  <c:v>34.533500000001332</c:v>
                </c:pt>
                <c:pt idx="861">
                  <c:v>34.533600000001336</c:v>
                </c:pt>
                <c:pt idx="862">
                  <c:v>34.533700000001339</c:v>
                </c:pt>
                <c:pt idx="863">
                  <c:v>34.533800000001342</c:v>
                </c:pt>
                <c:pt idx="864">
                  <c:v>34.533900000001346</c:v>
                </c:pt>
                <c:pt idx="865">
                  <c:v>34.534000000001349</c:v>
                </c:pt>
                <c:pt idx="866">
                  <c:v>34.534100000001352</c:v>
                </c:pt>
                <c:pt idx="867">
                  <c:v>34.534200000001356</c:v>
                </c:pt>
                <c:pt idx="868">
                  <c:v>34.534300000001359</c:v>
                </c:pt>
                <c:pt idx="869">
                  <c:v>34.534400000001362</c:v>
                </c:pt>
                <c:pt idx="870">
                  <c:v>34.534500000001366</c:v>
                </c:pt>
                <c:pt idx="871">
                  <c:v>34.534600000001369</c:v>
                </c:pt>
                <c:pt idx="872">
                  <c:v>34.534700000001372</c:v>
                </c:pt>
                <c:pt idx="873">
                  <c:v>34.534800000001376</c:v>
                </c:pt>
                <c:pt idx="874">
                  <c:v>34.534900000001379</c:v>
                </c:pt>
                <c:pt idx="875">
                  <c:v>34.535000000001382</c:v>
                </c:pt>
                <c:pt idx="876">
                  <c:v>34.535100000001385</c:v>
                </c:pt>
                <c:pt idx="877">
                  <c:v>34.535200000001389</c:v>
                </c:pt>
                <c:pt idx="878">
                  <c:v>34.535300000001392</c:v>
                </c:pt>
                <c:pt idx="879">
                  <c:v>34.535400000001395</c:v>
                </c:pt>
                <c:pt idx="880">
                  <c:v>34.535500000001399</c:v>
                </c:pt>
                <c:pt idx="881">
                  <c:v>34.535600000001402</c:v>
                </c:pt>
                <c:pt idx="882">
                  <c:v>34.535700000001405</c:v>
                </c:pt>
                <c:pt idx="883">
                  <c:v>34.535800000001409</c:v>
                </c:pt>
                <c:pt idx="884">
                  <c:v>34.535900000001412</c:v>
                </c:pt>
                <c:pt idx="885">
                  <c:v>34.536000000001415</c:v>
                </c:pt>
                <c:pt idx="886">
                  <c:v>34.536100000001419</c:v>
                </c:pt>
                <c:pt idx="887">
                  <c:v>34.536200000001422</c:v>
                </c:pt>
                <c:pt idx="888">
                  <c:v>34.536300000001425</c:v>
                </c:pt>
                <c:pt idx="889">
                  <c:v>34.536400000001429</c:v>
                </c:pt>
                <c:pt idx="890">
                  <c:v>34.536500000001432</c:v>
                </c:pt>
                <c:pt idx="891">
                  <c:v>34.536600000001435</c:v>
                </c:pt>
                <c:pt idx="892">
                  <c:v>34.536700000001439</c:v>
                </c:pt>
                <c:pt idx="893">
                  <c:v>34.536800000001442</c:v>
                </c:pt>
                <c:pt idx="894">
                  <c:v>34.536900000001445</c:v>
                </c:pt>
                <c:pt idx="895">
                  <c:v>34.537000000001449</c:v>
                </c:pt>
                <c:pt idx="896">
                  <c:v>34.537100000001452</c:v>
                </c:pt>
                <c:pt idx="897">
                  <c:v>34.537200000001455</c:v>
                </c:pt>
                <c:pt idx="898">
                  <c:v>34.537300000001458</c:v>
                </c:pt>
                <c:pt idx="899">
                  <c:v>34.537400000001462</c:v>
                </c:pt>
                <c:pt idx="900">
                  <c:v>34.537500000001465</c:v>
                </c:pt>
                <c:pt idx="901">
                  <c:v>34.537600000001468</c:v>
                </c:pt>
                <c:pt idx="902">
                  <c:v>34.537700000001472</c:v>
                </c:pt>
                <c:pt idx="903">
                  <c:v>34.537800000001475</c:v>
                </c:pt>
                <c:pt idx="904">
                  <c:v>34.537900000001478</c:v>
                </c:pt>
                <c:pt idx="905">
                  <c:v>34.538000000001482</c:v>
                </c:pt>
                <c:pt idx="906">
                  <c:v>34.538100000001485</c:v>
                </c:pt>
                <c:pt idx="907">
                  <c:v>34.538200000001488</c:v>
                </c:pt>
                <c:pt idx="908">
                  <c:v>34.538300000001492</c:v>
                </c:pt>
                <c:pt idx="909">
                  <c:v>34.538400000001495</c:v>
                </c:pt>
                <c:pt idx="910">
                  <c:v>34.538500000001498</c:v>
                </c:pt>
                <c:pt idx="911">
                  <c:v>34.538600000001502</c:v>
                </c:pt>
                <c:pt idx="912">
                  <c:v>34.538700000001505</c:v>
                </c:pt>
                <c:pt idx="913">
                  <c:v>34.538800000001508</c:v>
                </c:pt>
                <c:pt idx="914">
                  <c:v>34.538900000001512</c:v>
                </c:pt>
                <c:pt idx="915">
                  <c:v>34.539000000001515</c:v>
                </c:pt>
                <c:pt idx="916">
                  <c:v>34.539100000001518</c:v>
                </c:pt>
                <c:pt idx="917">
                  <c:v>34.539200000001522</c:v>
                </c:pt>
                <c:pt idx="918">
                  <c:v>34.539300000001525</c:v>
                </c:pt>
                <c:pt idx="919">
                  <c:v>34.539400000001528</c:v>
                </c:pt>
                <c:pt idx="920">
                  <c:v>34.539500000001532</c:v>
                </c:pt>
                <c:pt idx="921">
                  <c:v>34.539600000001535</c:v>
                </c:pt>
                <c:pt idx="922">
                  <c:v>34.539700000001538</c:v>
                </c:pt>
                <c:pt idx="923">
                  <c:v>34.539800000001541</c:v>
                </c:pt>
                <c:pt idx="924">
                  <c:v>34.539900000001545</c:v>
                </c:pt>
                <c:pt idx="925">
                  <c:v>34.540000000001548</c:v>
                </c:pt>
                <c:pt idx="926">
                  <c:v>34.540100000001551</c:v>
                </c:pt>
                <c:pt idx="927">
                  <c:v>34.540200000001555</c:v>
                </c:pt>
                <c:pt idx="928">
                  <c:v>34.540300000001558</c:v>
                </c:pt>
                <c:pt idx="929">
                  <c:v>34.540400000001561</c:v>
                </c:pt>
                <c:pt idx="930">
                  <c:v>34.540500000001565</c:v>
                </c:pt>
                <c:pt idx="931">
                  <c:v>34.540600000001568</c:v>
                </c:pt>
                <c:pt idx="932">
                  <c:v>34.540700000001571</c:v>
                </c:pt>
                <c:pt idx="933">
                  <c:v>34.540800000001575</c:v>
                </c:pt>
                <c:pt idx="934">
                  <c:v>34.540900000001578</c:v>
                </c:pt>
                <c:pt idx="935">
                  <c:v>34.541000000001581</c:v>
                </c:pt>
                <c:pt idx="936">
                  <c:v>34.541100000001585</c:v>
                </c:pt>
                <c:pt idx="937">
                  <c:v>34.541200000001588</c:v>
                </c:pt>
                <c:pt idx="938">
                  <c:v>34.541300000001591</c:v>
                </c:pt>
                <c:pt idx="939">
                  <c:v>34.541400000001595</c:v>
                </c:pt>
                <c:pt idx="940">
                  <c:v>34.541500000001598</c:v>
                </c:pt>
                <c:pt idx="941">
                  <c:v>34.541600000001601</c:v>
                </c:pt>
                <c:pt idx="942">
                  <c:v>34.541700000001605</c:v>
                </c:pt>
                <c:pt idx="943">
                  <c:v>34.541800000001608</c:v>
                </c:pt>
                <c:pt idx="944">
                  <c:v>34.541900000001611</c:v>
                </c:pt>
                <c:pt idx="945">
                  <c:v>34.542000000001615</c:v>
                </c:pt>
                <c:pt idx="946">
                  <c:v>34.542100000001618</c:v>
                </c:pt>
                <c:pt idx="947">
                  <c:v>34.542200000001621</c:v>
                </c:pt>
                <c:pt idx="948">
                  <c:v>34.542300000001624</c:v>
                </c:pt>
                <c:pt idx="949">
                  <c:v>34.542400000001628</c:v>
                </c:pt>
                <c:pt idx="950">
                  <c:v>34.542500000001631</c:v>
                </c:pt>
                <c:pt idx="951">
                  <c:v>34.542600000001634</c:v>
                </c:pt>
                <c:pt idx="952">
                  <c:v>34.542700000001638</c:v>
                </c:pt>
                <c:pt idx="953">
                  <c:v>34.542800000001641</c:v>
                </c:pt>
                <c:pt idx="954">
                  <c:v>34.542900000001644</c:v>
                </c:pt>
                <c:pt idx="955">
                  <c:v>34.543000000001648</c:v>
                </c:pt>
                <c:pt idx="956">
                  <c:v>34.543100000001651</c:v>
                </c:pt>
                <c:pt idx="957">
                  <c:v>34.543200000001654</c:v>
                </c:pt>
                <c:pt idx="958">
                  <c:v>34.543300000001658</c:v>
                </c:pt>
                <c:pt idx="959">
                  <c:v>34.543400000001661</c:v>
                </c:pt>
                <c:pt idx="960">
                  <c:v>34.543500000001664</c:v>
                </c:pt>
                <c:pt idx="961">
                  <c:v>34.543600000001668</c:v>
                </c:pt>
                <c:pt idx="962">
                  <c:v>34.543700000001671</c:v>
                </c:pt>
                <c:pt idx="963">
                  <c:v>34.543800000001674</c:v>
                </c:pt>
                <c:pt idx="964">
                  <c:v>34.543900000001678</c:v>
                </c:pt>
                <c:pt idx="965">
                  <c:v>34.544000000001681</c:v>
                </c:pt>
                <c:pt idx="966">
                  <c:v>34.544100000001684</c:v>
                </c:pt>
                <c:pt idx="967">
                  <c:v>34.544200000001688</c:v>
                </c:pt>
                <c:pt idx="968">
                  <c:v>34.544300000001691</c:v>
                </c:pt>
                <c:pt idx="969">
                  <c:v>34.544400000001694</c:v>
                </c:pt>
                <c:pt idx="970">
                  <c:v>34.544500000001698</c:v>
                </c:pt>
                <c:pt idx="971">
                  <c:v>34.544600000001701</c:v>
                </c:pt>
                <c:pt idx="972">
                  <c:v>34.544700000001704</c:v>
                </c:pt>
                <c:pt idx="973">
                  <c:v>34.544800000001707</c:v>
                </c:pt>
                <c:pt idx="974">
                  <c:v>34.544900000001711</c:v>
                </c:pt>
                <c:pt idx="975">
                  <c:v>34.545000000001714</c:v>
                </c:pt>
                <c:pt idx="976">
                  <c:v>34.545100000001717</c:v>
                </c:pt>
                <c:pt idx="977">
                  <c:v>34.545200000001721</c:v>
                </c:pt>
                <c:pt idx="978">
                  <c:v>34.545300000001724</c:v>
                </c:pt>
                <c:pt idx="979">
                  <c:v>34.545400000001727</c:v>
                </c:pt>
                <c:pt idx="980">
                  <c:v>34.545500000001731</c:v>
                </c:pt>
                <c:pt idx="981">
                  <c:v>34.545600000001734</c:v>
                </c:pt>
                <c:pt idx="982">
                  <c:v>34.545700000001737</c:v>
                </c:pt>
                <c:pt idx="983">
                  <c:v>34.545800000001741</c:v>
                </c:pt>
                <c:pt idx="984">
                  <c:v>34.545900000001744</c:v>
                </c:pt>
                <c:pt idx="985">
                  <c:v>34.546000000001747</c:v>
                </c:pt>
                <c:pt idx="986">
                  <c:v>34.546100000001751</c:v>
                </c:pt>
                <c:pt idx="987">
                  <c:v>34.546200000001754</c:v>
                </c:pt>
                <c:pt idx="988">
                  <c:v>34.546300000001757</c:v>
                </c:pt>
                <c:pt idx="989">
                  <c:v>34.546400000001761</c:v>
                </c:pt>
                <c:pt idx="990">
                  <c:v>34.546500000001764</c:v>
                </c:pt>
                <c:pt idx="991">
                  <c:v>34.546600000001767</c:v>
                </c:pt>
                <c:pt idx="992">
                  <c:v>34.546700000001771</c:v>
                </c:pt>
                <c:pt idx="993">
                  <c:v>34.546800000001774</c:v>
                </c:pt>
                <c:pt idx="994">
                  <c:v>34.546900000001777</c:v>
                </c:pt>
                <c:pt idx="995">
                  <c:v>34.547000000001781</c:v>
                </c:pt>
                <c:pt idx="996">
                  <c:v>34.547100000001784</c:v>
                </c:pt>
                <c:pt idx="997">
                  <c:v>34.547200000001787</c:v>
                </c:pt>
                <c:pt idx="998">
                  <c:v>34.54730000000179</c:v>
                </c:pt>
                <c:pt idx="999">
                  <c:v>34.547400000001794</c:v>
                </c:pt>
                <c:pt idx="1000">
                  <c:v>34.547500000001797</c:v>
                </c:pt>
              </c:numCache>
            </c:numRef>
          </c:xVal>
          <c:yVal>
            <c:numRef>
              <c:f>Calculs!$AH$4:$AH$1004</c:f>
              <c:numCache>
                <c:formatCode>0.00</c:formatCode>
                <c:ptCount val="1001"/>
                <c:pt idx="0">
                  <c:v>0</c:v>
                </c:pt>
                <c:pt idx="1">
                  <c:v>29.193585235251881</c:v>
                </c:pt>
                <c:pt idx="2">
                  <c:v>110.47127826993083</c:v>
                </c:pt>
                <c:pt idx="3">
                  <c:v>160.00917672737972</c:v>
                </c:pt>
                <c:pt idx="4">
                  <c:v>154.84079620091984</c:v>
                </c:pt>
                <c:pt idx="5">
                  <c:v>149.65869695121992</c:v>
                </c:pt>
                <c:pt idx="6">
                  <c:v>147.63057024667808</c:v>
                </c:pt>
                <c:pt idx="7">
                  <c:v>148.76566489282783</c:v>
                </c:pt>
                <c:pt idx="8">
                  <c:v>149.90126886970754</c:v>
                </c:pt>
                <c:pt idx="9">
                  <c:v>151.03735526192395</c:v>
                </c:pt>
                <c:pt idx="10">
                  <c:v>152.17389671148402</c:v>
                </c:pt>
                <c:pt idx="11">
                  <c:v>152.98205603573268</c:v>
                </c:pt>
                <c:pt idx="12">
                  <c:v>153.4608498040819</c:v>
                </c:pt>
                <c:pt idx="13">
                  <c:v>153.93860888529204</c:v>
                </c:pt>
                <c:pt idx="14">
                  <c:v>154.41531407659713</c:v>
                </c:pt>
                <c:pt idx="15">
                  <c:v>154.89094611909903</c:v>
                </c:pt>
                <c:pt idx="16">
                  <c:v>155.36548569939873</c:v>
                </c:pt>
                <c:pt idx="17">
                  <c:v>155.83891345125116</c:v>
                </c:pt>
                <c:pt idx="18">
                  <c:v>156.3112099572437</c:v>
                </c:pt>
                <c:pt idx="19">
                  <c:v>156.78235575049786</c:v>
                </c:pt>
                <c:pt idx="20">
                  <c:v>157.25233131639487</c:v>
                </c:pt>
                <c:pt idx="21">
                  <c:v>157.58906195846015</c:v>
                </c:pt>
                <c:pt idx="22">
                  <c:v>157.79215310777766</c:v>
                </c:pt>
                <c:pt idx="23">
                  <c:v>157.99347630476515</c:v>
                </c:pt>
                <c:pt idx="24">
                  <c:v>158.19301993531195</c:v>
                </c:pt>
                <c:pt idx="25">
                  <c:v>158.39077245688964</c:v>
                </c:pt>
                <c:pt idx="26">
                  <c:v>158.58672240006152</c:v>
                </c:pt>
                <c:pt idx="27">
                  <c:v>158.78085823312225</c:v>
                </c:pt>
                <c:pt idx="28">
                  <c:v>158.9731684712464</c:v>
                </c:pt>
                <c:pt idx="29">
                  <c:v>159.16364184779826</c:v>
                </c:pt>
                <c:pt idx="30">
                  <c:v>159.352267175886</c:v>
                </c:pt>
                <c:pt idx="31">
                  <c:v>159.53903334981419</c:v>
                </c:pt>
                <c:pt idx="32">
                  <c:v>159.72392934653524</c:v>
                </c:pt>
                <c:pt idx="33">
                  <c:v>159.9069442271022</c:v>
                </c:pt>
                <c:pt idx="34">
                  <c:v>160.0880671381216</c:v>
                </c:pt>
                <c:pt idx="35">
                  <c:v>160.26728731320591</c:v>
                </c:pt>
                <c:pt idx="36">
                  <c:v>160.44459407442437</c:v>
                </c:pt>
                <c:pt idx="37">
                  <c:v>160.61997683375222</c:v>
                </c:pt>
                <c:pt idx="38">
                  <c:v>160.79342509451715</c:v>
                </c:pt>
                <c:pt idx="39">
                  <c:v>160.9649284528426</c:v>
                </c:pt>
                <c:pt idx="40">
                  <c:v>161.13447659908761</c:v>
                </c:pt>
                <c:pt idx="41">
                  <c:v>161.19907019403013</c:v>
                </c:pt>
                <c:pt idx="42">
                  <c:v>161.15842920886269</c:v>
                </c:pt>
                <c:pt idx="43">
                  <c:v>161.11543328968054</c:v>
                </c:pt>
                <c:pt idx="44">
                  <c:v>161.07008084545686</c:v>
                </c:pt>
                <c:pt idx="45">
                  <c:v>161.02237044612156</c:v>
                </c:pt>
                <c:pt idx="46">
                  <c:v>160.97230082298813</c:v>
                </c:pt>
                <c:pt idx="47">
                  <c:v>160.91987086915816</c:v>
                </c:pt>
                <c:pt idx="48">
                  <c:v>160.86507963990309</c:v>
                </c:pt>
                <c:pt idx="49">
                  <c:v>160.80792635302373</c:v>
                </c:pt>
                <c:pt idx="50">
                  <c:v>160.74841038918703</c:v>
                </c:pt>
                <c:pt idx="51">
                  <c:v>160.68653129223955</c:v>
                </c:pt>
                <c:pt idx="52">
                  <c:v>160.62228876949774</c:v>
                </c:pt>
                <c:pt idx="53">
                  <c:v>160.55568269201521</c:v>
                </c:pt>
                <c:pt idx="54">
                  <c:v>160.48671309482631</c:v>
                </c:pt>
                <c:pt idx="55">
                  <c:v>160.41538017716596</c:v>
                </c:pt>
                <c:pt idx="56">
                  <c:v>160.34168430266601</c:v>
                </c:pt>
                <c:pt idx="57">
                  <c:v>160.26562599952743</c:v>
                </c:pt>
                <c:pt idx="58">
                  <c:v>160.18720596066879</c:v>
                </c:pt>
                <c:pt idx="59">
                  <c:v>160.10642504385032</c:v>
                </c:pt>
                <c:pt idx="60">
                  <c:v>160.02328427177392</c:v>
                </c:pt>
                <c:pt idx="61">
                  <c:v>159.93778483215911</c:v>
                </c:pt>
                <c:pt idx="62">
                  <c:v>159.84992807779446</c:v>
                </c:pt>
                <c:pt idx="63">
                  <c:v>159.75971552656435</c:v>
                </c:pt>
                <c:pt idx="64">
                  <c:v>159.66714886145161</c:v>
                </c:pt>
                <c:pt idx="65">
                  <c:v>159.57222993051556</c:v>
                </c:pt>
                <c:pt idx="66">
                  <c:v>159.47496074684528</c:v>
                </c:pt>
                <c:pt idx="67">
                  <c:v>159.3753434884886</c:v>
                </c:pt>
                <c:pt idx="68">
                  <c:v>159.27338049835592</c:v>
                </c:pt>
                <c:pt idx="69">
                  <c:v>159.16907428410002</c:v>
                </c:pt>
                <c:pt idx="70">
                  <c:v>159.06242751797069</c:v>
                </c:pt>
                <c:pt idx="71">
                  <c:v>158.95344303664473</c:v>
                </c:pt>
                <c:pt idx="72">
                  <c:v>158.84212384103165</c:v>
                </c:pt>
                <c:pt idx="73">
                  <c:v>158.72847309605399</c:v>
                </c:pt>
                <c:pt idx="74">
                  <c:v>158.6124941304038</c:v>
                </c:pt>
                <c:pt idx="75">
                  <c:v>158.49419043627373</c:v>
                </c:pt>
                <c:pt idx="76">
                  <c:v>158.37356566906402</c:v>
                </c:pt>
                <c:pt idx="77">
                  <c:v>158.2506236470646</c:v>
                </c:pt>
                <c:pt idx="78">
                  <c:v>158.12536835111268</c:v>
                </c:pt>
                <c:pt idx="79">
                  <c:v>157.99780392422608</c:v>
                </c:pt>
                <c:pt idx="80">
                  <c:v>157.8679346712118</c:v>
                </c:pt>
                <c:pt idx="81">
                  <c:v>157.63064248443385</c:v>
                </c:pt>
                <c:pt idx="82">
                  <c:v>157.28572215108193</c:v>
                </c:pt>
                <c:pt idx="83">
                  <c:v>156.9382679141506</c:v>
                </c:pt>
                <c:pt idx="84">
                  <c:v>156.58829511951322</c:v>
                </c:pt>
                <c:pt idx="85">
                  <c:v>156.23581928400509</c:v>
                </c:pt>
                <c:pt idx="86">
                  <c:v>155.88085609321158</c:v>
                </c:pt>
                <c:pt idx="87">
                  <c:v>155.52342139923158</c:v>
                </c:pt>
                <c:pt idx="88">
                  <c:v>155.16353121841743</c:v>
                </c:pt>
                <c:pt idx="89">
                  <c:v>154.80120172909156</c:v>
                </c:pt>
                <c:pt idx="90">
                  <c:v>154.43644926924028</c:v>
                </c:pt>
                <c:pt idx="91">
                  <c:v>154.02278048623401</c:v>
                </c:pt>
                <c:pt idx="92">
                  <c:v>153.56012877931215</c:v>
                </c:pt>
                <c:pt idx="93">
                  <c:v>153.09501510120029</c:v>
                </c:pt>
                <c:pt idx="94">
                  <c:v>152.62746139769723</c:v>
                </c:pt>
                <c:pt idx="95">
                  <c:v>152.15748975578748</c:v>
                </c:pt>
                <c:pt idx="96">
                  <c:v>151.68512240034298</c:v>
                </c:pt>
                <c:pt idx="97">
                  <c:v>151.21038169081109</c:v>
                </c:pt>
                <c:pt idx="98">
                  <c:v>150.73329011788994</c:v>
                </c:pt>
                <c:pt idx="99">
                  <c:v>150.25387030019115</c:v>
                </c:pt>
                <c:pt idx="100">
                  <c:v>149.77214498089174</c:v>
                </c:pt>
                <c:pt idx="101">
                  <c:v>149.28068775989954</c:v>
                </c:pt>
                <c:pt idx="102">
                  <c:v>148.77950992142237</c:v>
                </c:pt>
                <c:pt idx="103">
                  <c:v>148.27608435717551</c:v>
                </c:pt>
                <c:pt idx="104">
                  <c:v>147.77043508858861</c:v>
                </c:pt>
                <c:pt idx="105">
                  <c:v>147.26258624249616</c:v>
                </c:pt>
                <c:pt idx="106">
                  <c:v>146.75256204759887</c:v>
                </c:pt>
                <c:pt idx="107">
                  <c:v>146.2403868309211</c:v>
                </c:pt>
                <c:pt idx="108">
                  <c:v>145.72608501426498</c:v>
                </c:pt>
                <c:pt idx="109">
                  <c:v>145.20968111066264</c:v>
                </c:pt>
                <c:pt idx="110">
                  <c:v>144.69119972082694</c:v>
                </c:pt>
                <c:pt idx="111">
                  <c:v>144.25654707105338</c:v>
                </c:pt>
                <c:pt idx="112">
                  <c:v>143.90586430392426</c:v>
                </c:pt>
                <c:pt idx="113">
                  <c:v>143.55327277285232</c:v>
                </c:pt>
                <c:pt idx="114">
                  <c:v>143.19878855041156</c:v>
                </c:pt>
                <c:pt idx="115">
                  <c:v>142.84242780674501</c:v>
                </c:pt>
                <c:pt idx="116">
                  <c:v>142.4842068074407</c:v>
                </c:pt>
                <c:pt idx="117">
                  <c:v>142.12414191139985</c:v>
                </c:pt>
                <c:pt idx="118">
                  <c:v>141.76224956869711</c:v>
                </c:pt>
                <c:pt idx="119">
                  <c:v>141.39854631843394</c:v>
                </c:pt>
                <c:pt idx="120">
                  <c:v>141.03304878658491</c:v>
                </c:pt>
                <c:pt idx="121">
                  <c:v>140.52314263610501</c:v>
                </c:pt>
                <c:pt idx="122">
                  <c:v>139.86867794897648</c:v>
                </c:pt>
                <c:pt idx="123">
                  <c:v>139.21236400902146</c:v>
                </c:pt>
                <c:pt idx="124">
                  <c:v>138.55423274960125</c:v>
                </c:pt>
                <c:pt idx="125">
                  <c:v>137.89431611278232</c:v>
                </c:pt>
                <c:pt idx="126">
                  <c:v>137.23264604478175</c:v>
                </c:pt>
                <c:pt idx="127">
                  <c:v>136.56925449143949</c:v>
                </c:pt>
                <c:pt idx="128">
                  <c:v>135.90417339371831</c:v>
                </c:pt>
                <c:pt idx="129">
                  <c:v>135.23743468323138</c:v>
                </c:pt>
                <c:pt idx="130">
                  <c:v>134.56907027780011</c:v>
                </c:pt>
                <c:pt idx="131">
                  <c:v>133.86172305662316</c:v>
                </c:pt>
                <c:pt idx="132">
                  <c:v>133.11539036789199</c:v>
                </c:pt>
                <c:pt idx="133">
                  <c:v>132.36751686985653</c:v>
                </c:pt>
                <c:pt idx="134">
                  <c:v>131.61813857338345</c:v>
                </c:pt>
                <c:pt idx="135">
                  <c:v>130.86729142437264</c:v>
                </c:pt>
                <c:pt idx="136">
                  <c:v>130.11501129884815</c:v>
                </c:pt>
                <c:pt idx="137">
                  <c:v>129.36133399809867</c:v>
                </c:pt>
                <c:pt idx="138">
                  <c:v>128.60629524386718</c:v>
                </c:pt>
                <c:pt idx="139">
                  <c:v>127.84993067359117</c:v>
                </c:pt>
                <c:pt idx="140">
                  <c:v>127.09227583569496</c:v>
                </c:pt>
                <c:pt idx="141">
                  <c:v>125.885762913608</c:v>
                </c:pt>
                <c:pt idx="142">
                  <c:v>124.2301343963212</c:v>
                </c:pt>
                <c:pt idx="143">
                  <c:v>122.57341504482469</c:v>
                </c:pt>
                <c:pt idx="144">
                  <c:v>120.91570074455728</c:v>
                </c:pt>
                <c:pt idx="145">
                  <c:v>119.2570865987458</c:v>
                </c:pt>
                <c:pt idx="146">
                  <c:v>117.59766691358779</c:v>
                </c:pt>
                <c:pt idx="147">
                  <c:v>115.93753518384123</c:v>
                </c:pt>
                <c:pt idx="148">
                  <c:v>114.27678407882281</c:v>
                </c:pt>
                <c:pt idx="149">
                  <c:v>112.61550542881402</c:v>
                </c:pt>
                <c:pt idx="150">
                  <c:v>110.95379021187702</c:v>
                </c:pt>
                <c:pt idx="151">
                  <c:v>109.29172854107952</c:v>
                </c:pt>
                <c:pt idx="152">
                  <c:v>107.62940965212896</c:v>
                </c:pt>
                <c:pt idx="153">
                  <c:v>105.96692189141577</c:v>
                </c:pt>
                <c:pt idx="154">
                  <c:v>104.3043527044652</c:v>
                </c:pt>
                <c:pt idx="155">
                  <c:v>102.64178862479703</c:v>
                </c:pt>
                <c:pt idx="156">
                  <c:v>98.856040676497926</c:v>
                </c:pt>
                <c:pt idx="157">
                  <c:v>92.947352265000177</c:v>
                </c:pt>
                <c:pt idx="158">
                  <c:v>87.04209789254574</c:v>
                </c:pt>
                <c:pt idx="159">
                  <c:v>81.140925372522787</c:v>
                </c:pt>
                <c:pt idx="160">
                  <c:v>75.244470316266472</c:v>
                </c:pt>
                <c:pt idx="161">
                  <c:v>66.652855256795249</c:v>
                </c:pt>
                <c:pt idx="162">
                  <c:v>55.369108959486709</c:v>
                </c:pt>
                <c:pt idx="163">
                  <c:v>44.357296340476019</c:v>
                </c:pt>
                <c:pt idx="164">
                  <c:v>33.619028936560895</c:v>
                </c:pt>
                <c:pt idx="165">
                  <c:v>25.478275680519431</c:v>
                </c:pt>
                <c:pt idx="166">
                  <c:v>19.932245596378479</c:v>
                </c:pt>
                <c:pt idx="167">
                  <c:v>12.43450630871863</c:v>
                </c:pt>
                <c:pt idx="168">
                  <c:v>4.408634538540487</c:v>
                </c:pt>
                <c:pt idx="169">
                  <c:v>-7.6523329848100907</c:v>
                </c:pt>
                <c:pt idx="170">
                  <c:v>-20.898908980438165</c:v>
                </c:pt>
                <c:pt idx="171">
                  <c:v>-25.339522705028468</c:v>
                </c:pt>
                <c:pt idx="172">
                  <c:v>-25.253232105765267</c:v>
                </c:pt>
                <c:pt idx="173">
                  <c:v>-25.167314730135036</c:v>
                </c:pt>
                <c:pt idx="174">
                  <c:v>-25.081768430517759</c:v>
                </c:pt>
                <c:pt idx="175">
                  <c:v>-24.996591074861374</c:v>
                </c:pt>
                <c:pt idx="176">
                  <c:v>-24.911780546545899</c:v>
                </c:pt>
                <c:pt idx="177">
                  <c:v>-24.82733474424921</c:v>
                </c:pt>
                <c:pt idx="178">
                  <c:v>-24.743251581813944</c:v>
                </c:pt>
                <c:pt idx="179">
                  <c:v>-24.659528988115927</c:v>
                </c:pt>
                <c:pt idx="180">
                  <c:v>-24.576164906933862</c:v>
                </c:pt>
                <c:pt idx="181">
                  <c:v>-24.493157296820328</c:v>
                </c:pt>
                <c:pt idx="182">
                  <c:v>-24.410504130974125</c:v>
                </c:pt>
                <c:pt idx="183">
                  <c:v>-24.328203397113857</c:v>
                </c:pt>
                <c:pt idx="184">
                  <c:v>-24.246253097352835</c:v>
                </c:pt>
                <c:pt idx="185">
                  <c:v>-24.164651248075224</c:v>
                </c:pt>
                <c:pt idx="186">
                  <c:v>-24.083395879813473</c:v>
                </c:pt>
                <c:pt idx="187">
                  <c:v>-24.002485037126824</c:v>
                </c:pt>
                <c:pt idx="188">
                  <c:v>-23.921916778481268</c:v>
                </c:pt>
                <c:pt idx="189">
                  <c:v>-23.841689176130547</c:v>
                </c:pt>
                <c:pt idx="190">
                  <c:v>-23.761800315998347</c:v>
                </c:pt>
                <c:pt idx="191">
                  <c:v>-23.682248297561777</c:v>
                </c:pt>
                <c:pt idx="192">
                  <c:v>-23.603031233735891</c:v>
                </c:pt>
                <c:pt idx="193">
                  <c:v>-23.524147250759402</c:v>
                </c:pt>
                <c:pt idx="194">
                  <c:v>-23.445594488081543</c:v>
                </c:pt>
                <c:pt idx="195">
                  <c:v>-23.367371098250079</c:v>
                </c:pt>
                <c:pt idx="196">
                  <c:v>-23.289475246800347</c:v>
                </c:pt>
                <c:pt idx="197">
                  <c:v>-23.211905112145438</c:v>
                </c:pt>
                <c:pt idx="198">
                  <c:v>-23.134658885467513</c:v>
                </c:pt>
                <c:pt idx="199">
                  <c:v>-23.057734770610125</c:v>
                </c:pt>
                <c:pt idx="200">
                  <c:v>-22.981130983971582</c:v>
                </c:pt>
                <c:pt idx="201">
                  <c:v>-22.904845754399446</c:v>
                </c:pt>
                <c:pt idx="202">
                  <c:v>-22.151845533314265</c:v>
                </c:pt>
                <c:pt idx="203">
                  <c:v>-21.429544422554212</c:v>
                </c:pt>
                <c:pt idx="204">
                  <c:v>-20.736297978694967</c:v>
                </c:pt>
                <c:pt idx="205">
                  <c:v>-20.070571690272242</c:v>
                </c:pt>
                <c:pt idx="206">
                  <c:v>-19.430932231891383</c:v>
                </c:pt>
                <c:pt idx="207">
                  <c:v>-18.816039522934037</c:v>
                </c:pt>
                <c:pt idx="208">
                  <c:v>-18.224639507097727</c:v>
                </c:pt>
                <c:pt idx="209">
                  <c:v>-17.65555757871352</c:v>
                </c:pt>
                <c:pt idx="210">
                  <c:v>-17.107692590259905</c:v>
                </c:pt>
                <c:pt idx="211">
                  <c:v>-16.580011382896902</c:v>
                </c:pt>
                <c:pt idx="212">
                  <c:v>-16.071543788331695</c:v>
                </c:pt>
                <c:pt idx="213">
                  <c:v>-15.58137805601817</c:v>
                </c:pt>
                <c:pt idx="214">
                  <c:v>-15.108656664694603</c:v>
                </c:pt>
                <c:pt idx="215">
                  <c:v>-14.6525724816674</c:v>
                </c:pt>
                <c:pt idx="216">
                  <c:v>-14.212365237131976</c:v>
                </c:pt>
                <c:pt idx="217">
                  <c:v>-13.787318284251201</c:v>
                </c:pt>
                <c:pt idx="218">
                  <c:v>-13.37675561874614</c:v>
                </c:pt>
                <c:pt idx="219">
                  <c:v>-12.980039134441238</c:v>
                </c:pt>
                <c:pt idx="220">
                  <c:v>-12.596566093591195</c:v>
                </c:pt>
                <c:pt idx="221">
                  <c:v>-12.225766792935552</c:v>
                </c:pt>
                <c:pt idx="222">
                  <c:v>-11.867102408312794</c:v>
                </c:pt>
                <c:pt idx="223">
                  <c:v>-11.520063002345374</c:v>
                </c:pt>
                <c:pt idx="224">
                  <c:v>-11.184165681206467</c:v>
                </c:pt>
                <c:pt idx="225">
                  <c:v>-10.858952887818035</c:v>
                </c:pt>
                <c:pt idx="226">
                  <c:v>-10.54399082002786</c:v>
                </c:pt>
                <c:pt idx="227">
                  <c:v>-10.23886796338639</c:v>
                </c:pt>
                <c:pt idx="228">
                  <c:v>-9.9431937291059214</c:v>
                </c:pt>
                <c:pt idx="229">
                  <c:v>-9.6565971886491067</c:v>
                </c:pt>
                <c:pt idx="230">
                  <c:v>-9.3787258971698382</c:v>
                </c:pt>
                <c:pt idx="231">
                  <c:v>-9.1092447987288541</c:v>
                </c:pt>
                <c:pt idx="232">
                  <c:v>-8.8478352068356436</c:v>
                </c:pt>
                <c:pt idx="233">
                  <c:v>-8.5941938544364262</c:v>
                </c:pt>
                <c:pt idx="234">
                  <c:v>-8.3480320079805104</c:v>
                </c:pt>
                <c:pt idx="235">
                  <c:v>-8.1090746406608609</c:v>
                </c:pt>
                <c:pt idx="236">
                  <c:v>-7.8770596603441803</c:v>
                </c:pt>
                <c:pt idx="237">
                  <c:v>-7.6517371880851863</c:v>
                </c:pt>
                <c:pt idx="238">
                  <c:v>-7.4328688834646686</c:v>
                </c:pt>
                <c:pt idx="239">
                  <c:v>-7.220227313302809</c:v>
                </c:pt>
                <c:pt idx="240">
                  <c:v>-7.013595360583472</c:v>
                </c:pt>
                <c:pt idx="241">
                  <c:v>-6.8127656706830466</c:v>
                </c:pt>
                <c:pt idx="242">
                  <c:v>-6.6175401322323193</c:v>
                </c:pt>
                <c:pt idx="243">
                  <c:v>-6.4277293901537416</c:v>
                </c:pt>
                <c:pt idx="244">
                  <c:v>-6.2431523886115246</c:v>
                </c:pt>
                <c:pt idx="245">
                  <c:v>-6.0636359417898174</c:v>
                </c:pt>
                <c:pt idx="246">
                  <c:v>-5.8890143305768881</c:v>
                </c:pt>
                <c:pt idx="247">
                  <c:v>-5.7191289233815548</c:v>
                </c:pt>
                <c:pt idx="248">
                  <c:v>-5.5538278194441366</c:v>
                </c:pt>
                <c:pt idx="249">
                  <c:v>-5.3929655131284715</c:v>
                </c:pt>
                <c:pt idx="250">
                  <c:v>-5.236402577795487</c:v>
                </c:pt>
                <c:pt idx="251">
                  <c:v>-5.0840053679633828</c:v>
                </c:pt>
                <c:pt idx="252">
                  <c:v>-4.9356457385552002</c:v>
                </c:pt>
                <c:pt idx="253">
                  <c:v>-4.7912007801227849</c:v>
                </c:pt>
                <c:pt idx="254">
                  <c:v>-4.6505525690167948</c:v>
                </c:pt>
                <c:pt idx="255">
                  <c:v>-4.5135879315471099</c:v>
                </c:pt>
                <c:pt idx="256">
                  <c:v>-4.3801982212461521</c:v>
                </c:pt>
                <c:pt idx="257">
                  <c:v>-4.2502791084109086</c:v>
                </c:pt>
                <c:pt idx="258">
                  <c:v>-4.1237303811574604</c:v>
                </c:pt>
                <c:pt idx="259">
                  <c:v>-4.0004557572753701</c:v>
                </c:pt>
                <c:pt idx="260">
                  <c:v>-3.8803627062188188</c:v>
                </c:pt>
                <c:pt idx="261">
                  <c:v>-3.7633622806169305</c:v>
                </c:pt>
                <c:pt idx="262">
                  <c:v>-3.6493689567280057</c:v>
                </c:pt>
                <c:pt idx="263">
                  <c:v>-3.5383004833013114</c:v>
                </c:pt>
                <c:pt idx="264">
                  <c:v>-3.4300777383461947</c:v>
                </c:pt>
                <c:pt idx="265">
                  <c:v>-3.3246245933416763</c:v>
                </c:pt>
                <c:pt idx="266">
                  <c:v>-3.2218677844506054</c:v>
                </c:pt>
                <c:pt idx="267">
                  <c:v>-3.1217367903311639</c:v>
                </c:pt>
                <c:pt idx="268">
                  <c:v>-3.0241637161650163</c:v>
                </c:pt>
                <c:pt idx="269">
                  <c:v>-2.929083183546167</c:v>
                </c:pt>
                <c:pt idx="270">
                  <c:v>-2.8364322258974082</c:v>
                </c:pt>
                <c:pt idx="271">
                  <c:v>-2.7461501891025426</c:v>
                </c:pt>
                <c:pt idx="272">
                  <c:v>-2.6581786370623282</c:v>
                </c:pt>
                <c:pt idx="273">
                  <c:v>-2.5724612619004517</c:v>
                </c:pt>
                <c:pt idx="274">
                  <c:v>-2.488943798562973</c:v>
                </c:pt>
                <c:pt idx="275">
                  <c:v>-2.4075739435705348</c:v>
                </c:pt>
                <c:pt idx="276">
                  <c:v>-2.3283012776975101</c:v>
                </c:pt>
                <c:pt idx="277">
                  <c:v>-2.2510771923659885</c:v>
                </c:pt>
                <c:pt idx="278">
                  <c:v>-2.1758548195554432</c:v>
                </c:pt>
                <c:pt idx="279">
                  <c:v>-2.1025889650408285</c:v>
                </c:pt>
                <c:pt idx="280">
                  <c:v>-2.0312360447830931</c:v>
                </c:pt>
                <c:pt idx="281">
                  <c:v>-1.9617540243065124</c:v>
                </c:pt>
                <c:pt idx="282">
                  <c:v>-1.8941023609069496</c:v>
                </c:pt>
                <c:pt idx="283">
                  <c:v>-1.8282419485442805</c:v>
                </c:pt>
                <c:pt idx="284">
                  <c:v>-1.76413506528067</c:v>
                </c:pt>
                <c:pt idx="285">
                  <c:v>-1.70174532313431</c:v>
                </c:pt>
                <c:pt idx="286">
                  <c:v>-1.6410376202256287</c:v>
                </c:pt>
                <c:pt idx="287">
                  <c:v>-1.5819780950998836</c:v>
                </c:pt>
                <c:pt idx="288">
                  <c:v>-1.5245340831164795</c:v>
                </c:pt>
                <c:pt idx="289">
                  <c:v>-1.4686740748013849</c:v>
                </c:pt>
                <c:pt idx="290">
                  <c:v>-1.414367676064612</c:v>
                </c:pt>
                <c:pt idx="291">
                  <c:v>-1.3615855701899549</c:v>
                </c:pt>
                <c:pt idx="292">
                  <c:v>-1.3102994815090598</c:v>
                </c:pt>
                <c:pt idx="293">
                  <c:v>-1.2604821406764075</c:v>
                </c:pt>
                <c:pt idx="294">
                  <c:v>-1.2121072514660078</c:v>
                </c:pt>
                <c:pt idx="295">
                  <c:v>-1.1651494590144915</c:v>
                </c:pt>
                <c:pt idx="296">
                  <c:v>-1.119584319438885</c:v>
                </c:pt>
                <c:pt idx="297">
                  <c:v>-1.0753882707606681</c:v>
                </c:pt>
                <c:pt idx="298">
                  <c:v>-1.0325386050707539</c:v>
                </c:pt>
                <c:pt idx="299">
                  <c:v>-0.99101344187279683</c:v>
                </c:pt>
                <c:pt idx="300">
                  <c:v>-0.95079170254473633</c:v>
                </c:pt>
                <c:pt idx="301">
                  <c:v>-0.91185308586074354</c:v>
                </c:pt>
                <c:pt idx="302">
                  <c:v>-0.87417804451770975</c:v>
                </c:pt>
                <c:pt idx="303">
                  <c:v>-0.83774776261215222</c:v>
                </c:pt>
                <c:pt idx="304">
                  <c:v>-0.80254413401487201</c:v>
                </c:pt>
                <c:pt idx="305">
                  <c:v>-0.76854974159190614</c:v>
                </c:pt>
                <c:pt idx="306">
                  <c:v>-0.73574783722123382</c:v>
                </c:pt>
                <c:pt idx="307">
                  <c:v>-0.70412232255534934</c:v>
                </c:pt>
                <c:pt idx="308">
                  <c:v>-0.67365773048016697</c:v>
                </c:pt>
                <c:pt idx="309">
                  <c:v>-0.64433920722078375</c:v>
                </c:pt>
                <c:pt idx="310">
                  <c:v>-0.61615249504437153</c:v>
                </c:pt>
                <c:pt idx="311">
                  <c:v>-0.58908391550989359</c:v>
                </c:pt>
                <c:pt idx="312">
                  <c:v>-0.56312035321344356</c:v>
                </c:pt>
                <c:pt idx="313">
                  <c:v>-0.53824923997675989</c:v>
                </c:pt>
                <c:pt idx="314">
                  <c:v>-0.51445853942489927</c:v>
                </c:pt>
                <c:pt idx="315">
                  <c:v>-0.49173673189714867</c:v>
                </c:pt>
                <c:pt idx="316">
                  <c:v>-0.47007279963303616</c:v>
                </c:pt>
                <c:pt idx="317">
                  <c:v>-0.44945621217281445</c:v>
                </c:pt>
                <c:pt idx="318">
                  <c:v>-0.42987691190906385</c:v>
                </c:pt>
                <c:pt idx="319">
                  <c:v>-0.41132529972319976</c:v>
                </c:pt>
                <c:pt idx="320">
                  <c:v>-0.39379222063776026</c:v>
                </c:pt>
                <c:pt idx="321">
                  <c:v>-0.37726894941256339</c:v>
                </c:pt>
                <c:pt idx="322">
                  <c:v>-0.3617471760103394</c:v>
                </c:pt>
                <c:pt idx="323">
                  <c:v>-0.34721899085552349</c:v>
                </c:pt>
                <c:pt idx="324">
                  <c:v>-0.33367686980882905</c:v>
                </c:pt>
                <c:pt idx="325">
                  <c:v>-0.32111365878039344</c:v>
                </c:pt>
                <c:pt idx="326">
                  <c:v>-0.30952255790607364</c:v>
                </c:pt>
                <c:pt idx="327">
                  <c:v>-0.29889710521534624</c:v>
                </c:pt>
                <c:pt idx="328">
                  <c:v>-0.28923115972566432</c:v>
                </c:pt>
                <c:pt idx="329">
                  <c:v>-0.28051888390747726</c:v>
                </c:pt>
                <c:pt idx="330">
                  <c:v>-0.27275472547678314</c:v>
                </c:pt>
                <c:pt idx="331">
                  <c:v>-0.26593339848823644</c:v>
                </c:pt>
                <c:pt idx="332">
                  <c:v>-0.26004986372151651</c:v>
                </c:pt>
                <c:pt idx="333">
                  <c:v>-0.25509930837655476</c:v>
                </c:pt>
                <c:pt idx="334">
                  <c:v>-0.25107712511876312</c:v>
                </c:pt>
                <c:pt idx="335">
                  <c:v>-0.2479788905426204</c:v>
                </c:pt>
                <c:pt idx="336">
                  <c:v>-0.24580034314962404</c:v>
                </c:pt>
                <c:pt idx="337">
                  <c:v>-0.24453736096312417</c:v>
                </c:pt>
                <c:pt idx="338">
                  <c:v>-0.24418593892629331</c:v>
                </c:pt>
                <c:pt idx="339">
                  <c:v>-0.24474216624878983</c:v>
                </c:pt>
                <c:pt idx="340">
                  <c:v>-0.2462022038810997</c:v>
                </c:pt>
                <c:pt idx="341">
                  <c:v>-0.24856226230207326</c:v>
                </c:pt>
                <c:pt idx="342">
                  <c:v>-0.25181857980427291</c:v>
                </c:pt>
                <c:pt idx="343">
                  <c:v>-0.25596740145350344</c:v>
                </c:pt>
                <c:pt idx="344">
                  <c:v>-0.26100495888397723</c:v>
                </c:pt>
                <c:pt idx="345">
                  <c:v>-0.26692745107013971</c:v>
                </c:pt>
                <c:pt idx="346">
                  <c:v>-0.27373102619176348</c:v>
                </c:pt>
                <c:pt idx="347">
                  <c:v>-0.28141176468219048</c:v>
                </c:pt>
                <c:pt idx="348">
                  <c:v>-0.28996566352223774</c:v>
                </c:pt>
                <c:pt idx="349">
                  <c:v>-0.29938862181574832</c:v>
                </c:pt>
                <c:pt idx="350">
                  <c:v>-0.30967642765829745</c:v>
                </c:pt>
                <c:pt idx="351">
                  <c:v>-0.32082474628899443</c:v>
                </c:pt>
                <c:pt idx="352">
                  <c:v>-0.33282910949716793</c:v>
                </c:pt>
                <c:pt idx="353">
                  <c:v>-0.34568490624119902</c:v>
                </c:pt>
                <c:pt idx="354">
                  <c:v>-0.35938737442577534</c:v>
                </c:pt>
                <c:pt idx="355">
                  <c:v>-0.37393159377614821</c:v>
                </c:pt>
                <c:pt idx="356">
                  <c:v>-0.38931247974319122</c:v>
                </c:pt>
                <c:pt idx="357">
                  <c:v>-0.40552477837072565</c:v>
                </c:pt>
                <c:pt idx="358">
                  <c:v>-0.42256306205625227</c:v>
                </c:pt>
                <c:pt idx="359">
                  <c:v>-0.44042172613744535</c:v>
                </c:pt>
                <c:pt idx="360">
                  <c:v>-0.45909498623914397</c:v>
                </c:pt>
                <c:pt idx="361">
                  <c:v>-0.47857687631873869</c:v>
                </c:pt>
                <c:pt idx="362">
                  <c:v>-0.49886124735154813</c:v>
                </c:pt>
                <c:pt idx="363">
                  <c:v>-0.5199417666017373</c:v>
                </c:pt>
                <c:pt idx="364">
                  <c:v>-0.54181191742839563</c:v>
                </c:pt>
                <c:pt idx="365">
                  <c:v>-0.56446499958041962</c:v>
                </c:pt>
                <c:pt idx="366">
                  <c:v>-0.58789412993773982</c:v>
                </c:pt>
                <c:pt idx="367">
                  <c:v>-0.61209224366011894</c:v>
                </c:pt>
                <c:pt idx="368">
                  <c:v>-0.63705209570822274</c:v>
                </c:pt>
                <c:pt idx="369">
                  <c:v>-0.66276626270483519</c:v>
                </c:pt>
                <c:pt idx="370">
                  <c:v>-0.68922714510704275</c:v>
                </c:pt>
                <c:pt idx="371">
                  <c:v>-0.71642696966285513</c:v>
                </c:pt>
                <c:pt idx="372">
                  <c:v>-0.74435779212814168</c:v>
                </c:pt>
                <c:pt idx="373">
                  <c:v>-0.77301150022193243</c:v>
                </c:pt>
                <c:pt idx="374">
                  <c:v>-0.80237981680005743</c:v>
                </c:pt>
                <c:pt idx="375">
                  <c:v>-0.83245430322883618</c:v>
                </c:pt>
                <c:pt idx="376">
                  <c:v>-0.86322636294207444</c:v>
                </c:pt>
                <c:pt idx="377">
                  <c:v>-0.8946872451659863</c:v>
                </c:pt>
                <c:pt idx="378">
                  <c:v>-0.92682804879788472</c:v>
                </c:pt>
                <c:pt idx="379">
                  <c:v>-0.95963972642556594</c:v>
                </c:pt>
                <c:pt idx="380">
                  <c:v>-0.99311308847527036</c:v>
                </c:pt>
                <c:pt idx="381">
                  <c:v>-1.0272388074769483</c:v>
                </c:pt>
                <c:pt idx="382">
                  <c:v>-1.0620074224363349</c:v>
                </c:pt>
                <c:pt idx="383">
                  <c:v>-1.0974093433039902</c:v>
                </c:pt>
                <c:pt idx="384">
                  <c:v>-1.1334348555320737</c:v>
                </c:pt>
                <c:pt idx="385">
                  <c:v>-1.1700741247101578</c:v>
                </c:pt>
                <c:pt idx="386">
                  <c:v>-1.2073172012718545</c:v>
                </c:pt>
                <c:pt idx="387">
                  <c:v>-1.2451540252644731</c:v>
                </c:pt>
                <c:pt idx="388">
                  <c:v>-1.283574431174306</c:v>
                </c:pt>
                <c:pt idx="389">
                  <c:v>-1.322568152800488</c:v>
                </c:pt>
                <c:pt idx="390">
                  <c:v>-1.362124828170697</c:v>
                </c:pt>
                <c:pt idx="391">
                  <c:v>-1.4022340044922539</c:v>
                </c:pt>
                <c:pt idx="392">
                  <c:v>-1.4428851431324403</c:v>
                </c:pt>
                <c:pt idx="393">
                  <c:v>-1.4840676246220972</c:v>
                </c:pt>
                <c:pt idx="394">
                  <c:v>-1.5257707536767966</c:v>
                </c:pt>
                <c:pt idx="395">
                  <c:v>-1.5679837642300918</c:v>
                </c:pt>
                <c:pt idx="396">
                  <c:v>-1.6106958244735268</c:v>
                </c:pt>
                <c:pt idx="397">
                  <c:v>-1.6538960418983111</c:v>
                </c:pt>
                <c:pt idx="398">
                  <c:v>-1.6975734683336972</c:v>
                </c:pt>
                <c:pt idx="399">
                  <c:v>-1.7417171049772864</c:v>
                </c:pt>
                <c:pt idx="400">
                  <c:v>-1.786315907412658</c:v>
                </c:pt>
                <c:pt idx="401">
                  <c:v>-1.8313587906098463</c:v>
                </c:pt>
                <c:pt idx="402">
                  <c:v>-1.8768346339043487</c:v>
                </c:pt>
                <c:pt idx="403">
                  <c:v>-1.9227322859504912</c:v>
                </c:pt>
                <c:pt idx="404">
                  <c:v>-1.969040569645133</c:v>
                </c:pt>
                <c:pt idx="405">
                  <c:v>-2.0157482870177801</c:v>
                </c:pt>
                <c:pt idx="406">
                  <c:v>-2.0628442240833822</c:v>
                </c:pt>
                <c:pt idx="407">
                  <c:v>-2.1103171556541427</c:v>
                </c:pt>
                <c:pt idx="408">
                  <c:v>-2.1581558501068669</c:v>
                </c:pt>
                <c:pt idx="409">
                  <c:v>-2.2063490741024592</c:v>
                </c:pt>
                <c:pt idx="410">
                  <c:v>-2.2548855972543187</c:v>
                </c:pt>
                <c:pt idx="411">
                  <c:v>-2.3037541967425064</c:v>
                </c:pt>
                <c:pt idx="412">
                  <c:v>-2.3529436618707003</c:v>
                </c:pt>
                <c:pt idx="413">
                  <c:v>-2.4024427985630306</c:v>
                </c:pt>
                <c:pt idx="414">
                  <c:v>-2.4522404337980799</c:v>
                </c:pt>
                <c:pt idx="415">
                  <c:v>-2.5023254199773617</c:v>
                </c:pt>
                <c:pt idx="416">
                  <c:v>-2.5526866392258145</c:v>
                </c:pt>
                <c:pt idx="417">
                  <c:v>-2.6033130076218911</c:v>
                </c:pt>
                <c:pt idx="418">
                  <c:v>-2.654193479354968</c:v>
                </c:pt>
                <c:pt idx="419">
                  <c:v>-2.7053170508079236</c:v>
                </c:pt>
                <c:pt idx="420">
                  <c:v>-2.7566727645628513</c:v>
                </c:pt>
                <c:pt idx="421">
                  <c:v>-2.8082497133279776</c:v>
                </c:pt>
                <c:pt idx="422">
                  <c:v>-2.8600370437839855</c:v>
                </c:pt>
                <c:pt idx="423">
                  <c:v>-2.9120239603480407</c:v>
                </c:pt>
                <c:pt idx="424">
                  <c:v>-2.964199728853957</c:v>
                </c:pt>
                <c:pt idx="425">
                  <c:v>-3.0165536801470352</c:v>
                </c:pt>
                <c:pt idx="426">
                  <c:v>-3.0690752135922068</c:v>
                </c:pt>
                <c:pt idx="427">
                  <c:v>-3.1217538004942633</c:v>
                </c:pt>
                <c:pt idx="428">
                  <c:v>-3.1745789874290216</c:v>
                </c:pt>
                <c:pt idx="429">
                  <c:v>-3.2275403994844085</c:v>
                </c:pt>
                <c:pt idx="430">
                  <c:v>-3.2806277434105491</c:v>
                </c:pt>
                <c:pt idx="431">
                  <c:v>-3.333830810678033</c:v>
                </c:pt>
                <c:pt idx="432">
                  <c:v>-3.387139480443659</c:v>
                </c:pt>
                <c:pt idx="433">
                  <c:v>-3.4405437224230653</c:v>
                </c:pt>
                <c:pt idx="434">
                  <c:v>-3.4940335996696903</c:v>
                </c:pt>
                <c:pt idx="435">
                  <c:v>-3.5475992712597115</c:v>
                </c:pt>
                <c:pt idx="436">
                  <c:v>-3.601230994882616</c:v>
                </c:pt>
                <c:pt idx="437">
                  <c:v>-3.6549191293371841</c:v>
                </c:pt>
                <c:pt idx="438">
                  <c:v>-3.7086541369327755</c:v>
                </c:pt>
                <c:pt idx="439">
                  <c:v>-3.7624265857958727</c:v>
                </c:pt>
                <c:pt idx="440">
                  <c:v>-3.8162271520819342</c:v>
                </c:pt>
                <c:pt idx="441">
                  <c:v>-3.8700466220926892</c:v>
                </c:pt>
                <c:pt idx="442">
                  <c:v>-3.9238758942991296</c:v>
                </c:pt>
                <c:pt idx="443">
                  <c:v>-3.9777059812704585</c:v>
                </c:pt>
                <c:pt idx="444">
                  <c:v>-4.0315280115093914</c:v>
                </c:pt>
                <c:pt idx="445">
                  <c:v>-4.0853332311943138</c:v>
                </c:pt>
                <c:pt idx="446">
                  <c:v>-4.1391130058287624</c:v>
                </c:pt>
                <c:pt idx="447">
                  <c:v>-4.1928588217988807</c:v>
                </c:pt>
                <c:pt idx="448">
                  <c:v>-4.2465622878395362</c:v>
                </c:pt>
                <c:pt idx="449">
                  <c:v>-4.3002151364097863</c:v>
                </c:pt>
                <c:pt idx="450">
                  <c:v>-4.35380922497857</c:v>
                </c:pt>
                <c:pt idx="451">
                  <c:v>-4.4073365372214619</c:v>
                </c:pt>
                <c:pt idx="452">
                  <c:v>-4.4607891841294194</c:v>
                </c:pt>
                <c:pt idx="453">
                  <c:v>-4.5141594050305081</c:v>
                </c:pt>
                <c:pt idx="454">
                  <c:v>-4.5674395685256908</c:v>
                </c:pt>
                <c:pt idx="455">
                  <c:v>-4.6206221733397088</c:v>
                </c:pt>
                <c:pt idx="456">
                  <c:v>-4.6736998490882575</c:v>
                </c:pt>
                <c:pt idx="457">
                  <c:v>-4.7266653569626147</c:v>
                </c:pt>
                <c:pt idx="458">
                  <c:v>-4.7795115903329863</c:v>
                </c:pt>
                <c:pt idx="459">
                  <c:v>-4.8322315752718259</c:v>
                </c:pt>
                <c:pt idx="460">
                  <c:v>-4.8848184709984528</c:v>
                </c:pt>
                <c:pt idx="461">
                  <c:v>-4.9372655702463302</c:v>
                </c:pt>
                <c:pt idx="462">
                  <c:v>-4.9895662995544257</c:v>
                </c:pt>
                <c:pt idx="463">
                  <c:v>-5.0417142194839819</c:v>
                </c:pt>
                <c:pt idx="464">
                  <c:v>-5.0937030247622834</c:v>
                </c:pt>
                <c:pt idx="465">
                  <c:v>-5.1455265443547891</c:v>
                </c:pt>
                <c:pt idx="466">
                  <c:v>-5.1971787414672095</c:v>
                </c:pt>
                <c:pt idx="467">
                  <c:v>-5.2486537134790252</c:v>
                </c:pt>
                <c:pt idx="468">
                  <c:v>-5.2999456918099996</c:v>
                </c:pt>
                <c:pt idx="469">
                  <c:v>-5.3510490417212715</c:v>
                </c:pt>
                <c:pt idx="470">
                  <c:v>-5.4019582620526068</c:v>
                </c:pt>
                <c:pt idx="471">
                  <c:v>-5.452667984897416</c:v>
                </c:pt>
                <c:pt idx="472">
                  <c:v>-5.5031729752171135</c:v>
                </c:pt>
                <c:pt idx="473">
                  <c:v>-5.553468130396527</c:v>
                </c:pt>
                <c:pt idx="474">
                  <c:v>-5.6035484797418871</c:v>
                </c:pt>
                <c:pt idx="475">
                  <c:v>-5.6534091839231237</c:v>
                </c:pt>
                <c:pt idx="476">
                  <c:v>-5.7030455343620616</c:v>
                </c:pt>
                <c:pt idx="477">
                  <c:v>-5.7524529525681629</c:v>
                </c:pt>
                <c:pt idx="478">
                  <c:v>-5.8016269894235188</c:v>
                </c:pt>
                <c:pt idx="479">
                  <c:v>-5.8505633244186441</c:v>
                </c:pt>
                <c:pt idx="480">
                  <c:v>-5.8992577648408053</c:v>
                </c:pt>
                <c:pt idx="481">
                  <c:v>-5.9477062449164944</c:v>
                </c:pt>
                <c:pt idx="482">
                  <c:v>-5.9959048249096529</c:v>
                </c:pt>
                <c:pt idx="483">
                  <c:v>-6.0438496901773169</c:v>
                </c:pt>
                <c:pt idx="484">
                  <c:v>-6.091537150184295</c:v>
                </c:pt>
                <c:pt idx="485">
                  <c:v>-6.1389636374784544</c:v>
                </c:pt>
                <c:pt idx="486">
                  <c:v>-6.186125706628272</c:v>
                </c:pt>
                <c:pt idx="487">
                  <c:v>-6.2330200331241814</c:v>
                </c:pt>
                <c:pt idx="488">
                  <c:v>-6.2796434122453322</c:v>
                </c:pt>
                <c:pt idx="489">
                  <c:v>-6.3259927578932897</c:v>
                </c:pt>
                <c:pt idx="490">
                  <c:v>-6.3720651013942371</c:v>
                </c:pt>
                <c:pt idx="491">
                  <c:v>-6.4178575902711872</c:v>
                </c:pt>
                <c:pt idx="492">
                  <c:v>-6.4633674869877424</c:v>
                </c:pt>
                <c:pt idx="493">
                  <c:v>-6.5085921676648617</c:v>
                </c:pt>
                <c:pt idx="494">
                  <c:v>-6.5535291207720903</c:v>
                </c:pt>
                <c:pt idx="495">
                  <c:v>-6.5981759457947851</c:v>
                </c:pt>
                <c:pt idx="496">
                  <c:v>-6.6425303518786336</c:v>
                </c:pt>
                <c:pt idx="497">
                  <c:v>-6.6865901564530006</c:v>
                </c:pt>
                <c:pt idx="498">
                  <c:v>-6.7303532838343765</c:v>
                </c:pt>
                <c:pt idx="499">
                  <c:v>-6.7738177638113672</c:v>
                </c:pt>
                <c:pt idx="500">
                  <c:v>-6.816981730212536</c:v>
                </c:pt>
                <c:pt idx="501">
                  <c:v>-6.8598434194583708</c:v>
                </c:pt>
                <c:pt idx="502">
                  <c:v>-6.9024011690987086</c:v>
                </c:pt>
                <c:pt idx="503">
                  <c:v>-6.9446534163368741</c:v>
                </c:pt>
                <c:pt idx="504">
                  <c:v>-6.9865986965417388</c:v>
                </c:pt>
                <c:pt idx="505">
                  <c:v>-7.0282356417489478</c:v>
                </c:pt>
                <c:pt idx="506">
                  <c:v>-7.0695629791524315</c:v>
                </c:pt>
                <c:pt idx="507">
                  <c:v>-7.1105795295874614</c:v>
                </c:pt>
                <c:pt idx="508">
                  <c:v>-7.1512842060062596</c:v>
                </c:pt>
                <c:pt idx="509">
                  <c:v>-7.1916760119473517</c:v>
                </c:pt>
                <c:pt idx="510">
                  <c:v>-7.2317540399997124</c:v>
                </c:pt>
                <c:pt idx="511">
                  <c:v>-7.2715174702627046</c:v>
                </c:pt>
                <c:pt idx="512">
                  <c:v>-7.3109655688029207</c:v>
                </c:pt>
                <c:pt idx="513">
                  <c:v>-7.3500976861088283</c:v>
                </c:pt>
                <c:pt idx="514">
                  <c:v>-7.3889132555442361</c:v>
                </c:pt>
                <c:pt idx="515">
                  <c:v>-7.4274117918014868</c:v>
                </c:pt>
                <c:pt idx="516">
                  <c:v>-7.4655928893553334</c:v>
                </c:pt>
                <c:pt idx="517">
                  <c:v>-7.5034562209183058</c:v>
                </c:pt>
                <c:pt idx="518">
                  <c:v>-7.5410015358984941</c:v>
                </c:pt>
                <c:pt idx="519">
                  <c:v>-7.5782286588605139</c:v>
                </c:pt>
                <c:pt idx="520">
                  <c:v>-7.6151374879905012</c:v>
                </c:pt>
                <c:pt idx="521">
                  <c:v>-7.6517279935658982</c:v>
                </c:pt>
                <c:pt idx="522">
                  <c:v>-7.6880002164307122</c:v>
                </c:pt>
                <c:pt idx="523">
                  <c:v>-7.7239542664771053</c:v>
                </c:pt>
                <c:pt idx="524">
                  <c:v>-7.7595903211338344</c:v>
                </c:pt>
                <c:pt idx="525">
                  <c:v>-7.7949086238623693</c:v>
                </c:pt>
                <c:pt idx="526">
                  <c:v>-7.8299094826612023</c:v>
                </c:pt>
                <c:pt idx="527">
                  <c:v>-7.8299440980631072</c:v>
                </c:pt>
                <c:pt idx="528">
                  <c:v>-7.829978713151502</c:v>
                </c:pt>
                <c:pt idx="529">
                  <c:v>-7.8300133279263804</c:v>
                </c:pt>
                <c:pt idx="530">
                  <c:v>-7.830047942387754</c:v>
                </c:pt>
                <c:pt idx="531">
                  <c:v>-7.8300825565356176</c:v>
                </c:pt>
                <c:pt idx="532">
                  <c:v>-7.8301171703699675</c:v>
                </c:pt>
                <c:pt idx="533">
                  <c:v>-7.830151783890809</c:v>
                </c:pt>
                <c:pt idx="534">
                  <c:v>-7.8301863970981413</c:v>
                </c:pt>
                <c:pt idx="535">
                  <c:v>-7.8302210099919645</c:v>
                </c:pt>
                <c:pt idx="536">
                  <c:v>-7.8302556225722784</c:v>
                </c:pt>
                <c:pt idx="537">
                  <c:v>-7.8302902348390839</c:v>
                </c:pt>
                <c:pt idx="538">
                  <c:v>-7.8303248467923838</c:v>
                </c:pt>
                <c:pt idx="539">
                  <c:v>-7.8303594584321745</c:v>
                </c:pt>
                <c:pt idx="540">
                  <c:v>-7.8303940697584604</c:v>
                </c:pt>
                <c:pt idx="541">
                  <c:v>-7.8304286807712424</c:v>
                </c:pt>
                <c:pt idx="542">
                  <c:v>-7.8304632914705143</c:v>
                </c:pt>
                <c:pt idx="543">
                  <c:v>-7.8304979018562815</c:v>
                </c:pt>
                <c:pt idx="544">
                  <c:v>-7.8305325119285447</c:v>
                </c:pt>
                <c:pt idx="545">
                  <c:v>-7.8305671216873014</c:v>
                </c:pt>
                <c:pt idx="546">
                  <c:v>-7.8306017311325542</c:v>
                </c:pt>
                <c:pt idx="547">
                  <c:v>-7.8306363402643013</c:v>
                </c:pt>
                <c:pt idx="548">
                  <c:v>-7.8306709490825455</c:v>
                </c:pt>
                <c:pt idx="549">
                  <c:v>-7.830705557587291</c:v>
                </c:pt>
                <c:pt idx="550">
                  <c:v>-7.8307401657785318</c:v>
                </c:pt>
                <c:pt idx="551">
                  <c:v>-7.830774773656267</c:v>
                </c:pt>
                <c:pt idx="552">
                  <c:v>-7.8308093812205017</c:v>
                </c:pt>
                <c:pt idx="553">
                  <c:v>-7.8308439884712371</c:v>
                </c:pt>
                <c:pt idx="554">
                  <c:v>-7.8308785954084703</c:v>
                </c:pt>
                <c:pt idx="555">
                  <c:v>-7.8309132020322014</c:v>
                </c:pt>
                <c:pt idx="556">
                  <c:v>-7.830947808342434</c:v>
                </c:pt>
                <c:pt idx="557">
                  <c:v>-7.830982414339168</c:v>
                </c:pt>
                <c:pt idx="558">
                  <c:v>-7.8310170200223972</c:v>
                </c:pt>
                <c:pt idx="559">
                  <c:v>-7.8310516253921314</c:v>
                </c:pt>
                <c:pt idx="560">
                  <c:v>-7.8310862304483697</c:v>
                </c:pt>
                <c:pt idx="561">
                  <c:v>-7.8311208351911077</c:v>
                </c:pt>
                <c:pt idx="562">
                  <c:v>-7.8311554396203453</c:v>
                </c:pt>
                <c:pt idx="563">
                  <c:v>-7.8311900437360915</c:v>
                </c:pt>
                <c:pt idx="564">
                  <c:v>-7.8312246475383382</c:v>
                </c:pt>
                <c:pt idx="565">
                  <c:v>-7.8312592510270838</c:v>
                </c:pt>
                <c:pt idx="566">
                  <c:v>-7.831293854202336</c:v>
                </c:pt>
                <c:pt idx="567">
                  <c:v>-7.8313284570640951</c:v>
                </c:pt>
                <c:pt idx="568">
                  <c:v>-7.8313630596123582</c:v>
                </c:pt>
                <c:pt idx="569">
                  <c:v>-7.8313976618471264</c:v>
                </c:pt>
                <c:pt idx="570">
                  <c:v>-7.831432263768396</c:v>
                </c:pt>
                <c:pt idx="571">
                  <c:v>-7.8314668653761768</c:v>
                </c:pt>
                <c:pt idx="572">
                  <c:v>-7.8315014666704634</c:v>
                </c:pt>
                <c:pt idx="573">
                  <c:v>-7.8315360676512586</c:v>
                </c:pt>
                <c:pt idx="574">
                  <c:v>-7.8315706683185553</c:v>
                </c:pt>
                <c:pt idx="575">
                  <c:v>-7.8316052686723623</c:v>
                </c:pt>
                <c:pt idx="576">
                  <c:v>-7.831639868712676</c:v>
                </c:pt>
                <c:pt idx="577">
                  <c:v>-7.8316744684395001</c:v>
                </c:pt>
                <c:pt idx="578">
                  <c:v>-7.8317090678528318</c:v>
                </c:pt>
                <c:pt idx="579">
                  <c:v>-7.831743666952673</c:v>
                </c:pt>
                <c:pt idx="580">
                  <c:v>-7.8317782657390227</c:v>
                </c:pt>
                <c:pt idx="581">
                  <c:v>-7.8318128642118898</c:v>
                </c:pt>
                <c:pt idx="582">
                  <c:v>-7.8318474623712593</c:v>
                </c:pt>
                <c:pt idx="583">
                  <c:v>-7.8318820602171435</c:v>
                </c:pt>
                <c:pt idx="584">
                  <c:v>-7.8319166577495363</c:v>
                </c:pt>
                <c:pt idx="585">
                  <c:v>-7.831951254968442</c:v>
                </c:pt>
                <c:pt idx="586">
                  <c:v>-7.8319858518738625</c:v>
                </c:pt>
                <c:pt idx="587">
                  <c:v>-7.8320204484657943</c:v>
                </c:pt>
                <c:pt idx="588">
                  <c:v>-7.8320550447442381</c:v>
                </c:pt>
                <c:pt idx="589">
                  <c:v>-7.8320896407091993</c:v>
                </c:pt>
                <c:pt idx="590">
                  <c:v>-7.83212423636067</c:v>
                </c:pt>
                <c:pt idx="591">
                  <c:v>-7.8321588316986563</c:v>
                </c:pt>
                <c:pt idx="592">
                  <c:v>-7.832193426723161</c:v>
                </c:pt>
                <c:pt idx="593">
                  <c:v>-7.832228021434176</c:v>
                </c:pt>
                <c:pt idx="594">
                  <c:v>-7.8322626158317048</c:v>
                </c:pt>
                <c:pt idx="595">
                  <c:v>-7.8322972099157537</c:v>
                </c:pt>
                <c:pt idx="596">
                  <c:v>-7.8323318036863183</c:v>
                </c:pt>
                <c:pt idx="597">
                  <c:v>-7.8323663971434003</c:v>
                </c:pt>
                <c:pt idx="598">
                  <c:v>-7.8324009902870042</c:v>
                </c:pt>
                <c:pt idx="599">
                  <c:v>-7.8324355831171166</c:v>
                </c:pt>
                <c:pt idx="600">
                  <c:v>-7.8324701756337474</c:v>
                </c:pt>
                <c:pt idx="601">
                  <c:v>-7.8325047678369044</c:v>
                </c:pt>
                <c:pt idx="602">
                  <c:v>-7.8325393597265744</c:v>
                </c:pt>
                <c:pt idx="603">
                  <c:v>-7.8325739513027637</c:v>
                </c:pt>
                <c:pt idx="604">
                  <c:v>-7.8326085425654757</c:v>
                </c:pt>
                <c:pt idx="605">
                  <c:v>-7.8326431335147042</c:v>
                </c:pt>
                <c:pt idx="606">
                  <c:v>-7.8326777241504582</c:v>
                </c:pt>
                <c:pt idx="607">
                  <c:v>-7.8327123144727278</c:v>
                </c:pt>
                <c:pt idx="608">
                  <c:v>-7.8327469044815219</c:v>
                </c:pt>
                <c:pt idx="609">
                  <c:v>-7.8327814941768388</c:v>
                </c:pt>
                <c:pt idx="610">
                  <c:v>-7.832816083558674</c:v>
                </c:pt>
                <c:pt idx="611">
                  <c:v>-7.8328506726270337</c:v>
                </c:pt>
                <c:pt idx="612">
                  <c:v>-7.8328852613819198</c:v>
                </c:pt>
                <c:pt idx="613">
                  <c:v>-7.832919849823325</c:v>
                </c:pt>
                <c:pt idx="614">
                  <c:v>-7.8329544379512566</c:v>
                </c:pt>
                <c:pt idx="615">
                  <c:v>-7.8329890257657082</c:v>
                </c:pt>
                <c:pt idx="616">
                  <c:v>-7.8330236132666906</c:v>
                </c:pt>
                <c:pt idx="617">
                  <c:v>-7.8330582004541913</c:v>
                </c:pt>
                <c:pt idx="618">
                  <c:v>-7.8330927873282228</c:v>
                </c:pt>
                <c:pt idx="619">
                  <c:v>-7.8331273738887788</c:v>
                </c:pt>
                <c:pt idx="620">
                  <c:v>-7.8331619601358637</c:v>
                </c:pt>
                <c:pt idx="621">
                  <c:v>-7.8331965460694724</c:v>
                </c:pt>
                <c:pt idx="622">
                  <c:v>-7.8332311316896091</c:v>
                </c:pt>
                <c:pt idx="623">
                  <c:v>-7.8332657169962738</c:v>
                </c:pt>
                <c:pt idx="624">
                  <c:v>-7.8333003019894649</c:v>
                </c:pt>
                <c:pt idx="625">
                  <c:v>-7.8333348866691859</c:v>
                </c:pt>
                <c:pt idx="626">
                  <c:v>-7.8333694710354349</c:v>
                </c:pt>
                <c:pt idx="627">
                  <c:v>-7.8334040550882138</c:v>
                </c:pt>
                <c:pt idx="628">
                  <c:v>-7.8334386388275226</c:v>
                </c:pt>
                <c:pt idx="629">
                  <c:v>-7.8334732222533603</c:v>
                </c:pt>
                <c:pt idx="630">
                  <c:v>-7.8335078053657314</c:v>
                </c:pt>
                <c:pt idx="631">
                  <c:v>-7.8335423881646316</c:v>
                </c:pt>
                <c:pt idx="632">
                  <c:v>-7.8335769706500633</c:v>
                </c:pt>
                <c:pt idx="633">
                  <c:v>-7.8336115528220249</c:v>
                </c:pt>
                <c:pt idx="634">
                  <c:v>-7.8336461346805244</c:v>
                </c:pt>
                <c:pt idx="635">
                  <c:v>-7.833680716225552</c:v>
                </c:pt>
                <c:pt idx="636">
                  <c:v>-7.8337152974571138</c:v>
                </c:pt>
                <c:pt idx="637">
                  <c:v>-7.8337498783752082</c:v>
                </c:pt>
                <c:pt idx="638">
                  <c:v>-7.833784458979836</c:v>
                </c:pt>
                <c:pt idx="639">
                  <c:v>-7.8338190392710008</c:v>
                </c:pt>
                <c:pt idx="640">
                  <c:v>-7.8338536192486989</c:v>
                </c:pt>
                <c:pt idx="641">
                  <c:v>-7.8338881989129296</c:v>
                </c:pt>
                <c:pt idx="642">
                  <c:v>-7.8339227782637009</c:v>
                </c:pt>
                <c:pt idx="643">
                  <c:v>-7.8339573573010055</c:v>
                </c:pt>
                <c:pt idx="644">
                  <c:v>-7.833991936024848</c:v>
                </c:pt>
                <c:pt idx="645">
                  <c:v>-7.8340265144352257</c:v>
                </c:pt>
                <c:pt idx="646">
                  <c:v>-7.8340610925321394</c:v>
                </c:pt>
                <c:pt idx="647">
                  <c:v>-7.8340956703155937</c:v>
                </c:pt>
                <c:pt idx="648">
                  <c:v>-7.8341302477855832</c:v>
                </c:pt>
                <c:pt idx="649">
                  <c:v>-7.8341648249421159</c:v>
                </c:pt>
                <c:pt idx="650">
                  <c:v>-7.8341994017851864</c:v>
                </c:pt>
                <c:pt idx="651">
                  <c:v>-7.8342339783147947</c:v>
                </c:pt>
                <c:pt idx="652">
                  <c:v>-7.8342685545309418</c:v>
                </c:pt>
                <c:pt idx="653">
                  <c:v>-7.8343031304336295</c:v>
                </c:pt>
                <c:pt idx="654">
                  <c:v>-7.8343377060228585</c:v>
                </c:pt>
                <c:pt idx="655">
                  <c:v>-7.8343722812986281</c:v>
                </c:pt>
                <c:pt idx="656">
                  <c:v>-7.8344068562609372</c:v>
                </c:pt>
                <c:pt idx="657">
                  <c:v>-7.8344414309097932</c:v>
                </c:pt>
                <c:pt idx="658">
                  <c:v>-7.8344760052451887</c:v>
                </c:pt>
                <c:pt idx="659">
                  <c:v>-7.8345105792671248</c:v>
                </c:pt>
                <c:pt idx="660">
                  <c:v>-7.8345451529756085</c:v>
                </c:pt>
                <c:pt idx="661">
                  <c:v>-7.8345797263706318</c:v>
                </c:pt>
                <c:pt idx="662">
                  <c:v>-7.8346142994522046</c:v>
                </c:pt>
                <c:pt idx="663">
                  <c:v>-7.8346488722203151</c:v>
                </c:pt>
                <c:pt idx="664">
                  <c:v>-7.8346834446749751</c:v>
                </c:pt>
                <c:pt idx="665">
                  <c:v>-7.8347180168161792</c:v>
                </c:pt>
                <c:pt idx="666">
                  <c:v>-7.8347525886439282</c:v>
                </c:pt>
                <c:pt idx="667">
                  <c:v>-7.8347871601582213</c:v>
                </c:pt>
                <c:pt idx="668">
                  <c:v>-7.8348217313590629</c:v>
                </c:pt>
                <c:pt idx="669">
                  <c:v>-7.8348563022464521</c:v>
                </c:pt>
                <c:pt idx="670">
                  <c:v>-7.8348908728203908</c:v>
                </c:pt>
                <c:pt idx="671">
                  <c:v>-7.8349254430808717</c:v>
                </c:pt>
                <c:pt idx="672">
                  <c:v>-7.8349600130279011</c:v>
                </c:pt>
                <c:pt idx="673">
                  <c:v>-7.8349945826614871</c:v>
                </c:pt>
                <c:pt idx="674">
                  <c:v>-7.8350291519816162</c:v>
                </c:pt>
                <c:pt idx="675">
                  <c:v>-7.8350637209882938</c:v>
                </c:pt>
                <c:pt idx="676">
                  <c:v>-7.8350982896815218</c:v>
                </c:pt>
                <c:pt idx="677">
                  <c:v>-7.8351328580613009</c:v>
                </c:pt>
                <c:pt idx="678">
                  <c:v>-7.8351674261276303</c:v>
                </c:pt>
                <c:pt idx="679">
                  <c:v>-7.8352019938805109</c:v>
                </c:pt>
                <c:pt idx="680">
                  <c:v>-7.8352365613199444</c:v>
                </c:pt>
                <c:pt idx="681">
                  <c:v>-7.8352711284459318</c:v>
                </c:pt>
                <c:pt idx="682">
                  <c:v>-7.835305695258465</c:v>
                </c:pt>
                <c:pt idx="683">
                  <c:v>-7.8353402617575556</c:v>
                </c:pt>
                <c:pt idx="684">
                  <c:v>-7.8353748279431974</c:v>
                </c:pt>
                <c:pt idx="685">
                  <c:v>-7.8354093938153957</c:v>
                </c:pt>
                <c:pt idx="686">
                  <c:v>-7.8354439593741452</c:v>
                </c:pt>
                <c:pt idx="687">
                  <c:v>-7.8354785246194503</c:v>
                </c:pt>
                <c:pt idx="688">
                  <c:v>-7.8355130895513119</c:v>
                </c:pt>
                <c:pt idx="689">
                  <c:v>-7.8355476541697238</c:v>
                </c:pt>
                <c:pt idx="690">
                  <c:v>-7.8355822184746984</c:v>
                </c:pt>
                <c:pt idx="691">
                  <c:v>-7.8356167824662268</c:v>
                </c:pt>
                <c:pt idx="692">
                  <c:v>-7.8356513461443091</c:v>
                </c:pt>
                <c:pt idx="693">
                  <c:v>-7.8356859095089488</c:v>
                </c:pt>
                <c:pt idx="694">
                  <c:v>-7.8357204725601486</c:v>
                </c:pt>
                <c:pt idx="695">
                  <c:v>-7.8357550352979048</c:v>
                </c:pt>
                <c:pt idx="696">
                  <c:v>-7.8357895977222203</c:v>
                </c:pt>
                <c:pt idx="697">
                  <c:v>-7.8358241598330931</c:v>
                </c:pt>
                <c:pt idx="698">
                  <c:v>-7.8358587216305251</c:v>
                </c:pt>
                <c:pt idx="699">
                  <c:v>-7.8358932831145172</c:v>
                </c:pt>
                <c:pt idx="700">
                  <c:v>-7.8359278442850693</c:v>
                </c:pt>
                <c:pt idx="701">
                  <c:v>-7.8359624051421815</c:v>
                </c:pt>
                <c:pt idx="702">
                  <c:v>-7.8359969656858546</c:v>
                </c:pt>
                <c:pt idx="703">
                  <c:v>-7.8360315259160878</c:v>
                </c:pt>
                <c:pt idx="704">
                  <c:v>-7.8360660858328828</c:v>
                </c:pt>
                <c:pt idx="705">
                  <c:v>-7.8361006454362405</c:v>
                </c:pt>
                <c:pt idx="706">
                  <c:v>-7.8361352047261645</c:v>
                </c:pt>
                <c:pt idx="707">
                  <c:v>-7.8361697637026451</c:v>
                </c:pt>
                <c:pt idx="708">
                  <c:v>-7.8362043223656945</c:v>
                </c:pt>
                <c:pt idx="709">
                  <c:v>-7.8362388807153058</c:v>
                </c:pt>
                <c:pt idx="710">
                  <c:v>-7.836273438751479</c:v>
                </c:pt>
                <c:pt idx="711">
                  <c:v>-7.8363079964742184</c:v>
                </c:pt>
                <c:pt idx="712">
                  <c:v>-7.8363425538835232</c:v>
                </c:pt>
                <c:pt idx="713">
                  <c:v>-7.8363771109793925</c:v>
                </c:pt>
                <c:pt idx="714">
                  <c:v>-7.8364116677618316</c:v>
                </c:pt>
                <c:pt idx="715">
                  <c:v>-7.8364462242308317</c:v>
                </c:pt>
                <c:pt idx="716">
                  <c:v>-7.8364807803863998</c:v>
                </c:pt>
                <c:pt idx="717">
                  <c:v>-7.8365153362285351</c:v>
                </c:pt>
                <c:pt idx="718">
                  <c:v>-7.8365498917572385</c:v>
                </c:pt>
                <c:pt idx="719">
                  <c:v>-7.8365844469725108</c:v>
                </c:pt>
                <c:pt idx="720">
                  <c:v>-7.8366190018743502</c:v>
                </c:pt>
                <c:pt idx="721">
                  <c:v>-7.8366535564627604</c:v>
                </c:pt>
                <c:pt idx="722">
                  <c:v>-7.836688110737736</c:v>
                </c:pt>
                <c:pt idx="723">
                  <c:v>-7.8367226646992876</c:v>
                </c:pt>
                <c:pt idx="724">
                  <c:v>-7.8367572183474055</c:v>
                </c:pt>
                <c:pt idx="725">
                  <c:v>-7.8367917716820932</c:v>
                </c:pt>
                <c:pt idx="726">
                  <c:v>-7.8368263247033534</c:v>
                </c:pt>
                <c:pt idx="727">
                  <c:v>-7.8368608774111834</c:v>
                </c:pt>
                <c:pt idx="728">
                  <c:v>-7.8368954298055868</c:v>
                </c:pt>
                <c:pt idx="729">
                  <c:v>-7.8369299818865601</c:v>
                </c:pt>
                <c:pt idx="730">
                  <c:v>-7.8369645336541076</c:v>
                </c:pt>
                <c:pt idx="731">
                  <c:v>-7.8369990851082276</c:v>
                </c:pt>
                <c:pt idx="732">
                  <c:v>-7.8370336362489219</c:v>
                </c:pt>
                <c:pt idx="733">
                  <c:v>-7.8370681870761949</c:v>
                </c:pt>
                <c:pt idx="734">
                  <c:v>-7.8371027375900377</c:v>
                </c:pt>
                <c:pt idx="735">
                  <c:v>-7.8371372877904522</c:v>
                </c:pt>
                <c:pt idx="736">
                  <c:v>-7.837171837677448</c:v>
                </c:pt>
                <c:pt idx="737">
                  <c:v>-7.8372063872510136</c:v>
                </c:pt>
                <c:pt idx="738">
                  <c:v>-7.8372409365111588</c:v>
                </c:pt>
                <c:pt idx="739">
                  <c:v>-7.8372754854578792</c:v>
                </c:pt>
                <c:pt idx="740">
                  <c:v>-7.8373100340911783</c:v>
                </c:pt>
                <c:pt idx="741">
                  <c:v>-7.8373445824110517</c:v>
                </c:pt>
                <c:pt idx="742">
                  <c:v>-7.8373791304175082</c:v>
                </c:pt>
                <c:pt idx="743">
                  <c:v>-7.8374136781105355</c:v>
                </c:pt>
                <c:pt idx="744">
                  <c:v>-7.8374482254901467</c:v>
                </c:pt>
                <c:pt idx="745">
                  <c:v>-7.8374827725563376</c:v>
                </c:pt>
                <c:pt idx="746">
                  <c:v>-7.8375173193091063</c:v>
                </c:pt>
                <c:pt idx="747">
                  <c:v>-7.8375518657484529</c:v>
                </c:pt>
                <c:pt idx="748">
                  <c:v>-7.8375864118743834</c:v>
                </c:pt>
                <c:pt idx="749">
                  <c:v>-7.8376209576868918</c:v>
                </c:pt>
                <c:pt idx="750">
                  <c:v>-7.8376555031859834</c:v>
                </c:pt>
                <c:pt idx="751">
                  <c:v>-7.8376900483716554</c:v>
                </c:pt>
                <c:pt idx="752">
                  <c:v>-7.8377245932439097</c:v>
                </c:pt>
                <c:pt idx="753">
                  <c:v>-7.8377591378027471</c:v>
                </c:pt>
                <c:pt idx="754">
                  <c:v>-7.8377936820481642</c:v>
                </c:pt>
                <c:pt idx="755">
                  <c:v>-7.837828225980167</c:v>
                </c:pt>
                <c:pt idx="756">
                  <c:v>-7.8378627695987557</c:v>
                </c:pt>
                <c:pt idx="757">
                  <c:v>-7.8378973129039267</c:v>
                </c:pt>
                <c:pt idx="758">
                  <c:v>-7.8379318558956843</c:v>
                </c:pt>
                <c:pt idx="759">
                  <c:v>-7.8379663985740224</c:v>
                </c:pt>
                <c:pt idx="760">
                  <c:v>-7.8380009409389482</c:v>
                </c:pt>
                <c:pt idx="761">
                  <c:v>-7.8380354829904579</c:v>
                </c:pt>
                <c:pt idx="762">
                  <c:v>-7.8380700247285526</c:v>
                </c:pt>
                <c:pt idx="763">
                  <c:v>-7.8381045661532402</c:v>
                </c:pt>
                <c:pt idx="764">
                  <c:v>-7.8381391072645084</c:v>
                </c:pt>
                <c:pt idx="765">
                  <c:v>-7.8381736480623694</c:v>
                </c:pt>
                <c:pt idx="766">
                  <c:v>-7.8382081885468171</c:v>
                </c:pt>
                <c:pt idx="767">
                  <c:v>-7.8382427287178498</c:v>
                </c:pt>
                <c:pt idx="768">
                  <c:v>-7.8382772685754745</c:v>
                </c:pt>
                <c:pt idx="769">
                  <c:v>-7.8383118081196876</c:v>
                </c:pt>
                <c:pt idx="770">
                  <c:v>-7.8383463473504893</c:v>
                </c:pt>
                <c:pt idx="771">
                  <c:v>-7.8383808862678839</c:v>
                </c:pt>
                <c:pt idx="772">
                  <c:v>-7.8384154248718669</c:v>
                </c:pt>
                <c:pt idx="773">
                  <c:v>-7.8384499631624411</c:v>
                </c:pt>
                <c:pt idx="774">
                  <c:v>-7.8384845011396083</c:v>
                </c:pt>
                <c:pt idx="775">
                  <c:v>-7.8385190388033692</c:v>
                </c:pt>
                <c:pt idx="776">
                  <c:v>-7.8385535761537213</c:v>
                </c:pt>
                <c:pt idx="777">
                  <c:v>-7.8385881131906601</c:v>
                </c:pt>
                <c:pt idx="778">
                  <c:v>-7.8386226499141953</c:v>
                </c:pt>
                <c:pt idx="779">
                  <c:v>-7.838657186324328</c:v>
                </c:pt>
                <c:pt idx="780">
                  <c:v>-7.8386917224210526</c:v>
                </c:pt>
                <c:pt idx="781">
                  <c:v>-7.8387262582043684</c:v>
                </c:pt>
                <c:pt idx="782">
                  <c:v>-7.8387607936742842</c:v>
                </c:pt>
                <c:pt idx="783">
                  <c:v>-7.8387953288307894</c:v>
                </c:pt>
                <c:pt idx="784">
                  <c:v>-7.8388298636738938</c:v>
                </c:pt>
                <c:pt idx="785">
                  <c:v>-7.8388643982035928</c:v>
                </c:pt>
                <c:pt idx="786">
                  <c:v>-7.838898932419891</c:v>
                </c:pt>
                <c:pt idx="787">
                  <c:v>-7.838933466322783</c:v>
                </c:pt>
                <c:pt idx="788">
                  <c:v>-7.8389679999122741</c:v>
                </c:pt>
                <c:pt idx="789">
                  <c:v>-7.8390025331883626</c:v>
                </c:pt>
                <c:pt idx="790">
                  <c:v>-7.8390370661510493</c:v>
                </c:pt>
                <c:pt idx="791">
                  <c:v>-7.8390715988003334</c:v>
                </c:pt>
                <c:pt idx="792">
                  <c:v>-7.8391061311362167</c:v>
                </c:pt>
                <c:pt idx="793">
                  <c:v>-7.8391406631587053</c:v>
                </c:pt>
                <c:pt idx="794">
                  <c:v>-7.8391751948677868</c:v>
                </c:pt>
                <c:pt idx="795">
                  <c:v>-7.8392097262634683</c:v>
                </c:pt>
                <c:pt idx="796">
                  <c:v>-7.8392442573457535</c:v>
                </c:pt>
                <c:pt idx="797">
                  <c:v>-7.8392787881146386</c:v>
                </c:pt>
                <c:pt idx="798">
                  <c:v>-7.83931331857013</c:v>
                </c:pt>
                <c:pt idx="799">
                  <c:v>-7.8393478487122161</c:v>
                </c:pt>
                <c:pt idx="800">
                  <c:v>-7.8393823785409076</c:v>
                </c:pt>
                <c:pt idx="801">
                  <c:v>-7.8394169080562062</c:v>
                </c:pt>
                <c:pt idx="802">
                  <c:v>-7.8394514372581066</c:v>
                </c:pt>
                <c:pt idx="803">
                  <c:v>-7.8394859661466079</c:v>
                </c:pt>
                <c:pt idx="804">
                  <c:v>-7.8395204947217145</c:v>
                </c:pt>
                <c:pt idx="805">
                  <c:v>-7.8395550229834274</c:v>
                </c:pt>
                <c:pt idx="806">
                  <c:v>-7.8395895509317439</c:v>
                </c:pt>
                <c:pt idx="807">
                  <c:v>-7.8396240785666631</c:v>
                </c:pt>
                <c:pt idx="808">
                  <c:v>-7.8396586058881921</c:v>
                </c:pt>
                <c:pt idx="809">
                  <c:v>-7.8396931328963264</c:v>
                </c:pt>
                <c:pt idx="810">
                  <c:v>-7.8397276595910661</c:v>
                </c:pt>
                <c:pt idx="811">
                  <c:v>-7.8397621859724085</c:v>
                </c:pt>
                <c:pt idx="812">
                  <c:v>-7.8397967120403695</c:v>
                </c:pt>
                <c:pt idx="813">
                  <c:v>-7.8398312377949315</c:v>
                </c:pt>
                <c:pt idx="814">
                  <c:v>-7.8398657632361024</c:v>
                </c:pt>
                <c:pt idx="815">
                  <c:v>-7.839900288363884</c:v>
                </c:pt>
                <c:pt idx="816">
                  <c:v>-7.8399348131782745</c:v>
                </c:pt>
                <c:pt idx="817">
                  <c:v>-7.8399693376792738</c:v>
                </c:pt>
                <c:pt idx="818">
                  <c:v>-7.8400038618668857</c:v>
                </c:pt>
                <c:pt idx="819">
                  <c:v>-7.8400383857411029</c:v>
                </c:pt>
                <c:pt idx="820">
                  <c:v>-7.8400729093019397</c:v>
                </c:pt>
                <c:pt idx="821">
                  <c:v>-7.8401074325493809</c:v>
                </c:pt>
                <c:pt idx="822">
                  <c:v>-7.8401419554834382</c:v>
                </c:pt>
                <c:pt idx="823">
                  <c:v>-7.8401764781041079</c:v>
                </c:pt>
                <c:pt idx="824">
                  <c:v>-7.8402110004113874</c:v>
                </c:pt>
                <c:pt idx="825">
                  <c:v>-7.8402455224052785</c:v>
                </c:pt>
                <c:pt idx="826">
                  <c:v>-7.8402800440857856</c:v>
                </c:pt>
                <c:pt idx="827">
                  <c:v>-7.8403145654529096</c:v>
                </c:pt>
                <c:pt idx="828">
                  <c:v>-7.8403490865066425</c:v>
                </c:pt>
                <c:pt idx="829">
                  <c:v>-7.8403836072469977</c:v>
                </c:pt>
                <c:pt idx="830">
                  <c:v>-7.8404181276739608</c:v>
                </c:pt>
                <c:pt idx="831">
                  <c:v>-7.8404526477875436</c:v>
                </c:pt>
                <c:pt idx="832">
                  <c:v>-7.8404871675877423</c:v>
                </c:pt>
                <c:pt idx="833">
                  <c:v>-7.8405216870745571</c:v>
                </c:pt>
                <c:pt idx="834">
                  <c:v>-7.8405562062479923</c:v>
                </c:pt>
                <c:pt idx="835">
                  <c:v>-7.8405907251080418</c:v>
                </c:pt>
                <c:pt idx="836">
                  <c:v>-7.8406252436547073</c:v>
                </c:pt>
                <c:pt idx="837">
                  <c:v>-7.8406597618879941</c:v>
                </c:pt>
                <c:pt idx="838">
                  <c:v>-7.8406942798078987</c:v>
                </c:pt>
                <c:pt idx="839">
                  <c:v>-7.8407287974144193</c:v>
                </c:pt>
                <c:pt idx="840">
                  <c:v>-7.8407633147075657</c:v>
                </c:pt>
                <c:pt idx="841">
                  <c:v>-7.8407978316873272</c:v>
                </c:pt>
                <c:pt idx="842">
                  <c:v>-7.8408323483537146</c:v>
                </c:pt>
                <c:pt idx="843">
                  <c:v>-7.8408668647067188</c:v>
                </c:pt>
                <c:pt idx="844">
                  <c:v>-7.8409013807463461</c:v>
                </c:pt>
                <c:pt idx="845">
                  <c:v>-7.8409358964725921</c:v>
                </c:pt>
                <c:pt idx="846">
                  <c:v>-7.8409704118854631</c:v>
                </c:pt>
                <c:pt idx="847">
                  <c:v>-7.8410049269849571</c:v>
                </c:pt>
                <c:pt idx="848">
                  <c:v>-7.8410394417710725</c:v>
                </c:pt>
                <c:pt idx="849">
                  <c:v>-7.8410739562438128</c:v>
                </c:pt>
                <c:pt idx="850">
                  <c:v>-7.8411084704031762</c:v>
                </c:pt>
                <c:pt idx="851">
                  <c:v>-7.8411429842491627</c:v>
                </c:pt>
                <c:pt idx="852">
                  <c:v>-7.8411774977817768</c:v>
                </c:pt>
                <c:pt idx="853">
                  <c:v>-7.8412120110010166</c:v>
                </c:pt>
                <c:pt idx="854">
                  <c:v>-7.8412465239068796</c:v>
                </c:pt>
                <c:pt idx="855">
                  <c:v>-7.8412810364993701</c:v>
                </c:pt>
                <c:pt idx="856">
                  <c:v>-7.8413155487784829</c:v>
                </c:pt>
                <c:pt idx="857">
                  <c:v>-7.8413500607442295</c:v>
                </c:pt>
                <c:pt idx="858">
                  <c:v>-7.8413845723966018</c:v>
                </c:pt>
                <c:pt idx="859">
                  <c:v>-7.8414190837355999</c:v>
                </c:pt>
                <c:pt idx="860">
                  <c:v>-7.8414535947612292</c:v>
                </c:pt>
                <c:pt idx="861">
                  <c:v>-7.8414881054734833</c:v>
                </c:pt>
                <c:pt idx="862">
                  <c:v>-7.8415226158723685</c:v>
                </c:pt>
                <c:pt idx="863">
                  <c:v>-7.8415571259578813</c:v>
                </c:pt>
                <c:pt idx="864">
                  <c:v>-7.841591635730027</c:v>
                </c:pt>
                <c:pt idx="865">
                  <c:v>-7.8416261451888039</c:v>
                </c:pt>
                <c:pt idx="866">
                  <c:v>-7.8416606543342109</c:v>
                </c:pt>
                <c:pt idx="867">
                  <c:v>-7.8416951631662464</c:v>
                </c:pt>
                <c:pt idx="868">
                  <c:v>-7.8417296716849183</c:v>
                </c:pt>
                <c:pt idx="869">
                  <c:v>-7.8417641798902187</c:v>
                </c:pt>
                <c:pt idx="870">
                  <c:v>-7.8417986877821519</c:v>
                </c:pt>
                <c:pt idx="871">
                  <c:v>-7.8418331953607208</c:v>
                </c:pt>
                <c:pt idx="872">
                  <c:v>-7.8418677026259216</c:v>
                </c:pt>
                <c:pt idx="873">
                  <c:v>-7.8419022095777589</c:v>
                </c:pt>
                <c:pt idx="874">
                  <c:v>-7.8419367162162272</c:v>
                </c:pt>
                <c:pt idx="875">
                  <c:v>-7.8419712225413294</c:v>
                </c:pt>
                <c:pt idx="876">
                  <c:v>-7.842005728553068</c:v>
                </c:pt>
                <c:pt idx="877">
                  <c:v>-7.842040234251443</c:v>
                </c:pt>
                <c:pt idx="878">
                  <c:v>-7.8420747396364519</c:v>
                </c:pt>
                <c:pt idx="879">
                  <c:v>-7.8421092447081016</c:v>
                </c:pt>
                <c:pt idx="880">
                  <c:v>-7.842143749466385</c:v>
                </c:pt>
                <c:pt idx="881">
                  <c:v>-7.8421782539113076</c:v>
                </c:pt>
                <c:pt idx="882">
                  <c:v>-7.842212758042864</c:v>
                </c:pt>
                <c:pt idx="883">
                  <c:v>-7.8422472618610612</c:v>
                </c:pt>
                <c:pt idx="884">
                  <c:v>-7.8422817653658994</c:v>
                </c:pt>
                <c:pt idx="885">
                  <c:v>-7.8423162685573757</c:v>
                </c:pt>
                <c:pt idx="886">
                  <c:v>-7.8423507714354903</c:v>
                </c:pt>
                <c:pt idx="887">
                  <c:v>-7.8423852740002404</c:v>
                </c:pt>
                <c:pt idx="888">
                  <c:v>-7.842419776251635</c:v>
                </c:pt>
                <c:pt idx="889">
                  <c:v>-7.8424542781896722</c:v>
                </c:pt>
                <c:pt idx="890">
                  <c:v>-7.8424887798143503</c:v>
                </c:pt>
                <c:pt idx="891">
                  <c:v>-7.8425232811256675</c:v>
                </c:pt>
                <c:pt idx="892">
                  <c:v>-7.8425577821236283</c:v>
                </c:pt>
                <c:pt idx="893">
                  <c:v>-7.8425922828082344</c:v>
                </c:pt>
                <c:pt idx="894">
                  <c:v>-7.8426267831794769</c:v>
                </c:pt>
                <c:pt idx="895">
                  <c:v>-7.8426612832373674</c:v>
                </c:pt>
                <c:pt idx="896">
                  <c:v>-7.8426957829819015</c:v>
                </c:pt>
                <c:pt idx="897">
                  <c:v>-7.8427302824130827</c:v>
                </c:pt>
                <c:pt idx="898">
                  <c:v>-7.8427647815309074</c:v>
                </c:pt>
                <c:pt idx="899">
                  <c:v>-7.8427992803353748</c:v>
                </c:pt>
                <c:pt idx="900">
                  <c:v>-7.8428337788264901</c:v>
                </c:pt>
                <c:pt idx="901">
                  <c:v>-7.842868277004249</c:v>
                </c:pt>
                <c:pt idx="902">
                  <c:v>-7.8429027748686568</c:v>
                </c:pt>
                <c:pt idx="903">
                  <c:v>-7.8429372724197108</c:v>
                </c:pt>
                <c:pt idx="904">
                  <c:v>-7.8429717696574093</c:v>
                </c:pt>
                <c:pt idx="905">
                  <c:v>-7.8430062665817575</c:v>
                </c:pt>
                <c:pt idx="906">
                  <c:v>-7.8430407631927519</c:v>
                </c:pt>
                <c:pt idx="907">
                  <c:v>-7.843075259490397</c:v>
                </c:pt>
                <c:pt idx="908">
                  <c:v>-7.8431097554746918</c:v>
                </c:pt>
                <c:pt idx="909">
                  <c:v>-7.8431442511456382</c:v>
                </c:pt>
                <c:pt idx="910">
                  <c:v>-7.8431787465032334</c:v>
                </c:pt>
                <c:pt idx="911">
                  <c:v>-7.8432132415474785</c:v>
                </c:pt>
                <c:pt idx="912">
                  <c:v>-7.8432477362783706</c:v>
                </c:pt>
                <c:pt idx="913">
                  <c:v>-7.8432822306959205</c:v>
                </c:pt>
                <c:pt idx="914">
                  <c:v>-7.8433167248001183</c:v>
                </c:pt>
                <c:pt idx="915">
                  <c:v>-7.8433512185909668</c:v>
                </c:pt>
                <c:pt idx="916">
                  <c:v>-7.8433857120684705</c:v>
                </c:pt>
                <c:pt idx="917">
                  <c:v>-7.8434202052326256</c:v>
                </c:pt>
                <c:pt idx="918">
                  <c:v>-7.8434546980834341</c:v>
                </c:pt>
                <c:pt idx="919">
                  <c:v>-7.8434891906208959</c:v>
                </c:pt>
                <c:pt idx="920">
                  <c:v>-7.8435236828450146</c:v>
                </c:pt>
                <c:pt idx="921">
                  <c:v>-7.8435581747557848</c:v>
                </c:pt>
                <c:pt idx="922">
                  <c:v>-7.8435926663532154</c:v>
                </c:pt>
                <c:pt idx="923">
                  <c:v>-7.8436271576372949</c:v>
                </c:pt>
                <c:pt idx="924">
                  <c:v>-7.8436616486080339</c:v>
                </c:pt>
                <c:pt idx="925">
                  <c:v>-7.8436961392654299</c:v>
                </c:pt>
                <c:pt idx="926">
                  <c:v>-7.8437306296094809</c:v>
                </c:pt>
                <c:pt idx="927">
                  <c:v>-7.8437651196401914</c:v>
                </c:pt>
                <c:pt idx="928">
                  <c:v>-7.8437996093575579</c:v>
                </c:pt>
                <c:pt idx="929">
                  <c:v>-7.8438340987615813</c:v>
                </c:pt>
                <c:pt idx="930">
                  <c:v>-7.8438685878522625</c:v>
                </c:pt>
                <c:pt idx="931">
                  <c:v>-7.8439030766296076</c:v>
                </c:pt>
                <c:pt idx="932">
                  <c:v>-7.8439375650936149</c:v>
                </c:pt>
                <c:pt idx="933">
                  <c:v>-7.8439720532442774</c:v>
                </c:pt>
                <c:pt idx="934">
                  <c:v>-7.8440065410815958</c:v>
                </c:pt>
                <c:pt idx="935">
                  <c:v>-7.8440410286055835</c:v>
                </c:pt>
                <c:pt idx="936">
                  <c:v>-7.8440755158162281</c:v>
                </c:pt>
                <c:pt idx="937">
                  <c:v>-7.8441100027135358</c:v>
                </c:pt>
                <c:pt idx="938">
                  <c:v>-7.8441444892975047</c:v>
                </c:pt>
                <c:pt idx="939">
                  <c:v>-7.8441789755681368</c:v>
                </c:pt>
                <c:pt idx="940">
                  <c:v>-7.8442134615254302</c:v>
                </c:pt>
                <c:pt idx="941">
                  <c:v>-7.8442479471693902</c:v>
                </c:pt>
                <c:pt idx="942">
                  <c:v>-7.8442824325000116</c:v>
                </c:pt>
                <c:pt idx="943">
                  <c:v>-7.8443169175172995</c:v>
                </c:pt>
                <c:pt idx="944">
                  <c:v>-7.844351402221247</c:v>
                </c:pt>
                <c:pt idx="945">
                  <c:v>-7.8443858866118639</c:v>
                </c:pt>
                <c:pt idx="946">
                  <c:v>-7.8444203706891482</c:v>
                </c:pt>
                <c:pt idx="947">
                  <c:v>-7.8444548544530939</c:v>
                </c:pt>
                <c:pt idx="948">
                  <c:v>-7.8444893379037071</c:v>
                </c:pt>
                <c:pt idx="949">
                  <c:v>-7.8445238210409904</c:v>
                </c:pt>
                <c:pt idx="950">
                  <c:v>-7.8445583038649405</c:v>
                </c:pt>
                <c:pt idx="951">
                  <c:v>-7.8445927863755571</c:v>
                </c:pt>
                <c:pt idx="952">
                  <c:v>-7.8446272685728404</c:v>
                </c:pt>
                <c:pt idx="953">
                  <c:v>-7.8446617504567966</c:v>
                </c:pt>
                <c:pt idx="954">
                  <c:v>-7.8446962320274194</c:v>
                </c:pt>
                <c:pt idx="955">
                  <c:v>-7.8447307132847142</c:v>
                </c:pt>
                <c:pt idx="956">
                  <c:v>-7.8447651942286747</c:v>
                </c:pt>
                <c:pt idx="957">
                  <c:v>-7.8447996748593063</c:v>
                </c:pt>
                <c:pt idx="958">
                  <c:v>-7.8448341551766108</c:v>
                </c:pt>
                <c:pt idx="959">
                  <c:v>-7.8448686351805845</c:v>
                </c:pt>
                <c:pt idx="960">
                  <c:v>-7.844903114871232</c:v>
                </c:pt>
                <c:pt idx="961">
                  <c:v>-7.8449375942485506</c:v>
                </c:pt>
                <c:pt idx="962">
                  <c:v>-7.8449720733125412</c:v>
                </c:pt>
                <c:pt idx="963">
                  <c:v>-7.8450065520632091</c:v>
                </c:pt>
                <c:pt idx="964">
                  <c:v>-7.8450410305005445</c:v>
                </c:pt>
                <c:pt idx="965">
                  <c:v>-7.845075508624558</c:v>
                </c:pt>
                <c:pt idx="966">
                  <c:v>-7.8451099864352409</c:v>
                </c:pt>
                <c:pt idx="967">
                  <c:v>-7.8451444639326056</c:v>
                </c:pt>
                <c:pt idx="968">
                  <c:v>-7.8451789411166404</c:v>
                </c:pt>
                <c:pt idx="969">
                  <c:v>-7.8452134179873534</c:v>
                </c:pt>
                <c:pt idx="970">
                  <c:v>-7.8452478945447446</c:v>
                </c:pt>
                <c:pt idx="971">
                  <c:v>-7.8452823707888077</c:v>
                </c:pt>
                <c:pt idx="972">
                  <c:v>-7.8453168467195518</c:v>
                </c:pt>
                <c:pt idx="973">
                  <c:v>-7.8453513223369722</c:v>
                </c:pt>
                <c:pt idx="974">
                  <c:v>-7.8453857976410681</c:v>
                </c:pt>
                <c:pt idx="975">
                  <c:v>-7.8454202726318449</c:v>
                </c:pt>
                <c:pt idx="976">
                  <c:v>-7.8454547473092981</c:v>
                </c:pt>
                <c:pt idx="977">
                  <c:v>-7.8454892216734295</c:v>
                </c:pt>
                <c:pt idx="978">
                  <c:v>-7.8455236957242445</c:v>
                </c:pt>
                <c:pt idx="979">
                  <c:v>-7.8455581694617358</c:v>
                </c:pt>
                <c:pt idx="980">
                  <c:v>-7.8455926428859115</c:v>
                </c:pt>
                <c:pt idx="981">
                  <c:v>-7.8456271159967654</c:v>
                </c:pt>
                <c:pt idx="982">
                  <c:v>-7.8456615887943029</c:v>
                </c:pt>
                <c:pt idx="983">
                  <c:v>-7.8456960612785194</c:v>
                </c:pt>
                <c:pt idx="984">
                  <c:v>-7.8457305334494203</c:v>
                </c:pt>
                <c:pt idx="985">
                  <c:v>-7.8457650053070003</c:v>
                </c:pt>
                <c:pt idx="986">
                  <c:v>-7.8457994768512673</c:v>
                </c:pt>
                <c:pt idx="987">
                  <c:v>-7.8458339480822197</c:v>
                </c:pt>
                <c:pt idx="988">
                  <c:v>-7.845868418999852</c:v>
                </c:pt>
                <c:pt idx="989">
                  <c:v>-7.8459028896041705</c:v>
                </c:pt>
                <c:pt idx="990">
                  <c:v>-7.845937359895176</c:v>
                </c:pt>
                <c:pt idx="991">
                  <c:v>-7.8459718298728607</c:v>
                </c:pt>
                <c:pt idx="992">
                  <c:v>-7.8460062995372359</c:v>
                </c:pt>
                <c:pt idx="993">
                  <c:v>-7.8460407688882983</c:v>
                </c:pt>
                <c:pt idx="994">
                  <c:v>-7.8460752379260441</c:v>
                </c:pt>
                <c:pt idx="995">
                  <c:v>-7.8461097066504797</c:v>
                </c:pt>
                <c:pt idx="996">
                  <c:v>-7.8461441750616006</c:v>
                </c:pt>
                <c:pt idx="997">
                  <c:v>-7.8461786431594112</c:v>
                </c:pt>
                <c:pt idx="998">
                  <c:v>-7.8462131109439079</c:v>
                </c:pt>
                <c:pt idx="999">
                  <c:v>-7.8462475784150953</c:v>
                </c:pt>
                <c:pt idx="1000">
                  <c:v>-7.8462820455729725</c:v>
                </c:pt>
              </c:numCache>
            </c:numRef>
          </c:yVal>
          <c:smooth val="0"/>
          <c:extLst>
            <c:ext xmlns:c16="http://schemas.microsoft.com/office/drawing/2014/chart" uri="{C3380CC4-5D6E-409C-BE32-E72D297353CC}">
              <c16:uniqueId val="{00000001-BDD6-4E9B-9AFA-2396233049A9}"/>
            </c:ext>
          </c:extLst>
        </c:ser>
        <c:dLbls>
          <c:showLegendKey val="0"/>
          <c:showVal val="0"/>
          <c:showCatName val="0"/>
          <c:showSerName val="0"/>
          <c:showPercent val="0"/>
          <c:showBubbleSize val="0"/>
        </c:dLbls>
        <c:axId val="149575168"/>
        <c:axId val="149577088"/>
      </c:scatterChart>
      <c:valAx>
        <c:axId val="149575168"/>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7088"/>
        <c:crosses val="autoZero"/>
        <c:crossBetween val="midCat"/>
      </c:valAx>
      <c:valAx>
        <c:axId val="149577088"/>
        <c:scaling>
          <c:orientation val="minMax"/>
        </c:scaling>
        <c:delete val="0"/>
        <c:axPos val="l"/>
        <c:majorGridlines>
          <c:spPr>
            <a:ln w="3175">
              <a:solidFill>
                <a:srgbClr val="000000"/>
              </a:solidFill>
              <a:prstDash val="sysDash"/>
            </a:ln>
          </c:spPr>
        </c:majorGridlines>
        <c:title>
          <c:tx>
            <c:rich>
              <a:bodyPr/>
              <a:lstStyle/>
              <a:p>
                <a:pPr>
                  <a:defRPr sz="1000" b="1" i="0" u="none" strike="noStrike" baseline="0">
                    <a:solidFill>
                      <a:srgbClr val="000000"/>
                    </a:solidFill>
                    <a:latin typeface="Arial"/>
                    <a:ea typeface="Arial"/>
                    <a:cs typeface="Arial"/>
                  </a:defRPr>
                </a:pPr>
                <a:r>
                  <a:rPr lang="fr-FR"/>
                  <a:t>Accélérations [m/s²]_</a:t>
                </a:r>
              </a:p>
            </c:rich>
          </c:tx>
          <c:layout>
            <c:manualLayout>
              <c:xMode val="edge"/>
              <c:yMode val="edge"/>
              <c:x val="2.712264150943397E-2"/>
              <c:y val="0.297386526684164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5168"/>
        <c:crosses val="autoZero"/>
        <c:crossBetween val="midCat"/>
      </c:valAx>
      <c:spPr>
        <a:noFill/>
        <a:ln w="12700">
          <a:solidFill>
            <a:srgbClr val="808080"/>
          </a:solidFill>
          <a:prstDash val="solid"/>
        </a:ln>
      </c:spPr>
    </c:plotArea>
    <c:legend>
      <c:legendPos val="r"/>
      <c:layout>
        <c:manualLayout>
          <c:xMode val="edge"/>
          <c:yMode val="edge"/>
          <c:x val="0.66195018075570744"/>
          <c:y val="0.25777777777777783"/>
          <c:w val="0.30974867528351424"/>
          <c:h val="0.15777777777777779"/>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Positions</a:t>
            </a:r>
          </a:p>
        </c:rich>
      </c:tx>
      <c:overlay val="1"/>
    </c:title>
    <c:autoTitleDeleted val="0"/>
    <c:plotArea>
      <c:layout>
        <c:manualLayout>
          <c:layoutTarget val="inner"/>
          <c:xMode val="edge"/>
          <c:yMode val="edge"/>
          <c:x val="0.11674528301886802"/>
          <c:y val="9.4771544282144501E-2"/>
          <c:w val="0.86438679245283023"/>
          <c:h val="0.73856444854360881"/>
        </c:manualLayout>
      </c:layout>
      <c:scatterChart>
        <c:scatterStyle val="lineMarker"/>
        <c:varyColors val="0"/>
        <c:ser>
          <c:idx val="0"/>
          <c:order val="0"/>
          <c:tx>
            <c:strRef>
              <c:f>Courbes!$B$144</c:f>
              <c:strCache>
                <c:ptCount val="1"/>
                <c:pt idx="0">
                  <c:v>Portée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34.500100000000224</c:v>
                </c:pt>
                <c:pt idx="527">
                  <c:v>34.500200000000227</c:v>
                </c:pt>
                <c:pt idx="528">
                  <c:v>34.50030000000023</c:v>
                </c:pt>
                <c:pt idx="529">
                  <c:v>34.500400000000234</c:v>
                </c:pt>
                <c:pt idx="530">
                  <c:v>34.500500000000237</c:v>
                </c:pt>
                <c:pt idx="531">
                  <c:v>34.50060000000024</c:v>
                </c:pt>
                <c:pt idx="532">
                  <c:v>34.500700000000244</c:v>
                </c:pt>
                <c:pt idx="533">
                  <c:v>34.500800000000247</c:v>
                </c:pt>
                <c:pt idx="534">
                  <c:v>34.50090000000025</c:v>
                </c:pt>
                <c:pt idx="535">
                  <c:v>34.501000000000253</c:v>
                </c:pt>
                <c:pt idx="536">
                  <c:v>34.501100000000257</c:v>
                </c:pt>
                <c:pt idx="537">
                  <c:v>34.50120000000026</c:v>
                </c:pt>
                <c:pt idx="538">
                  <c:v>34.501300000000263</c:v>
                </c:pt>
                <c:pt idx="539">
                  <c:v>34.501400000000267</c:v>
                </c:pt>
                <c:pt idx="540">
                  <c:v>34.50150000000027</c:v>
                </c:pt>
                <c:pt idx="541">
                  <c:v>34.501600000000273</c:v>
                </c:pt>
                <c:pt idx="542">
                  <c:v>34.501700000000277</c:v>
                </c:pt>
                <c:pt idx="543">
                  <c:v>34.50180000000028</c:v>
                </c:pt>
                <c:pt idx="544">
                  <c:v>34.501900000000283</c:v>
                </c:pt>
                <c:pt idx="545">
                  <c:v>34.502000000000287</c:v>
                </c:pt>
                <c:pt idx="546">
                  <c:v>34.50210000000029</c:v>
                </c:pt>
                <c:pt idx="547">
                  <c:v>34.502200000000293</c:v>
                </c:pt>
                <c:pt idx="548">
                  <c:v>34.502300000000297</c:v>
                </c:pt>
                <c:pt idx="549">
                  <c:v>34.5024000000003</c:v>
                </c:pt>
                <c:pt idx="550">
                  <c:v>34.502500000000303</c:v>
                </c:pt>
                <c:pt idx="551">
                  <c:v>34.502600000000307</c:v>
                </c:pt>
                <c:pt idx="552">
                  <c:v>34.50270000000031</c:v>
                </c:pt>
                <c:pt idx="553">
                  <c:v>34.502800000000313</c:v>
                </c:pt>
                <c:pt idx="554">
                  <c:v>34.502900000000317</c:v>
                </c:pt>
                <c:pt idx="555">
                  <c:v>34.50300000000032</c:v>
                </c:pt>
                <c:pt idx="556">
                  <c:v>34.503100000000323</c:v>
                </c:pt>
                <c:pt idx="557">
                  <c:v>34.503200000000326</c:v>
                </c:pt>
                <c:pt idx="558">
                  <c:v>34.50330000000033</c:v>
                </c:pt>
                <c:pt idx="559">
                  <c:v>34.503400000000333</c:v>
                </c:pt>
                <c:pt idx="560">
                  <c:v>34.503500000000336</c:v>
                </c:pt>
                <c:pt idx="561">
                  <c:v>34.50360000000034</c:v>
                </c:pt>
                <c:pt idx="562">
                  <c:v>34.503700000000343</c:v>
                </c:pt>
                <c:pt idx="563">
                  <c:v>34.503800000000346</c:v>
                </c:pt>
                <c:pt idx="564">
                  <c:v>34.50390000000035</c:v>
                </c:pt>
                <c:pt idx="565">
                  <c:v>34.504000000000353</c:v>
                </c:pt>
                <c:pt idx="566">
                  <c:v>34.504100000000356</c:v>
                </c:pt>
                <c:pt idx="567">
                  <c:v>34.50420000000036</c:v>
                </c:pt>
                <c:pt idx="568">
                  <c:v>34.504300000000363</c:v>
                </c:pt>
                <c:pt idx="569">
                  <c:v>34.504400000000366</c:v>
                </c:pt>
                <c:pt idx="570">
                  <c:v>34.50450000000037</c:v>
                </c:pt>
                <c:pt idx="571">
                  <c:v>34.504600000000373</c:v>
                </c:pt>
                <c:pt idx="572">
                  <c:v>34.504700000000376</c:v>
                </c:pt>
                <c:pt idx="573">
                  <c:v>34.50480000000038</c:v>
                </c:pt>
                <c:pt idx="574">
                  <c:v>34.504900000000383</c:v>
                </c:pt>
                <c:pt idx="575">
                  <c:v>34.505000000000386</c:v>
                </c:pt>
                <c:pt idx="576">
                  <c:v>34.50510000000039</c:v>
                </c:pt>
                <c:pt idx="577">
                  <c:v>34.505200000000393</c:v>
                </c:pt>
                <c:pt idx="578">
                  <c:v>34.505300000000396</c:v>
                </c:pt>
                <c:pt idx="579">
                  <c:v>34.5054000000004</c:v>
                </c:pt>
                <c:pt idx="580">
                  <c:v>34.505500000000403</c:v>
                </c:pt>
                <c:pt idx="581">
                  <c:v>34.505600000000406</c:v>
                </c:pt>
                <c:pt idx="582">
                  <c:v>34.505700000000409</c:v>
                </c:pt>
                <c:pt idx="583">
                  <c:v>34.505800000000413</c:v>
                </c:pt>
                <c:pt idx="584">
                  <c:v>34.505900000000416</c:v>
                </c:pt>
                <c:pt idx="585">
                  <c:v>34.506000000000419</c:v>
                </c:pt>
                <c:pt idx="586">
                  <c:v>34.506100000000423</c:v>
                </c:pt>
                <c:pt idx="587">
                  <c:v>34.506200000000426</c:v>
                </c:pt>
                <c:pt idx="588">
                  <c:v>34.506300000000429</c:v>
                </c:pt>
                <c:pt idx="589">
                  <c:v>34.506400000000433</c:v>
                </c:pt>
                <c:pt idx="590">
                  <c:v>34.506500000000436</c:v>
                </c:pt>
                <c:pt idx="591">
                  <c:v>34.506600000000439</c:v>
                </c:pt>
                <c:pt idx="592">
                  <c:v>34.506700000000443</c:v>
                </c:pt>
                <c:pt idx="593">
                  <c:v>34.506800000000446</c:v>
                </c:pt>
                <c:pt idx="594">
                  <c:v>34.506900000000449</c:v>
                </c:pt>
                <c:pt idx="595">
                  <c:v>34.507000000000453</c:v>
                </c:pt>
                <c:pt idx="596">
                  <c:v>34.507100000000456</c:v>
                </c:pt>
                <c:pt idx="597">
                  <c:v>34.507200000000459</c:v>
                </c:pt>
                <c:pt idx="598">
                  <c:v>34.507300000000463</c:v>
                </c:pt>
                <c:pt idx="599">
                  <c:v>34.507400000000466</c:v>
                </c:pt>
                <c:pt idx="600">
                  <c:v>34.507500000000469</c:v>
                </c:pt>
                <c:pt idx="601">
                  <c:v>34.507600000000473</c:v>
                </c:pt>
                <c:pt idx="602">
                  <c:v>34.507700000000476</c:v>
                </c:pt>
                <c:pt idx="603">
                  <c:v>34.507800000000479</c:v>
                </c:pt>
                <c:pt idx="604">
                  <c:v>34.507900000000483</c:v>
                </c:pt>
                <c:pt idx="605">
                  <c:v>34.508000000000486</c:v>
                </c:pt>
                <c:pt idx="606">
                  <c:v>34.508100000000489</c:v>
                </c:pt>
                <c:pt idx="607">
                  <c:v>34.508200000000492</c:v>
                </c:pt>
                <c:pt idx="608">
                  <c:v>34.508300000000496</c:v>
                </c:pt>
                <c:pt idx="609">
                  <c:v>34.508400000000499</c:v>
                </c:pt>
                <c:pt idx="610">
                  <c:v>34.508500000000502</c:v>
                </c:pt>
                <c:pt idx="611">
                  <c:v>34.508600000000506</c:v>
                </c:pt>
                <c:pt idx="612">
                  <c:v>34.508700000000509</c:v>
                </c:pt>
                <c:pt idx="613">
                  <c:v>34.508800000000512</c:v>
                </c:pt>
                <c:pt idx="614">
                  <c:v>34.508900000000516</c:v>
                </c:pt>
                <c:pt idx="615">
                  <c:v>34.509000000000519</c:v>
                </c:pt>
                <c:pt idx="616">
                  <c:v>34.509100000000522</c:v>
                </c:pt>
                <c:pt idx="617">
                  <c:v>34.509200000000526</c:v>
                </c:pt>
                <c:pt idx="618">
                  <c:v>34.509300000000529</c:v>
                </c:pt>
                <c:pt idx="619">
                  <c:v>34.509400000000532</c:v>
                </c:pt>
                <c:pt idx="620">
                  <c:v>34.509500000000536</c:v>
                </c:pt>
                <c:pt idx="621">
                  <c:v>34.509600000000539</c:v>
                </c:pt>
                <c:pt idx="622">
                  <c:v>34.509700000000542</c:v>
                </c:pt>
                <c:pt idx="623">
                  <c:v>34.509800000000546</c:v>
                </c:pt>
                <c:pt idx="624">
                  <c:v>34.509900000000549</c:v>
                </c:pt>
                <c:pt idx="625">
                  <c:v>34.510000000000552</c:v>
                </c:pt>
                <c:pt idx="626">
                  <c:v>34.510100000000556</c:v>
                </c:pt>
                <c:pt idx="627">
                  <c:v>34.510200000000559</c:v>
                </c:pt>
                <c:pt idx="628">
                  <c:v>34.510300000000562</c:v>
                </c:pt>
                <c:pt idx="629">
                  <c:v>34.510400000000566</c:v>
                </c:pt>
                <c:pt idx="630">
                  <c:v>34.510500000000569</c:v>
                </c:pt>
                <c:pt idx="631">
                  <c:v>34.510600000000572</c:v>
                </c:pt>
                <c:pt idx="632">
                  <c:v>34.510700000000575</c:v>
                </c:pt>
                <c:pt idx="633">
                  <c:v>34.510800000000579</c:v>
                </c:pt>
                <c:pt idx="634">
                  <c:v>34.510900000000582</c:v>
                </c:pt>
                <c:pt idx="635">
                  <c:v>34.511000000000585</c:v>
                </c:pt>
                <c:pt idx="636">
                  <c:v>34.511100000000589</c:v>
                </c:pt>
                <c:pt idx="637">
                  <c:v>34.511200000000592</c:v>
                </c:pt>
                <c:pt idx="638">
                  <c:v>34.511300000000595</c:v>
                </c:pt>
                <c:pt idx="639">
                  <c:v>34.511400000000599</c:v>
                </c:pt>
                <c:pt idx="640">
                  <c:v>34.511500000000602</c:v>
                </c:pt>
                <c:pt idx="641">
                  <c:v>34.511600000000605</c:v>
                </c:pt>
                <c:pt idx="642">
                  <c:v>34.511700000000609</c:v>
                </c:pt>
                <c:pt idx="643">
                  <c:v>34.511800000000612</c:v>
                </c:pt>
                <c:pt idx="644">
                  <c:v>34.511900000000615</c:v>
                </c:pt>
                <c:pt idx="645">
                  <c:v>34.512000000000619</c:v>
                </c:pt>
                <c:pt idx="646">
                  <c:v>34.512100000000622</c:v>
                </c:pt>
                <c:pt idx="647">
                  <c:v>34.512200000000625</c:v>
                </c:pt>
                <c:pt idx="648">
                  <c:v>34.512300000000629</c:v>
                </c:pt>
                <c:pt idx="649">
                  <c:v>34.512400000000632</c:v>
                </c:pt>
                <c:pt idx="650">
                  <c:v>34.512500000000635</c:v>
                </c:pt>
                <c:pt idx="651">
                  <c:v>34.512600000000639</c:v>
                </c:pt>
                <c:pt idx="652">
                  <c:v>34.512700000000642</c:v>
                </c:pt>
                <c:pt idx="653">
                  <c:v>34.512800000000645</c:v>
                </c:pt>
                <c:pt idx="654">
                  <c:v>34.512900000000649</c:v>
                </c:pt>
                <c:pt idx="655">
                  <c:v>34.513000000000652</c:v>
                </c:pt>
                <c:pt idx="656">
                  <c:v>34.513100000000655</c:v>
                </c:pt>
                <c:pt idx="657">
                  <c:v>34.513200000000658</c:v>
                </c:pt>
                <c:pt idx="658">
                  <c:v>34.513300000000662</c:v>
                </c:pt>
                <c:pt idx="659">
                  <c:v>34.513400000000665</c:v>
                </c:pt>
                <c:pt idx="660">
                  <c:v>34.513500000000668</c:v>
                </c:pt>
                <c:pt idx="661">
                  <c:v>34.513600000000672</c:v>
                </c:pt>
                <c:pt idx="662">
                  <c:v>34.513700000000675</c:v>
                </c:pt>
                <c:pt idx="663">
                  <c:v>34.513800000000678</c:v>
                </c:pt>
                <c:pt idx="664">
                  <c:v>34.513900000000682</c:v>
                </c:pt>
                <c:pt idx="665">
                  <c:v>34.514000000000685</c:v>
                </c:pt>
                <c:pt idx="666">
                  <c:v>34.514100000000688</c:v>
                </c:pt>
                <c:pt idx="667">
                  <c:v>34.514200000000692</c:v>
                </c:pt>
                <c:pt idx="668">
                  <c:v>34.514300000000695</c:v>
                </c:pt>
                <c:pt idx="669">
                  <c:v>34.514400000000698</c:v>
                </c:pt>
                <c:pt idx="670">
                  <c:v>34.514500000000702</c:v>
                </c:pt>
                <c:pt idx="671">
                  <c:v>34.514600000000705</c:v>
                </c:pt>
                <c:pt idx="672">
                  <c:v>34.514700000000708</c:v>
                </c:pt>
                <c:pt idx="673">
                  <c:v>34.514800000000712</c:v>
                </c:pt>
                <c:pt idx="674">
                  <c:v>34.514900000000715</c:v>
                </c:pt>
                <c:pt idx="675">
                  <c:v>34.515000000000718</c:v>
                </c:pt>
                <c:pt idx="676">
                  <c:v>34.515100000000722</c:v>
                </c:pt>
                <c:pt idx="677">
                  <c:v>34.515200000000725</c:v>
                </c:pt>
                <c:pt idx="678">
                  <c:v>34.515300000000728</c:v>
                </c:pt>
                <c:pt idx="679">
                  <c:v>34.515400000000731</c:v>
                </c:pt>
                <c:pt idx="680">
                  <c:v>34.515500000000735</c:v>
                </c:pt>
                <c:pt idx="681">
                  <c:v>34.515600000000738</c:v>
                </c:pt>
                <c:pt idx="682">
                  <c:v>34.515700000000741</c:v>
                </c:pt>
                <c:pt idx="683">
                  <c:v>34.515800000000745</c:v>
                </c:pt>
                <c:pt idx="684">
                  <c:v>34.515900000000748</c:v>
                </c:pt>
                <c:pt idx="685">
                  <c:v>34.516000000000751</c:v>
                </c:pt>
                <c:pt idx="686">
                  <c:v>34.516100000000755</c:v>
                </c:pt>
                <c:pt idx="687">
                  <c:v>34.516200000000758</c:v>
                </c:pt>
                <c:pt idx="688">
                  <c:v>34.516300000000761</c:v>
                </c:pt>
                <c:pt idx="689">
                  <c:v>34.516400000000765</c:v>
                </c:pt>
                <c:pt idx="690">
                  <c:v>34.516500000000768</c:v>
                </c:pt>
                <c:pt idx="691">
                  <c:v>34.516600000000771</c:v>
                </c:pt>
                <c:pt idx="692">
                  <c:v>34.516700000000775</c:v>
                </c:pt>
                <c:pt idx="693">
                  <c:v>34.516800000000778</c:v>
                </c:pt>
                <c:pt idx="694">
                  <c:v>34.516900000000781</c:v>
                </c:pt>
                <c:pt idx="695">
                  <c:v>34.517000000000785</c:v>
                </c:pt>
                <c:pt idx="696">
                  <c:v>34.517100000000788</c:v>
                </c:pt>
                <c:pt idx="697">
                  <c:v>34.517200000000791</c:v>
                </c:pt>
                <c:pt idx="698">
                  <c:v>34.517300000000795</c:v>
                </c:pt>
                <c:pt idx="699">
                  <c:v>34.517400000000798</c:v>
                </c:pt>
                <c:pt idx="700">
                  <c:v>34.517500000000801</c:v>
                </c:pt>
                <c:pt idx="701">
                  <c:v>34.517600000000805</c:v>
                </c:pt>
                <c:pt idx="702">
                  <c:v>34.517700000000808</c:v>
                </c:pt>
                <c:pt idx="703">
                  <c:v>34.517800000000811</c:v>
                </c:pt>
                <c:pt idx="704">
                  <c:v>34.517900000000814</c:v>
                </c:pt>
                <c:pt idx="705">
                  <c:v>34.518000000000818</c:v>
                </c:pt>
                <c:pt idx="706">
                  <c:v>34.518100000000821</c:v>
                </c:pt>
                <c:pt idx="707">
                  <c:v>34.518200000000824</c:v>
                </c:pt>
                <c:pt idx="708">
                  <c:v>34.518300000000828</c:v>
                </c:pt>
                <c:pt idx="709">
                  <c:v>34.518400000000831</c:v>
                </c:pt>
                <c:pt idx="710">
                  <c:v>34.518500000000834</c:v>
                </c:pt>
                <c:pt idx="711">
                  <c:v>34.518600000000838</c:v>
                </c:pt>
                <c:pt idx="712">
                  <c:v>34.518700000000841</c:v>
                </c:pt>
                <c:pt idx="713">
                  <c:v>34.518800000000844</c:v>
                </c:pt>
                <c:pt idx="714">
                  <c:v>34.518900000000848</c:v>
                </c:pt>
                <c:pt idx="715">
                  <c:v>34.519000000000851</c:v>
                </c:pt>
                <c:pt idx="716">
                  <c:v>34.519100000000854</c:v>
                </c:pt>
                <c:pt idx="717">
                  <c:v>34.519200000000858</c:v>
                </c:pt>
                <c:pt idx="718">
                  <c:v>34.519300000000861</c:v>
                </c:pt>
                <c:pt idx="719">
                  <c:v>34.519400000000864</c:v>
                </c:pt>
                <c:pt idx="720">
                  <c:v>34.519500000000868</c:v>
                </c:pt>
                <c:pt idx="721">
                  <c:v>34.519600000000871</c:v>
                </c:pt>
                <c:pt idx="722">
                  <c:v>34.519700000000874</c:v>
                </c:pt>
                <c:pt idx="723">
                  <c:v>34.519800000000878</c:v>
                </c:pt>
                <c:pt idx="724">
                  <c:v>34.519900000000881</c:v>
                </c:pt>
                <c:pt idx="725">
                  <c:v>34.520000000000884</c:v>
                </c:pt>
                <c:pt idx="726">
                  <c:v>34.520100000000888</c:v>
                </c:pt>
                <c:pt idx="727">
                  <c:v>34.520200000000891</c:v>
                </c:pt>
                <c:pt idx="728">
                  <c:v>34.520300000000894</c:v>
                </c:pt>
                <c:pt idx="729">
                  <c:v>34.520400000000897</c:v>
                </c:pt>
                <c:pt idx="730">
                  <c:v>34.520500000000901</c:v>
                </c:pt>
                <c:pt idx="731">
                  <c:v>34.520600000000904</c:v>
                </c:pt>
                <c:pt idx="732">
                  <c:v>34.520700000000907</c:v>
                </c:pt>
                <c:pt idx="733">
                  <c:v>34.520800000000911</c:v>
                </c:pt>
                <c:pt idx="734">
                  <c:v>34.520900000000914</c:v>
                </c:pt>
                <c:pt idx="735">
                  <c:v>34.521000000000917</c:v>
                </c:pt>
                <c:pt idx="736">
                  <c:v>34.521100000000921</c:v>
                </c:pt>
                <c:pt idx="737">
                  <c:v>34.521200000000924</c:v>
                </c:pt>
                <c:pt idx="738">
                  <c:v>34.521300000000927</c:v>
                </c:pt>
                <c:pt idx="739">
                  <c:v>34.521400000000931</c:v>
                </c:pt>
                <c:pt idx="740">
                  <c:v>34.521500000000934</c:v>
                </c:pt>
                <c:pt idx="741">
                  <c:v>34.521600000000937</c:v>
                </c:pt>
                <c:pt idx="742">
                  <c:v>34.521700000000941</c:v>
                </c:pt>
                <c:pt idx="743">
                  <c:v>34.521800000000944</c:v>
                </c:pt>
                <c:pt idx="744">
                  <c:v>34.521900000000947</c:v>
                </c:pt>
                <c:pt idx="745">
                  <c:v>34.522000000000951</c:v>
                </c:pt>
                <c:pt idx="746">
                  <c:v>34.522100000000954</c:v>
                </c:pt>
                <c:pt idx="747">
                  <c:v>34.522200000000957</c:v>
                </c:pt>
                <c:pt idx="748">
                  <c:v>34.522300000000961</c:v>
                </c:pt>
                <c:pt idx="749">
                  <c:v>34.522400000000964</c:v>
                </c:pt>
                <c:pt idx="750">
                  <c:v>34.522500000000967</c:v>
                </c:pt>
                <c:pt idx="751">
                  <c:v>34.522600000000971</c:v>
                </c:pt>
                <c:pt idx="752">
                  <c:v>34.522700000000974</c:v>
                </c:pt>
                <c:pt idx="753">
                  <c:v>34.522800000000977</c:v>
                </c:pt>
                <c:pt idx="754">
                  <c:v>34.52290000000098</c:v>
                </c:pt>
                <c:pt idx="755">
                  <c:v>34.523000000000984</c:v>
                </c:pt>
                <c:pt idx="756">
                  <c:v>34.523100000000987</c:v>
                </c:pt>
                <c:pt idx="757">
                  <c:v>34.52320000000099</c:v>
                </c:pt>
                <c:pt idx="758">
                  <c:v>34.523300000000994</c:v>
                </c:pt>
                <c:pt idx="759">
                  <c:v>34.523400000000997</c:v>
                </c:pt>
                <c:pt idx="760">
                  <c:v>34.523500000001</c:v>
                </c:pt>
                <c:pt idx="761">
                  <c:v>34.523600000001004</c:v>
                </c:pt>
                <c:pt idx="762">
                  <c:v>34.523700000001007</c:v>
                </c:pt>
                <c:pt idx="763">
                  <c:v>34.52380000000101</c:v>
                </c:pt>
                <c:pt idx="764">
                  <c:v>34.523900000001014</c:v>
                </c:pt>
                <c:pt idx="765">
                  <c:v>34.524000000001017</c:v>
                </c:pt>
                <c:pt idx="766">
                  <c:v>34.52410000000102</c:v>
                </c:pt>
                <c:pt idx="767">
                  <c:v>34.524200000001024</c:v>
                </c:pt>
                <c:pt idx="768">
                  <c:v>34.524300000001027</c:v>
                </c:pt>
                <c:pt idx="769">
                  <c:v>34.52440000000103</c:v>
                </c:pt>
                <c:pt idx="770">
                  <c:v>34.524500000001034</c:v>
                </c:pt>
                <c:pt idx="771">
                  <c:v>34.524600000001037</c:v>
                </c:pt>
                <c:pt idx="772">
                  <c:v>34.52470000000104</c:v>
                </c:pt>
                <c:pt idx="773">
                  <c:v>34.524800000001044</c:v>
                </c:pt>
                <c:pt idx="774">
                  <c:v>34.524900000001047</c:v>
                </c:pt>
                <c:pt idx="775">
                  <c:v>34.52500000000105</c:v>
                </c:pt>
                <c:pt idx="776">
                  <c:v>34.525100000001054</c:v>
                </c:pt>
                <c:pt idx="777">
                  <c:v>34.525200000001057</c:v>
                </c:pt>
                <c:pt idx="778">
                  <c:v>34.52530000000106</c:v>
                </c:pt>
                <c:pt idx="779">
                  <c:v>34.525400000001063</c:v>
                </c:pt>
                <c:pt idx="780">
                  <c:v>34.525500000001067</c:v>
                </c:pt>
                <c:pt idx="781">
                  <c:v>34.52560000000107</c:v>
                </c:pt>
                <c:pt idx="782">
                  <c:v>34.525700000001073</c:v>
                </c:pt>
                <c:pt idx="783">
                  <c:v>34.525800000001077</c:v>
                </c:pt>
                <c:pt idx="784">
                  <c:v>34.52590000000108</c:v>
                </c:pt>
                <c:pt idx="785">
                  <c:v>34.526000000001083</c:v>
                </c:pt>
                <c:pt idx="786">
                  <c:v>34.526100000001087</c:v>
                </c:pt>
                <c:pt idx="787">
                  <c:v>34.52620000000109</c:v>
                </c:pt>
                <c:pt idx="788">
                  <c:v>34.526300000001093</c:v>
                </c:pt>
                <c:pt idx="789">
                  <c:v>34.526400000001097</c:v>
                </c:pt>
                <c:pt idx="790">
                  <c:v>34.5265000000011</c:v>
                </c:pt>
                <c:pt idx="791">
                  <c:v>34.526600000001103</c:v>
                </c:pt>
                <c:pt idx="792">
                  <c:v>34.526700000001107</c:v>
                </c:pt>
                <c:pt idx="793">
                  <c:v>34.52680000000111</c:v>
                </c:pt>
                <c:pt idx="794">
                  <c:v>34.526900000001113</c:v>
                </c:pt>
                <c:pt idx="795">
                  <c:v>34.527000000001117</c:v>
                </c:pt>
                <c:pt idx="796">
                  <c:v>34.52710000000112</c:v>
                </c:pt>
                <c:pt idx="797">
                  <c:v>34.527200000001123</c:v>
                </c:pt>
                <c:pt idx="798">
                  <c:v>34.527300000001127</c:v>
                </c:pt>
                <c:pt idx="799">
                  <c:v>34.52740000000113</c:v>
                </c:pt>
                <c:pt idx="800">
                  <c:v>34.527500000001133</c:v>
                </c:pt>
                <c:pt idx="801">
                  <c:v>34.527600000001136</c:v>
                </c:pt>
                <c:pt idx="802">
                  <c:v>34.52770000000114</c:v>
                </c:pt>
                <c:pt idx="803">
                  <c:v>34.527800000001143</c:v>
                </c:pt>
                <c:pt idx="804">
                  <c:v>34.527900000001146</c:v>
                </c:pt>
                <c:pt idx="805">
                  <c:v>34.52800000000115</c:v>
                </c:pt>
                <c:pt idx="806">
                  <c:v>34.528100000001153</c:v>
                </c:pt>
                <c:pt idx="807">
                  <c:v>34.528200000001156</c:v>
                </c:pt>
                <c:pt idx="808">
                  <c:v>34.52830000000116</c:v>
                </c:pt>
                <c:pt idx="809">
                  <c:v>34.528400000001163</c:v>
                </c:pt>
                <c:pt idx="810">
                  <c:v>34.528500000001166</c:v>
                </c:pt>
                <c:pt idx="811">
                  <c:v>34.52860000000117</c:v>
                </c:pt>
                <c:pt idx="812">
                  <c:v>34.528700000001173</c:v>
                </c:pt>
                <c:pt idx="813">
                  <c:v>34.528800000001176</c:v>
                </c:pt>
                <c:pt idx="814">
                  <c:v>34.52890000000118</c:v>
                </c:pt>
                <c:pt idx="815">
                  <c:v>34.529000000001183</c:v>
                </c:pt>
                <c:pt idx="816">
                  <c:v>34.529100000001186</c:v>
                </c:pt>
                <c:pt idx="817">
                  <c:v>34.52920000000119</c:v>
                </c:pt>
                <c:pt idx="818">
                  <c:v>34.529300000001193</c:v>
                </c:pt>
                <c:pt idx="819">
                  <c:v>34.529400000001196</c:v>
                </c:pt>
                <c:pt idx="820">
                  <c:v>34.5295000000012</c:v>
                </c:pt>
                <c:pt idx="821">
                  <c:v>34.529600000001203</c:v>
                </c:pt>
                <c:pt idx="822">
                  <c:v>34.529700000001206</c:v>
                </c:pt>
                <c:pt idx="823">
                  <c:v>34.52980000000121</c:v>
                </c:pt>
                <c:pt idx="824">
                  <c:v>34.529900000001213</c:v>
                </c:pt>
                <c:pt idx="825">
                  <c:v>34.530000000001216</c:v>
                </c:pt>
                <c:pt idx="826">
                  <c:v>34.530100000001219</c:v>
                </c:pt>
                <c:pt idx="827">
                  <c:v>34.530200000001223</c:v>
                </c:pt>
                <c:pt idx="828">
                  <c:v>34.530300000001226</c:v>
                </c:pt>
                <c:pt idx="829">
                  <c:v>34.530400000001229</c:v>
                </c:pt>
                <c:pt idx="830">
                  <c:v>34.530500000001233</c:v>
                </c:pt>
                <c:pt idx="831">
                  <c:v>34.530600000001236</c:v>
                </c:pt>
                <c:pt idx="832">
                  <c:v>34.530700000001239</c:v>
                </c:pt>
                <c:pt idx="833">
                  <c:v>34.530800000001243</c:v>
                </c:pt>
                <c:pt idx="834">
                  <c:v>34.530900000001246</c:v>
                </c:pt>
                <c:pt idx="835">
                  <c:v>34.531000000001249</c:v>
                </c:pt>
                <c:pt idx="836">
                  <c:v>34.531100000001253</c:v>
                </c:pt>
                <c:pt idx="837">
                  <c:v>34.531200000001256</c:v>
                </c:pt>
                <c:pt idx="838">
                  <c:v>34.531300000001259</c:v>
                </c:pt>
                <c:pt idx="839">
                  <c:v>34.531400000001263</c:v>
                </c:pt>
                <c:pt idx="840">
                  <c:v>34.531500000001266</c:v>
                </c:pt>
                <c:pt idx="841">
                  <c:v>34.531600000001269</c:v>
                </c:pt>
                <c:pt idx="842">
                  <c:v>34.531700000001273</c:v>
                </c:pt>
                <c:pt idx="843">
                  <c:v>34.531800000001276</c:v>
                </c:pt>
                <c:pt idx="844">
                  <c:v>34.531900000001279</c:v>
                </c:pt>
                <c:pt idx="845">
                  <c:v>34.532000000001283</c:v>
                </c:pt>
                <c:pt idx="846">
                  <c:v>34.532100000001286</c:v>
                </c:pt>
                <c:pt idx="847">
                  <c:v>34.532200000001289</c:v>
                </c:pt>
                <c:pt idx="848">
                  <c:v>34.532300000001293</c:v>
                </c:pt>
                <c:pt idx="849">
                  <c:v>34.532400000001296</c:v>
                </c:pt>
                <c:pt idx="850">
                  <c:v>34.532500000001299</c:v>
                </c:pt>
                <c:pt idx="851">
                  <c:v>34.532600000001302</c:v>
                </c:pt>
                <c:pt idx="852">
                  <c:v>34.532700000001306</c:v>
                </c:pt>
                <c:pt idx="853">
                  <c:v>34.532800000001309</c:v>
                </c:pt>
                <c:pt idx="854">
                  <c:v>34.532900000001312</c:v>
                </c:pt>
                <c:pt idx="855">
                  <c:v>34.533000000001316</c:v>
                </c:pt>
                <c:pt idx="856">
                  <c:v>34.533100000001319</c:v>
                </c:pt>
                <c:pt idx="857">
                  <c:v>34.533200000001322</c:v>
                </c:pt>
                <c:pt idx="858">
                  <c:v>34.533300000001326</c:v>
                </c:pt>
                <c:pt idx="859">
                  <c:v>34.533400000001329</c:v>
                </c:pt>
                <c:pt idx="860">
                  <c:v>34.533500000001332</c:v>
                </c:pt>
                <c:pt idx="861">
                  <c:v>34.533600000001336</c:v>
                </c:pt>
                <c:pt idx="862">
                  <c:v>34.533700000001339</c:v>
                </c:pt>
                <c:pt idx="863">
                  <c:v>34.533800000001342</c:v>
                </c:pt>
                <c:pt idx="864">
                  <c:v>34.533900000001346</c:v>
                </c:pt>
                <c:pt idx="865">
                  <c:v>34.534000000001349</c:v>
                </c:pt>
                <c:pt idx="866">
                  <c:v>34.534100000001352</c:v>
                </c:pt>
                <c:pt idx="867">
                  <c:v>34.534200000001356</c:v>
                </c:pt>
                <c:pt idx="868">
                  <c:v>34.534300000001359</c:v>
                </c:pt>
                <c:pt idx="869">
                  <c:v>34.534400000001362</c:v>
                </c:pt>
                <c:pt idx="870">
                  <c:v>34.534500000001366</c:v>
                </c:pt>
                <c:pt idx="871">
                  <c:v>34.534600000001369</c:v>
                </c:pt>
                <c:pt idx="872">
                  <c:v>34.534700000001372</c:v>
                </c:pt>
                <c:pt idx="873">
                  <c:v>34.534800000001376</c:v>
                </c:pt>
                <c:pt idx="874">
                  <c:v>34.534900000001379</c:v>
                </c:pt>
                <c:pt idx="875">
                  <c:v>34.535000000001382</c:v>
                </c:pt>
                <c:pt idx="876">
                  <c:v>34.535100000001385</c:v>
                </c:pt>
                <c:pt idx="877">
                  <c:v>34.535200000001389</c:v>
                </c:pt>
                <c:pt idx="878">
                  <c:v>34.535300000001392</c:v>
                </c:pt>
                <c:pt idx="879">
                  <c:v>34.535400000001395</c:v>
                </c:pt>
                <c:pt idx="880">
                  <c:v>34.535500000001399</c:v>
                </c:pt>
                <c:pt idx="881">
                  <c:v>34.535600000001402</c:v>
                </c:pt>
                <c:pt idx="882">
                  <c:v>34.535700000001405</c:v>
                </c:pt>
                <c:pt idx="883">
                  <c:v>34.535800000001409</c:v>
                </c:pt>
                <c:pt idx="884">
                  <c:v>34.535900000001412</c:v>
                </c:pt>
                <c:pt idx="885">
                  <c:v>34.536000000001415</c:v>
                </c:pt>
                <c:pt idx="886">
                  <c:v>34.536100000001419</c:v>
                </c:pt>
                <c:pt idx="887">
                  <c:v>34.536200000001422</c:v>
                </c:pt>
                <c:pt idx="888">
                  <c:v>34.536300000001425</c:v>
                </c:pt>
                <c:pt idx="889">
                  <c:v>34.536400000001429</c:v>
                </c:pt>
                <c:pt idx="890">
                  <c:v>34.536500000001432</c:v>
                </c:pt>
                <c:pt idx="891">
                  <c:v>34.536600000001435</c:v>
                </c:pt>
                <c:pt idx="892">
                  <c:v>34.536700000001439</c:v>
                </c:pt>
                <c:pt idx="893">
                  <c:v>34.536800000001442</c:v>
                </c:pt>
                <c:pt idx="894">
                  <c:v>34.536900000001445</c:v>
                </c:pt>
                <c:pt idx="895">
                  <c:v>34.537000000001449</c:v>
                </c:pt>
                <c:pt idx="896">
                  <c:v>34.537100000001452</c:v>
                </c:pt>
                <c:pt idx="897">
                  <c:v>34.537200000001455</c:v>
                </c:pt>
                <c:pt idx="898">
                  <c:v>34.537300000001458</c:v>
                </c:pt>
                <c:pt idx="899">
                  <c:v>34.537400000001462</c:v>
                </c:pt>
                <c:pt idx="900">
                  <c:v>34.537500000001465</c:v>
                </c:pt>
                <c:pt idx="901">
                  <c:v>34.537600000001468</c:v>
                </c:pt>
                <c:pt idx="902">
                  <c:v>34.537700000001472</c:v>
                </c:pt>
                <c:pt idx="903">
                  <c:v>34.537800000001475</c:v>
                </c:pt>
                <c:pt idx="904">
                  <c:v>34.537900000001478</c:v>
                </c:pt>
                <c:pt idx="905">
                  <c:v>34.538000000001482</c:v>
                </c:pt>
                <c:pt idx="906">
                  <c:v>34.538100000001485</c:v>
                </c:pt>
                <c:pt idx="907">
                  <c:v>34.538200000001488</c:v>
                </c:pt>
                <c:pt idx="908">
                  <c:v>34.538300000001492</c:v>
                </c:pt>
                <c:pt idx="909">
                  <c:v>34.538400000001495</c:v>
                </c:pt>
                <c:pt idx="910">
                  <c:v>34.538500000001498</c:v>
                </c:pt>
                <c:pt idx="911">
                  <c:v>34.538600000001502</c:v>
                </c:pt>
                <c:pt idx="912">
                  <c:v>34.538700000001505</c:v>
                </c:pt>
                <c:pt idx="913">
                  <c:v>34.538800000001508</c:v>
                </c:pt>
                <c:pt idx="914">
                  <c:v>34.538900000001512</c:v>
                </c:pt>
                <c:pt idx="915">
                  <c:v>34.539000000001515</c:v>
                </c:pt>
                <c:pt idx="916">
                  <c:v>34.539100000001518</c:v>
                </c:pt>
                <c:pt idx="917">
                  <c:v>34.539200000001522</c:v>
                </c:pt>
                <c:pt idx="918">
                  <c:v>34.539300000001525</c:v>
                </c:pt>
                <c:pt idx="919">
                  <c:v>34.539400000001528</c:v>
                </c:pt>
                <c:pt idx="920">
                  <c:v>34.539500000001532</c:v>
                </c:pt>
                <c:pt idx="921">
                  <c:v>34.539600000001535</c:v>
                </c:pt>
                <c:pt idx="922">
                  <c:v>34.539700000001538</c:v>
                </c:pt>
                <c:pt idx="923">
                  <c:v>34.539800000001541</c:v>
                </c:pt>
                <c:pt idx="924">
                  <c:v>34.539900000001545</c:v>
                </c:pt>
                <c:pt idx="925">
                  <c:v>34.540000000001548</c:v>
                </c:pt>
                <c:pt idx="926">
                  <c:v>34.540100000001551</c:v>
                </c:pt>
                <c:pt idx="927">
                  <c:v>34.540200000001555</c:v>
                </c:pt>
                <c:pt idx="928">
                  <c:v>34.540300000001558</c:v>
                </c:pt>
                <c:pt idx="929">
                  <c:v>34.540400000001561</c:v>
                </c:pt>
                <c:pt idx="930">
                  <c:v>34.540500000001565</c:v>
                </c:pt>
                <c:pt idx="931">
                  <c:v>34.540600000001568</c:v>
                </c:pt>
                <c:pt idx="932">
                  <c:v>34.540700000001571</c:v>
                </c:pt>
                <c:pt idx="933">
                  <c:v>34.540800000001575</c:v>
                </c:pt>
                <c:pt idx="934">
                  <c:v>34.540900000001578</c:v>
                </c:pt>
                <c:pt idx="935">
                  <c:v>34.541000000001581</c:v>
                </c:pt>
                <c:pt idx="936">
                  <c:v>34.541100000001585</c:v>
                </c:pt>
                <c:pt idx="937">
                  <c:v>34.541200000001588</c:v>
                </c:pt>
                <c:pt idx="938">
                  <c:v>34.541300000001591</c:v>
                </c:pt>
                <c:pt idx="939">
                  <c:v>34.541400000001595</c:v>
                </c:pt>
                <c:pt idx="940">
                  <c:v>34.541500000001598</c:v>
                </c:pt>
                <c:pt idx="941">
                  <c:v>34.541600000001601</c:v>
                </c:pt>
                <c:pt idx="942">
                  <c:v>34.541700000001605</c:v>
                </c:pt>
                <c:pt idx="943">
                  <c:v>34.541800000001608</c:v>
                </c:pt>
                <c:pt idx="944">
                  <c:v>34.541900000001611</c:v>
                </c:pt>
                <c:pt idx="945">
                  <c:v>34.542000000001615</c:v>
                </c:pt>
                <c:pt idx="946">
                  <c:v>34.542100000001618</c:v>
                </c:pt>
                <c:pt idx="947">
                  <c:v>34.542200000001621</c:v>
                </c:pt>
                <c:pt idx="948">
                  <c:v>34.542300000001624</c:v>
                </c:pt>
                <c:pt idx="949">
                  <c:v>34.542400000001628</c:v>
                </c:pt>
                <c:pt idx="950">
                  <c:v>34.542500000001631</c:v>
                </c:pt>
                <c:pt idx="951">
                  <c:v>34.542600000001634</c:v>
                </c:pt>
                <c:pt idx="952">
                  <c:v>34.542700000001638</c:v>
                </c:pt>
                <c:pt idx="953">
                  <c:v>34.542800000001641</c:v>
                </c:pt>
                <c:pt idx="954">
                  <c:v>34.542900000001644</c:v>
                </c:pt>
                <c:pt idx="955">
                  <c:v>34.543000000001648</c:v>
                </c:pt>
                <c:pt idx="956">
                  <c:v>34.543100000001651</c:v>
                </c:pt>
                <c:pt idx="957">
                  <c:v>34.543200000001654</c:v>
                </c:pt>
                <c:pt idx="958">
                  <c:v>34.543300000001658</c:v>
                </c:pt>
                <c:pt idx="959">
                  <c:v>34.543400000001661</c:v>
                </c:pt>
                <c:pt idx="960">
                  <c:v>34.543500000001664</c:v>
                </c:pt>
                <c:pt idx="961">
                  <c:v>34.543600000001668</c:v>
                </c:pt>
                <c:pt idx="962">
                  <c:v>34.543700000001671</c:v>
                </c:pt>
                <c:pt idx="963">
                  <c:v>34.543800000001674</c:v>
                </c:pt>
                <c:pt idx="964">
                  <c:v>34.543900000001678</c:v>
                </c:pt>
                <c:pt idx="965">
                  <c:v>34.544000000001681</c:v>
                </c:pt>
                <c:pt idx="966">
                  <c:v>34.544100000001684</c:v>
                </c:pt>
                <c:pt idx="967">
                  <c:v>34.544200000001688</c:v>
                </c:pt>
                <c:pt idx="968">
                  <c:v>34.544300000001691</c:v>
                </c:pt>
                <c:pt idx="969">
                  <c:v>34.544400000001694</c:v>
                </c:pt>
                <c:pt idx="970">
                  <c:v>34.544500000001698</c:v>
                </c:pt>
                <c:pt idx="971">
                  <c:v>34.544600000001701</c:v>
                </c:pt>
                <c:pt idx="972">
                  <c:v>34.544700000001704</c:v>
                </c:pt>
                <c:pt idx="973">
                  <c:v>34.544800000001707</c:v>
                </c:pt>
                <c:pt idx="974">
                  <c:v>34.544900000001711</c:v>
                </c:pt>
                <c:pt idx="975">
                  <c:v>34.545000000001714</c:v>
                </c:pt>
                <c:pt idx="976">
                  <c:v>34.545100000001717</c:v>
                </c:pt>
                <c:pt idx="977">
                  <c:v>34.545200000001721</c:v>
                </c:pt>
                <c:pt idx="978">
                  <c:v>34.545300000001724</c:v>
                </c:pt>
                <c:pt idx="979">
                  <c:v>34.545400000001727</c:v>
                </c:pt>
                <c:pt idx="980">
                  <c:v>34.545500000001731</c:v>
                </c:pt>
                <c:pt idx="981">
                  <c:v>34.545600000001734</c:v>
                </c:pt>
                <c:pt idx="982">
                  <c:v>34.545700000001737</c:v>
                </c:pt>
                <c:pt idx="983">
                  <c:v>34.545800000001741</c:v>
                </c:pt>
                <c:pt idx="984">
                  <c:v>34.545900000001744</c:v>
                </c:pt>
                <c:pt idx="985">
                  <c:v>34.546000000001747</c:v>
                </c:pt>
                <c:pt idx="986">
                  <c:v>34.546100000001751</c:v>
                </c:pt>
                <c:pt idx="987">
                  <c:v>34.546200000001754</c:v>
                </c:pt>
                <c:pt idx="988">
                  <c:v>34.546300000001757</c:v>
                </c:pt>
                <c:pt idx="989">
                  <c:v>34.546400000001761</c:v>
                </c:pt>
                <c:pt idx="990">
                  <c:v>34.546500000001764</c:v>
                </c:pt>
                <c:pt idx="991">
                  <c:v>34.546600000001767</c:v>
                </c:pt>
                <c:pt idx="992">
                  <c:v>34.546700000001771</c:v>
                </c:pt>
                <c:pt idx="993">
                  <c:v>34.546800000001774</c:v>
                </c:pt>
                <c:pt idx="994">
                  <c:v>34.546900000001777</c:v>
                </c:pt>
                <c:pt idx="995">
                  <c:v>34.547000000001781</c:v>
                </c:pt>
                <c:pt idx="996">
                  <c:v>34.547100000001784</c:v>
                </c:pt>
                <c:pt idx="997">
                  <c:v>34.547200000001787</c:v>
                </c:pt>
                <c:pt idx="998">
                  <c:v>34.54730000000179</c:v>
                </c:pt>
                <c:pt idx="999">
                  <c:v>34.547400000001794</c:v>
                </c:pt>
                <c:pt idx="1000">
                  <c:v>34.547500000001797</c:v>
                </c:pt>
              </c:numCache>
            </c:numRef>
          </c:xVal>
          <c:yVal>
            <c:numRef>
              <c:f>Calculs!$J$4:$J$1004</c:f>
              <c:numCache>
                <c:formatCode>0.00</c:formatCode>
                <c:ptCount val="1001"/>
                <c:pt idx="0">
                  <c:v>0</c:v>
                </c:pt>
                <c:pt idx="1">
                  <c:v>1.6957816959563583E-4</c:v>
                </c:pt>
                <c:pt idx="2">
                  <c:v>1.3839653385038508E-3</c:v>
                </c:pt>
                <c:pt idx="3">
                  <c:v>4.778902035927248E-3</c:v>
                </c:pt>
                <c:pt idx="4">
                  <c:v>1.073960426727784E-2</c:v>
                </c:pt>
                <c:pt idx="5">
                  <c:v>1.9176209198499924E-2</c:v>
                </c:pt>
                <c:pt idx="6">
                  <c:v>3.0026117667229148E-2</c:v>
                </c:pt>
                <c:pt idx="7">
                  <c:v>4.3281576366015095E-2</c:v>
                </c:pt>
                <c:pt idx="8">
                  <c:v>5.896229948512597E-2</c:v>
                </c:pt>
                <c:pt idx="9">
                  <c:v>7.7088009823556486E-2</c:v>
                </c:pt>
                <c:pt idx="10">
                  <c:v>9.7678438317785166E-2</c:v>
                </c:pt>
                <c:pt idx="11">
                  <c:v>0.12075046884088642</c:v>
                </c:pt>
                <c:pt idx="12">
                  <c:v>0.1463152747010413</c:v>
                </c:pt>
                <c:pt idx="13">
                  <c:v>0.1743811606709067</c:v>
                </c:pt>
                <c:pt idx="14">
                  <c:v>0.20495641338840004</c:v>
                </c:pt>
                <c:pt idx="15">
                  <c:v>0.23804930102275509</c:v>
                </c:pt>
                <c:pt idx="16">
                  <c:v>0.27366807293961726</c:v>
                </c:pt>
                <c:pt idx="17">
                  <c:v>0.31182095936520671</c:v>
                </c:pt>
                <c:pt idx="18">
                  <c:v>0.35251617104957855</c:v>
                </c:pt>
                <c:pt idx="19">
                  <c:v>0.39576189892900909</c:v>
                </c:pt>
                <c:pt idx="20">
                  <c:v>0.44156631378753808</c:v>
                </c:pt>
                <c:pt idx="21">
                  <c:v>0.48993641941544785</c:v>
                </c:pt>
                <c:pt idx="22">
                  <c:v>0.54087690251153719</c:v>
                </c:pt>
                <c:pt idx="23">
                  <c:v>0.59439127416576265</c:v>
                </c:pt>
                <c:pt idx="24">
                  <c:v>0.65048301466668246</c:v>
                </c:pt>
                <c:pt idx="25">
                  <c:v>0.70915557330039924</c:v>
                </c:pt>
                <c:pt idx="26">
                  <c:v>0.77049631420155329</c:v>
                </c:pt>
                <c:pt idx="27">
                  <c:v>0.83459620011515789</c:v>
                </c:pt>
                <c:pt idx="28">
                  <c:v>0.90146578415691825</c:v>
                </c:pt>
                <c:pt idx="29">
                  <c:v>0.97111540614389869</c:v>
                </c:pt>
                <c:pt idx="30">
                  <c:v>1.0435551432932373</c:v>
                </c:pt>
                <c:pt idx="31">
                  <c:v>1.1187948259848213</c:v>
                </c:pt>
                <c:pt idx="32">
                  <c:v>1.1968440518949486</c:v>
                </c:pt>
                <c:pt idx="33">
                  <c:v>1.2777121987153222</c:v>
                </c:pt>
                <c:pt idx="34">
                  <c:v>1.3614084356375902</c:v>
                </c:pt>
                <c:pt idx="35">
                  <c:v>1.4479417337558287</c:v>
                </c:pt>
                <c:pt idx="36">
                  <c:v>1.5373208755165637</c:v>
                </c:pt>
                <c:pt idx="37">
                  <c:v>1.6295544633271009</c:v>
                </c:pt>
                <c:pt idx="38">
                  <c:v>1.7246509274173034</c:v>
                </c:pt>
                <c:pt idx="39">
                  <c:v>1.822618533036904</c:v>
                </c:pt>
                <c:pt idx="40">
                  <c:v>1.923465387059476</c:v>
                </c:pt>
                <c:pt idx="41">
                  <c:v>2.0271985210776444</c:v>
                </c:pt>
                <c:pt idx="42">
                  <c:v>2.1338229670784665</c:v>
                </c:pt>
                <c:pt idx="43">
                  <c:v>2.2433426764729023</c:v>
                </c:pt>
                <c:pt idx="44">
                  <c:v>2.3557614460084491</c:v>
                </c:pt>
                <c:pt idx="45">
                  <c:v>2.4710829228325073</c:v>
                </c:pt>
                <c:pt idx="46">
                  <c:v>2.5893106091989457</c:v>
                </c:pt>
                <c:pt idx="47">
                  <c:v>2.7104478668508762</c:v>
                </c:pt>
                <c:pt idx="48">
                  <c:v>2.8344979211089392</c:v>
                </c:pt>
                <c:pt idx="49">
                  <c:v>2.9614638646911926</c:v>
                </c:pt>
                <c:pt idx="50">
                  <c:v>3.0913486612878969</c:v>
                </c:pt>
                <c:pt idx="51">
                  <c:v>3.2241551489120384</c:v>
                </c:pt>
                <c:pt idx="52">
                  <c:v>3.3598860430443009</c:v>
                </c:pt>
                <c:pt idx="53">
                  <c:v>3.4985439395892959</c:v>
                </c:pt>
                <c:pt idx="54">
                  <c:v>3.6401313176582173</c:v>
                </c:pt>
                <c:pt idx="55">
                  <c:v>3.7846505421916072</c:v>
                </c:pt>
                <c:pt idx="56">
                  <c:v>3.9321038664346264</c:v>
                </c:pt>
                <c:pt idx="57">
                  <c:v>4.0824934342760635</c:v>
                </c:pt>
                <c:pt idx="58">
                  <c:v>4.2358212824612975</c:v>
                </c:pt>
                <c:pt idx="59">
                  <c:v>4.3920893426884984</c:v>
                </c:pt>
                <c:pt idx="60">
                  <c:v>4.5512994435965455</c:v>
                </c:pt>
                <c:pt idx="61">
                  <c:v>4.7134533126524012</c:v>
                </c:pt>
                <c:pt idx="62">
                  <c:v>4.8785525779450136</c:v>
                </c:pt>
                <c:pt idx="63">
                  <c:v>5.0465987698922419</c:v>
                </c:pt>
                <c:pt idx="64">
                  <c:v>5.2175933228667546</c:v>
                </c:pt>
                <c:pt idx="65">
                  <c:v>5.3915375767463658</c:v>
                </c:pt>
                <c:pt idx="66">
                  <c:v>5.5684327783938485</c:v>
                </c:pt>
                <c:pt idx="67">
                  <c:v>5.7482800830708607</c:v>
                </c:pt>
                <c:pt idx="68">
                  <c:v>5.9310805557902642</c:v>
                </c:pt>
                <c:pt idx="69">
                  <c:v>6.1168351726107906</c:v>
                </c:pt>
                <c:pt idx="70">
                  <c:v>6.3055448218777119</c:v>
                </c:pt>
                <c:pt idx="71">
                  <c:v>6.4972103054129038</c:v>
                </c:pt>
                <c:pt idx="72">
                  <c:v>6.6918323396574353</c:v>
                </c:pt>
                <c:pt idx="73">
                  <c:v>6.8894115567696108</c:v>
                </c:pt>
                <c:pt idx="74">
                  <c:v>7.0899485056811633</c:v>
                </c:pt>
                <c:pt idx="75">
                  <c:v>7.2934436531141227</c:v>
                </c:pt>
                <c:pt idx="76">
                  <c:v>7.4998973845607013</c:v>
                </c:pt>
                <c:pt idx="77">
                  <c:v>7.7093100052283852</c:v>
                </c:pt>
                <c:pt idx="78">
                  <c:v>7.9216817409522688</c:v>
                </c:pt>
                <c:pt idx="79">
                  <c:v>8.1370127390765354</c:v>
                </c:pt>
                <c:pt idx="80">
                  <c:v>8.3553030693068671</c:v>
                </c:pt>
                <c:pt idx="81">
                  <c:v>8.5765517384259198</c:v>
                </c:pt>
                <c:pt idx="82">
                  <c:v>8.8007557006205115</c:v>
                </c:pt>
                <c:pt idx="83">
                  <c:v>9.0279108389529092</c:v>
                </c:pt>
                <c:pt idx="84">
                  <c:v>9.2580129513364415</c:v>
                </c:pt>
                <c:pt idx="85">
                  <c:v>9.4910577515926189</c:v>
                </c:pt>
                <c:pt idx="86">
                  <c:v>9.7270408704825488</c:v>
                </c:pt>
                <c:pt idx="87">
                  <c:v>9.9659578567140716</c:v>
                </c:pt>
                <c:pt idx="88">
                  <c:v>10.207804177925949</c:v>
                </c:pt>
                <c:pt idx="89">
                  <c:v>10.452575221650353</c:v>
                </c:pt>
                <c:pt idx="90">
                  <c:v>10.700266296254828</c:v>
                </c:pt>
                <c:pt idx="91">
                  <c:v>10.950872192203818</c:v>
                </c:pt>
                <c:pt idx="92">
                  <c:v>11.204386741564212</c:v>
                </c:pt>
                <c:pt idx="93">
                  <c:v>11.460803256464846</c:v>
                </c:pt>
                <c:pt idx="94">
                  <c:v>11.720114969347629</c:v>
                </c:pt>
                <c:pt idx="95">
                  <c:v>11.982315033962282</c:v>
                </c:pt>
                <c:pt idx="96">
                  <c:v>12.247396526344394</c:v>
                </c:pt>
                <c:pt idx="97">
                  <c:v>12.515352445777618</c:v>
                </c:pt>
                <c:pt idx="98">
                  <c:v>12.786175715740807</c:v>
                </c:pt>
                <c:pt idx="99">
                  <c:v>13.059859184840819</c:v>
                </c:pt>
                <c:pt idx="100">
                  <c:v>13.33639562773168</c:v>
                </c:pt>
                <c:pt idx="101">
                  <c:v>13.615777675114689</c:v>
                </c:pt>
                <c:pt idx="102">
                  <c:v>13.897997743476244</c:v>
                </c:pt>
                <c:pt idx="103">
                  <c:v>14.183048106587419</c:v>
                </c:pt>
                <c:pt idx="104">
                  <c:v>14.47092096725299</c:v>
                </c:pt>
                <c:pt idx="105">
                  <c:v>14.761608458192855</c:v>
                </c:pt>
                <c:pt idx="106">
                  <c:v>15.055102642912953</c:v>
                </c:pt>
                <c:pt idx="107">
                  <c:v>15.351395516566152</c:v>
                </c:pt>
                <c:pt idx="108">
                  <c:v>15.65047900680354</c:v>
                </c:pt>
                <c:pt idx="109">
                  <c:v>15.952344974616516</c:v>
                </c:pt>
                <c:pt idx="110">
                  <c:v>16.256985215170079</c:v>
                </c:pt>
                <c:pt idx="111">
                  <c:v>16.564392281236398</c:v>
                </c:pt>
                <c:pt idx="112">
                  <c:v>16.874560309206224</c:v>
                </c:pt>
                <c:pt idx="113">
                  <c:v>17.187484200130918</c:v>
                </c:pt>
                <c:pt idx="114">
                  <c:v>17.503158798057655</c:v>
                </c:pt>
                <c:pt idx="115">
                  <c:v>17.821578890598019</c:v>
                </c:pt>
                <c:pt idx="116">
                  <c:v>18.142739209491818</c:v>
                </c:pt>
                <c:pt idx="117">
                  <c:v>18.466634431166291</c:v>
                </c:pt>
                <c:pt idx="118">
                  <c:v>18.793259177290949</c:v>
                </c:pt>
                <c:pt idx="119">
                  <c:v>19.122608015328215</c:v>
                </c:pt>
                <c:pt idx="120">
                  <c:v>19.454675459080029</c:v>
                </c:pt>
                <c:pt idx="121">
                  <c:v>19.789454595155842</c:v>
                </c:pt>
                <c:pt idx="122">
                  <c:v>20.12693570556025</c:v>
                </c:pt>
                <c:pt idx="123">
                  <c:v>20.467107638295079</c:v>
                </c:pt>
                <c:pt idx="124">
                  <c:v>20.809959182019455</c:v>
                </c:pt>
                <c:pt idx="125">
                  <c:v>21.155479066946388</c:v>
                </c:pt>
                <c:pt idx="126">
                  <c:v>21.503655965732861</c:v>
                </c:pt>
                <c:pt idx="127">
                  <c:v>21.854478494363537</c:v>
                </c:pt>
                <c:pt idx="128">
                  <c:v>22.207935213028289</c:v>
                </c:pt>
                <c:pt idx="129">
                  <c:v>22.564014626993647</c:v>
                </c:pt>
                <c:pt idx="130">
                  <c:v>22.922705187468331</c:v>
                </c:pt>
                <c:pt idx="131">
                  <c:v>23.283994930335712</c:v>
                </c:pt>
                <c:pt idx="132">
                  <c:v>23.647871113988451</c:v>
                </c:pt>
                <c:pt idx="133">
                  <c:v>24.014320581464098</c:v>
                </c:pt>
                <c:pt idx="134">
                  <c:v>24.383330123516895</c:v>
                </c:pt>
                <c:pt idx="135">
                  <c:v>24.754886479553907</c:v>
                </c:pt>
                <c:pt idx="136">
                  <c:v>25.128976338564851</c:v>
                </c:pt>
                <c:pt idx="137">
                  <c:v>25.505586340045664</c:v>
                </c:pt>
                <c:pt idx="138">
                  <c:v>25.884703074915919</c:v>
                </c:pt>
                <c:pt idx="139">
                  <c:v>26.266313086430145</c:v>
                </c:pt>
                <c:pt idx="140">
                  <c:v>26.65040287108312</c:v>
                </c:pt>
                <c:pt idx="141">
                  <c:v>27.036954522574796</c:v>
                </c:pt>
                <c:pt idx="142">
                  <c:v>27.425941366613301</c:v>
                </c:pt>
                <c:pt idx="143">
                  <c:v>27.81733231131523</c:v>
                </c:pt>
                <c:pt idx="144">
                  <c:v>28.211096207438104</c:v>
                </c:pt>
                <c:pt idx="145">
                  <c:v>28.607201850611194</c:v>
                </c:pt>
                <c:pt idx="146">
                  <c:v>29.005617983542404</c:v>
                </c:pt>
                <c:pt idx="147">
                  <c:v>29.406313298201276</c:v>
                </c:pt>
                <c:pt idx="148">
                  <c:v>29.809256437978117</c:v>
                </c:pt>
                <c:pt idx="149">
                  <c:v>30.214415999819291</c:v>
                </c:pt>
                <c:pt idx="150">
                  <c:v>30.62176053633867</c:v>
                </c:pt>
                <c:pt idx="151">
                  <c:v>31.03125855790525</c:v>
                </c:pt>
                <c:pt idx="152">
                  <c:v>31.442878534706939</c:v>
                </c:pt>
                <c:pt idx="153">
                  <c:v>31.856588898790498</c:v>
                </c:pt>
                <c:pt idx="154">
                  <c:v>32.272358046077642</c:v>
                </c:pt>
                <c:pt idx="155">
                  <c:v>32.690154338357289</c:v>
                </c:pt>
                <c:pt idx="156">
                  <c:v>33.109925292568043</c:v>
                </c:pt>
                <c:pt idx="157">
                  <c:v>33.531576743657929</c:v>
                </c:pt>
                <c:pt idx="158">
                  <c:v>33.9549936532948</c:v>
                </c:pt>
                <c:pt idx="159">
                  <c:v>34.380060950786572</c:v>
                </c:pt>
                <c:pt idx="160">
                  <c:v>34.806663546494192</c:v>
                </c:pt>
                <c:pt idx="161">
                  <c:v>35.234659815232618</c:v>
                </c:pt>
                <c:pt idx="162">
                  <c:v>35.663855068079599</c:v>
                </c:pt>
                <c:pt idx="163">
                  <c:v>36.094030657488965</c:v>
                </c:pt>
                <c:pt idx="164">
                  <c:v>36.524973107055374</c:v>
                </c:pt>
                <c:pt idx="165">
                  <c:v>36.956497005845797</c:v>
                </c:pt>
                <c:pt idx="166">
                  <c:v>37.388467889308743</c:v>
                </c:pt>
                <c:pt idx="167">
                  <c:v>37.820757497127204</c:v>
                </c:pt>
                <c:pt idx="168">
                  <c:v>38.253213027818859</c:v>
                </c:pt>
                <c:pt idx="169">
                  <c:v>38.6856365612243</c:v>
                </c:pt>
                <c:pt idx="170">
                  <c:v>39.11777852971872</c:v>
                </c:pt>
                <c:pt idx="171">
                  <c:v>39.549464343421292</c:v>
                </c:pt>
                <c:pt idx="172">
                  <c:v>39.980650836982562</c:v>
                </c:pt>
                <c:pt idx="173">
                  <c:v>40.411339490822122</c:v>
                </c:pt>
                <c:pt idx="174">
                  <c:v>40.841531779063047</c:v>
                </c:pt>
                <c:pt idx="175">
                  <c:v>41.27122916956823</c:v>
                </c:pt>
                <c:pt idx="176">
                  <c:v>41.700433123976502</c:v>
                </c:pt>
                <c:pt idx="177">
                  <c:v>42.129145097738451</c:v>
                </c:pt>
                <c:pt idx="178">
                  <c:v>42.557366540152003</c:v>
                </c:pt>
                <c:pt idx="179">
                  <c:v>42.985098894397758</c:v>
                </c:pt>
                <c:pt idx="180">
                  <c:v>43.412343597574029</c:v>
                </c:pt>
                <c:pt idx="181">
                  <c:v>43.839102080731685</c:v>
                </c:pt>
                <c:pt idx="182">
                  <c:v>44.265375768908697</c:v>
                </c:pt>
                <c:pt idx="183">
                  <c:v>44.691166081164468</c:v>
                </c:pt>
                <c:pt idx="184">
                  <c:v>45.116474430613884</c:v>
                </c:pt>
                <c:pt idx="185">
                  <c:v>45.54130222446117</c:v>
                </c:pt>
                <c:pt idx="186">
                  <c:v>45.965650864033449</c:v>
                </c:pt>
                <c:pt idx="187">
                  <c:v>46.389521744814118</c:v>
                </c:pt>
                <c:pt idx="188">
                  <c:v>46.812916256475937</c:v>
                </c:pt>
                <c:pt idx="189">
                  <c:v>47.235835782913902</c:v>
                </c:pt>
                <c:pt idx="190">
                  <c:v>47.658281702277911</c:v>
                </c:pt>
                <c:pt idx="191">
                  <c:v>48.080255387005145</c:v>
                </c:pt>
                <c:pt idx="192">
                  <c:v>48.501758203852276</c:v>
                </c:pt>
                <c:pt idx="193">
                  <c:v>48.922791513927407</c:v>
                </c:pt>
                <c:pt idx="194">
                  <c:v>49.343356672721804</c:v>
                </c:pt>
                <c:pt idx="195">
                  <c:v>49.763455030141401</c:v>
                </c:pt>
                <c:pt idx="196">
                  <c:v>50.183087930538079</c:v>
                </c:pt>
                <c:pt idx="197">
                  <c:v>50.602256712740747</c:v>
                </c:pt>
                <c:pt idx="198">
                  <c:v>51.020962710086167</c:v>
                </c:pt>
                <c:pt idx="199">
                  <c:v>51.439207250449613</c:v>
                </c:pt>
                <c:pt idx="200">
                  <c:v>51.856991656275248</c:v>
                </c:pt>
                <c:pt idx="201">
                  <c:v>56.009630325216804</c:v>
                </c:pt>
                <c:pt idx="202">
                  <c:v>60.117102451203102</c:v>
                </c:pt>
                <c:pt idx="203">
                  <c:v>64.180681036516816</c:v>
                </c:pt>
                <c:pt idx="204">
                  <c:v>68.2015885313089</c:v>
                </c:pt>
                <c:pt idx="205">
                  <c:v>72.180999538542025</c:v>
                </c:pt>
                <c:pt idx="206">
                  <c:v>76.120043339410273</c:v>
                </c:pt>
                <c:pt idx="207">
                  <c:v>80.019806253428101</c:v>
                </c:pt>
                <c:pt idx="208">
                  <c:v>83.881333846084317</c:v>
                </c:pt>
                <c:pt idx="209">
                  <c:v>87.705632995793437</c:v>
                </c:pt>
                <c:pt idx="210">
                  <c:v>91.493673830832222</c:v>
                </c:pt>
                <c:pt idx="211">
                  <c:v>95.246391546010102</c:v>
                </c:pt>
                <c:pt idx="212">
                  <c:v>98.964688107976272</c:v>
                </c:pt>
                <c:pt idx="213">
                  <c:v>102.64943385730378</c:v>
                </c:pt>
                <c:pt idx="214">
                  <c:v>106.30146901480181</c:v>
                </c:pt>
                <c:pt idx="215">
                  <c:v>109.92160509888529</c:v>
                </c:pt>
                <c:pt idx="216">
                  <c:v>113.51062626026651</c:v>
                </c:pt>
                <c:pt idx="217">
                  <c:v>117.06929053972293</c:v>
                </c:pt>
                <c:pt idx="218">
                  <c:v>120.59833105423142</c:v>
                </c:pt>
                <c:pt idx="219">
                  <c:v>124.09845711633756</c:v>
                </c:pt>
                <c:pt idx="220">
                  <c:v>127.57035529124532</c:v>
                </c:pt>
                <c:pt idx="221">
                  <c:v>131.01469039576361</c:v>
                </c:pt>
                <c:pt idx="222">
                  <c:v>134.43210644292708</c:v>
                </c:pt>
                <c:pt idx="223">
                  <c:v>137.82322753581877</c:v>
                </c:pt>
                <c:pt idx="224">
                  <c:v>141.18865871385603</c:v>
                </c:pt>
                <c:pt idx="225">
                  <c:v>144.52898675455856</c:v>
                </c:pt>
                <c:pt idx="226">
                  <c:v>147.84478093359527</c:v>
                </c:pt>
                <c:pt idx="227">
                  <c:v>151.13659374570221</c:v>
                </c:pt>
                <c:pt idx="228">
                  <c:v>154.40496158887737</c:v>
                </c:pt>
                <c:pt idx="229">
                  <c:v>157.65040541408652</c:v>
                </c:pt>
                <c:pt idx="230">
                  <c:v>160.87343134255599</c:v>
                </c:pt>
                <c:pt idx="231">
                  <c:v>164.07453125258348</c:v>
                </c:pt>
                <c:pt idx="232">
                  <c:v>167.25418333766416</c:v>
                </c:pt>
                <c:pt idx="233">
                  <c:v>170.41285263760633</c:v>
                </c:pt>
                <c:pt idx="234">
                  <c:v>173.55099154419696</c:v>
                </c:pt>
                <c:pt idx="235">
                  <c:v>176.66904028287269</c:v>
                </c:pt>
                <c:pt idx="236">
                  <c:v>179.76742737175522</c:v>
                </c:pt>
                <c:pt idx="237">
                  <c:v>182.84657005931982</c:v>
                </c:pt>
                <c:pt idx="238">
                  <c:v>185.90687474188312</c:v>
                </c:pt>
                <c:pt idx="239">
                  <c:v>188.94873736201978</c:v>
                </c:pt>
                <c:pt idx="240">
                  <c:v>191.97254378894581</c:v>
                </c:pt>
                <c:pt idx="241">
                  <c:v>194.97867018184064</c:v>
                </c:pt>
                <c:pt idx="242">
                  <c:v>197.96748333701902</c:v>
                </c:pt>
                <c:pt idx="243">
                  <c:v>200.93934101980605</c:v>
                </c:pt>
                <c:pt idx="244">
                  <c:v>203.89459228191669</c:v>
                </c:pt>
                <c:pt idx="245">
                  <c:v>206.83357776509104</c:v>
                </c:pt>
                <c:pt idx="246">
                  <c:v>209.75662999169126</c:v>
                </c:pt>
                <c:pt idx="247">
                  <c:v>212.66407364292306</c:v>
                </c:pt>
                <c:pt idx="248">
                  <c:v>215.55622582530498</c:v>
                </c:pt>
                <c:pt idx="249">
                  <c:v>218.43339632597153</c:v>
                </c:pt>
                <c:pt idx="250">
                  <c:v>221.29588785736109</c:v>
                </c:pt>
                <c:pt idx="251">
                  <c:v>224.14399629180792</c:v>
                </c:pt>
                <c:pt idx="252">
                  <c:v>226.97801088652622</c:v>
                </c:pt>
                <c:pt idx="253">
                  <c:v>229.79821449944677</c:v>
                </c:pt>
                <c:pt idx="254">
                  <c:v>232.60488379633932</c:v>
                </c:pt>
                <c:pt idx="255">
                  <c:v>235.3982894496294</c:v>
                </c:pt>
                <c:pt idx="256">
                  <c:v>238.17869632929475</c:v>
                </c:pt>
                <c:pt idx="257">
                  <c:v>240.94636368620453</c:v>
                </c:pt>
                <c:pt idx="258">
                  <c:v>243.70154532824381</c:v>
                </c:pt>
                <c:pt idx="259">
                  <c:v>246.44448978954659</c:v>
                </c:pt>
                <c:pt idx="260">
                  <c:v>249.1754404931423</c:v>
                </c:pt>
                <c:pt idx="261">
                  <c:v>251.89463590730318</c:v>
                </c:pt>
                <c:pt idx="262">
                  <c:v>254.60230969586414</c:v>
                </c:pt>
                <c:pt idx="263">
                  <c:v>257.2986908627712</c:v>
                </c:pt>
                <c:pt idx="264">
                  <c:v>259.98400389109992</c:v>
                </c:pt>
                <c:pt idx="265">
                  <c:v>262.65846887677139</c:v>
                </c:pt>
                <c:pt idx="266">
                  <c:v>265.32230165718136</c:v>
                </c:pt>
                <c:pt idx="267">
                  <c:v>267.97571393494349</c:v>
                </c:pt>
                <c:pt idx="268">
                  <c:v>270.61891339693904</c:v>
                </c:pt>
                <c:pt idx="269">
                  <c:v>273.25210382885064</c:v>
                </c:pt>
                <c:pt idx="270">
                  <c:v>275.87548522535013</c:v>
                </c:pt>
                <c:pt idx="271">
                  <c:v>278.48925389609803</c:v>
                </c:pt>
                <c:pt idx="272">
                  <c:v>281.09360256770367</c:v>
                </c:pt>
                <c:pt idx="273">
                  <c:v>283.68872048178457</c:v>
                </c:pt>
                <c:pt idx="274">
                  <c:v>286.27479348925584</c:v>
                </c:pt>
                <c:pt idx="275">
                  <c:v>288.85200414096948</c:v>
                </c:pt>
                <c:pt idx="276">
                  <c:v>291.42053177481762</c:v>
                </c:pt>
                <c:pt idx="277">
                  <c:v>293.98055259940253</c:v>
                </c:pt>
                <c:pt idx="278">
                  <c:v>296.53223977437062</c:v>
                </c:pt>
                <c:pt idx="279">
                  <c:v>299.07576348749768</c:v>
                </c:pt>
                <c:pt idx="280">
                  <c:v>301.6112910286061</c:v>
                </c:pt>
                <c:pt idx="281">
                  <c:v>304.13898686038601</c:v>
                </c:pt>
                <c:pt idx="282">
                  <c:v>306.65901268618563</c:v>
                </c:pt>
                <c:pt idx="283">
                  <c:v>309.17152751482701</c:v>
                </c:pt>
                <c:pt idx="284">
                  <c:v>311.67668772249681</c:v>
                </c:pt>
                <c:pt idx="285">
                  <c:v>314.17464711175353</c:v>
                </c:pt>
                <c:pt idx="286">
                  <c:v>316.66555696768387</c:v>
                </c:pt>
                <c:pt idx="287">
                  <c:v>319.14956611123449</c:v>
                </c:pt>
                <c:pt idx="288">
                  <c:v>321.62682094973547</c:v>
                </c:pt>
                <c:pt idx="289">
                  <c:v>324.09746552462417</c:v>
                </c:pt>
                <c:pt idx="290">
                  <c:v>326.56164155636969</c:v>
                </c:pt>
                <c:pt idx="291">
                  <c:v>329.01948848658816</c:v>
                </c:pt>
                <c:pt idx="292">
                  <c:v>331.47114351733018</c:v>
                </c:pt>
                <c:pt idx="293">
                  <c:v>333.91674164751225</c:v>
                </c:pt>
                <c:pt idx="294">
                  <c:v>336.35641570645294</c:v>
                </c:pt>
                <c:pt idx="295">
                  <c:v>338.79029638446406</c:v>
                </c:pt>
                <c:pt idx="296">
                  <c:v>341.21851226043663</c:v>
                </c:pt>
                <c:pt idx="297">
                  <c:v>343.64118982634773</c:v>
                </c:pt>
                <c:pt idx="298">
                  <c:v>346.05845350860398</c:v>
                </c:pt>
                <c:pt idx="299">
                  <c:v>348.47042568612255</c:v>
                </c:pt>
                <c:pt idx="300">
                  <c:v>350.87722670503769</c:v>
                </c:pt>
                <c:pt idx="301">
                  <c:v>353.27897488990641</c:v>
                </c:pt>
                <c:pt idx="302">
                  <c:v>355.67578655127193</c:v>
                </c:pt>
                <c:pt idx="303">
                  <c:v>358.06777598942739</c:v>
                </c:pt>
                <c:pt idx="304">
                  <c:v>360.45505549420744</c:v>
                </c:pt>
                <c:pt idx="305">
                  <c:v>362.83773534061845</c:v>
                </c:pt>
                <c:pt idx="306">
                  <c:v>365.21592378010178</c:v>
                </c:pt>
                <c:pt idx="307">
                  <c:v>367.58972702720831</c:v>
                </c:pt>
                <c:pt idx="308">
                  <c:v>369.95924924144765</c:v>
                </c:pt>
                <c:pt idx="309">
                  <c:v>372.32459250405992</c:v>
                </c:pt>
                <c:pt idx="310">
                  <c:v>374.68585678944595</c:v>
                </c:pt>
                <c:pt idx="311">
                  <c:v>377.04313993098157</c:v>
                </c:pt>
                <c:pt idx="312">
                  <c:v>379.39653758093448</c:v>
                </c:pt>
                <c:pt idx="313">
                  <c:v>381.74614316420104</c:v>
                </c:pt>
                <c:pt idx="314">
                  <c:v>384.09204782558447</c:v>
                </c:pt>
                <c:pt idx="315">
                  <c:v>386.43434037034859</c:v>
                </c:pt>
                <c:pt idx="316">
                  <c:v>388.77310719780473</c:v>
                </c:pt>
                <c:pt idx="317">
                  <c:v>391.10843222772428</c:v>
                </c:pt>
                <c:pt idx="318">
                  <c:v>393.44039681942178</c:v>
                </c:pt>
                <c:pt idx="319">
                  <c:v>395.76907968342186</c:v>
                </c:pt>
                <c:pt idx="320">
                  <c:v>398.09455678571589</c:v>
                </c:pt>
                <c:pt idx="321">
                  <c:v>400.41690124472996</c:v>
                </c:pt>
                <c:pt idx="322">
                  <c:v>402.73618322126896</c:v>
                </c:pt>
                <c:pt idx="323">
                  <c:v>405.05246980187627</c:v>
                </c:pt>
                <c:pt idx="324">
                  <c:v>407.36582487625202</c:v>
                </c:pt>
                <c:pt idx="325">
                  <c:v>409.6763090096083</c:v>
                </c:pt>
                <c:pt idx="326">
                  <c:v>411.98397931110253</c:v>
                </c:pt>
                <c:pt idx="327">
                  <c:v>414.2888892997745</c:v>
                </c:pt>
                <c:pt idx="328">
                  <c:v>416.59108876971067</c:v>
                </c:pt>
                <c:pt idx="329">
                  <c:v>418.89062365645776</c:v>
                </c:pt>
                <c:pt idx="330">
                  <c:v>421.1875359069881</c:v>
                </c:pt>
                <c:pt idx="331">
                  <c:v>423.48186335576395</c:v>
                </c:pt>
                <c:pt idx="332">
                  <c:v>425.7736396096326</c:v>
                </c:pt>
                <c:pt idx="333">
                  <c:v>428.062893944385</c:v>
                </c:pt>
                <c:pt idx="334">
                  <c:v>430.34965121580746</c:v>
                </c:pt>
                <c:pt idx="335">
                  <c:v>432.63393178793035</c:v>
                </c:pt>
                <c:pt idx="336">
                  <c:v>434.91575148092232</c:v>
                </c:pt>
                <c:pt idx="337">
                  <c:v>437.19512154068991</c:v>
                </c:pt>
                <c:pt idx="338">
                  <c:v>439.47204863173897</c:v>
                </c:pt>
                <c:pt idx="339">
                  <c:v>441.74653485425313</c:v>
                </c:pt>
                <c:pt idx="340">
                  <c:v>444.01857778568552</c:v>
                </c:pt>
                <c:pt idx="341">
                  <c:v>446.28817054647783</c:v>
                </c:pt>
                <c:pt idx="342">
                  <c:v>448.55530188886519</c:v>
                </c:pt>
                <c:pt idx="343">
                  <c:v>450.81995630712885</c:v>
                </c:pt>
                <c:pt idx="344">
                  <c:v>453.08211416716307</c:v>
                </c:pt>
                <c:pt idx="345">
                  <c:v>455.34175185284442</c:v>
                </c:pt>
                <c:pt idx="346">
                  <c:v>457.59884192644779</c:v>
                </c:pt>
                <c:pt idx="347">
                  <c:v>459.85335330024071</c:v>
                </c:pt>
                <c:pt idx="348">
                  <c:v>462.10525141639926</c:v>
                </c:pt>
                <c:pt idx="349">
                  <c:v>464.35449843250223</c:v>
                </c:pt>
                <c:pt idx="350">
                  <c:v>466.6010534100609</c:v>
                </c:pt>
                <c:pt idx="351">
                  <c:v>468.84487250379647</c:v>
                </c:pt>
                <c:pt idx="352">
                  <c:v>471.08590914967152</c:v>
                </c:pt>
                <c:pt idx="353">
                  <c:v>473.3241142499889</c:v>
                </c:pt>
                <c:pt idx="354">
                  <c:v>475.55943635417748</c:v>
                </c:pt>
                <c:pt idx="355">
                  <c:v>477.79182183417583</c:v>
                </c:pt>
                <c:pt idx="356">
                  <c:v>480.02121505359054</c:v>
                </c:pt>
                <c:pt idx="357">
                  <c:v>482.24755853004575</c:v>
                </c:pt>
                <c:pt idx="358">
                  <c:v>484.47079309034501</c:v>
                </c:pt>
                <c:pt idx="359">
                  <c:v>486.69085801824139</c:v>
                </c:pt>
                <c:pt idx="360">
                  <c:v>488.90769119475414</c:v>
                </c:pt>
                <c:pt idx="361">
                  <c:v>491.12122923108666</c:v>
                </c:pt>
                <c:pt idx="362">
                  <c:v>493.33140759428863</c:v>
                </c:pt>
                <c:pt idx="363">
                  <c:v>495.53816072587426</c:v>
                </c:pt>
                <c:pt idx="364">
                  <c:v>497.74142215365697</c:v>
                </c:pt>
                <c:pt idx="365">
                  <c:v>499.94112459709532</c:v>
                </c:pt>
                <c:pt idx="366">
                  <c:v>502.13720006646497</c:v>
                </c:pt>
                <c:pt idx="367">
                  <c:v>504.32957995618324</c:v>
                </c:pt>
                <c:pt idx="368">
                  <c:v>506.5181951326154</c:v>
                </c:pt>
                <c:pt idx="369">
                  <c:v>508.70297601668847</c:v>
                </c:pt>
                <c:pt idx="370">
                  <c:v>510.88385266163039</c:v>
                </c:pt>
                <c:pt idx="371">
                  <c:v>513.06075482614222</c:v>
                </c:pt>
                <c:pt idx="372">
                  <c:v>515.23361204329649</c:v>
                </c:pt>
                <c:pt idx="373">
                  <c:v>517.40235368544074</c:v>
                </c:pt>
                <c:pt idx="374">
                  <c:v>519.5669090253698</c:v>
                </c:pt>
                <c:pt idx="375">
                  <c:v>521.72720729401362</c:v>
                </c:pt>
                <c:pt idx="376">
                  <c:v>523.88317773487233</c:v>
                </c:pt>
                <c:pt idx="377">
                  <c:v>526.03474965541352</c:v>
                </c:pt>
                <c:pt idx="378">
                  <c:v>528.18185247563372</c:v>
                </c:pt>
                <c:pt idx="379">
                  <c:v>530.32441577396844</c:v>
                </c:pt>
                <c:pt idx="380">
                  <c:v>532.46236933072453</c:v>
                </c:pt>
                <c:pt idx="381">
                  <c:v>534.59564316919341</c:v>
                </c:pt>
                <c:pt idx="382">
                  <c:v>536.72416759459259</c:v>
                </c:pt>
                <c:pt idx="383">
                  <c:v>538.8478732309718</c:v>
                </c:pt>
                <c:pt idx="384">
                  <c:v>540.96669105620822</c:v>
                </c:pt>
                <c:pt idx="385">
                  <c:v>543.0805524352071</c:v>
                </c:pt>
                <c:pt idx="386">
                  <c:v>545.18938915141382</c:v>
                </c:pt>
                <c:pt idx="387">
                  <c:v>547.29313343673607</c:v>
                </c:pt>
                <c:pt idx="388">
                  <c:v>549.39171799996541</c:v>
                </c:pt>
                <c:pt idx="389">
                  <c:v>551.48507605378325</c:v>
                </c:pt>
                <c:pt idx="390">
                  <c:v>553.57314134042656</c:v>
                </c:pt>
                <c:pt idx="391">
                  <c:v>555.65584815608531</c:v>
                </c:pt>
                <c:pt idx="392">
                  <c:v>557.7331313740965</c:v>
                </c:pt>
                <c:pt idx="393">
                  <c:v>559.80492646699554</c:v>
                </c:pt>
                <c:pt idx="394">
                  <c:v>561.87116952748045</c:v>
                </c:pt>
                <c:pt idx="395">
                  <c:v>563.93179728834116</c:v>
                </c:pt>
                <c:pt idx="396">
                  <c:v>565.986747141401</c:v>
                </c:pt>
                <c:pt idx="397">
                  <c:v>568.03595715551501</c:v>
                </c:pt>
                <c:pt idx="398">
                  <c:v>570.07936609366686</c:v>
                </c:pt>
                <c:pt idx="399">
                  <c:v>572.11691342920096</c:v>
                </c:pt>
                <c:pt idx="400">
                  <c:v>574.14853936122688</c:v>
                </c:pt>
                <c:pt idx="401">
                  <c:v>576.17418482922812</c:v>
                </c:pt>
                <c:pt idx="402">
                  <c:v>578.19379152690624</c:v>
                </c:pt>
                <c:pt idx="403">
                  <c:v>580.20730191528924</c:v>
                </c:pt>
                <c:pt idx="404">
                  <c:v>582.21465923513131</c:v>
                </c:pt>
                <c:pt idx="405">
                  <c:v>584.21580751862814</c:v>
                </c:pt>
                <c:pt idx="406">
                  <c:v>586.2106916004725</c:v>
                </c:pt>
                <c:pt idx="407">
                  <c:v>588.1992571282716</c:v>
                </c:pt>
                <c:pt idx="408">
                  <c:v>590.1814505723471</c:v>
                </c:pt>
                <c:pt idx="409">
                  <c:v>592.15721923493777</c:v>
                </c:pt>
                <c:pt idx="410">
                  <c:v>594.12651125882326</c:v>
                </c:pt>
                <c:pt idx="411">
                  <c:v>596.089275635386</c:v>
                </c:pt>
                <c:pt idx="412">
                  <c:v>598.04546221212865</c:v>
                </c:pt>
                <c:pt idx="413">
                  <c:v>599.99502169966263</c:v>
                </c:pt>
                <c:pt idx="414">
                  <c:v>601.93790567818212</c:v>
                </c:pt>
                <c:pt idx="415">
                  <c:v>603.87406660343913</c:v>
                </c:pt>
                <c:pt idx="416">
                  <c:v>605.8034578122323</c:v>
                </c:pt>
                <c:pt idx="417">
                  <c:v>607.72603352742249</c:v>
                </c:pt>
                <c:pt idx="418">
                  <c:v>609.64174886248884</c:v>
                </c:pt>
                <c:pt idx="419">
                  <c:v>611.55055982563579</c:v>
                </c:pt>
                <c:pt idx="420">
                  <c:v>613.45242332346413</c:v>
                </c:pt>
                <c:pt idx="421">
                  <c:v>615.347297164216</c:v>
                </c:pt>
                <c:pt idx="422">
                  <c:v>617.23514006060577</c:v>
                </c:pt>
                <c:pt idx="423">
                  <c:v>619.11591163224625</c:v>
                </c:pt>
                <c:pt idx="424">
                  <c:v>620.98957240768107</c:v>
                </c:pt>
                <c:pt idx="425">
                  <c:v>622.85608382603277</c:v>
                </c:pt>
                <c:pt idx="426">
                  <c:v>624.71540823827627</c:v>
                </c:pt>
                <c:pt idx="427">
                  <c:v>626.56750890814669</c:v>
                </c:pt>
                <c:pt idx="428">
                  <c:v>628.41235001269092</c:v>
                </c:pt>
                <c:pt idx="429">
                  <c:v>630.24989664247198</c:v>
                </c:pt>
                <c:pt idx="430">
                  <c:v>632.08011480143409</c:v>
                </c:pt>
                <c:pt idx="431">
                  <c:v>633.90297140643747</c:v>
                </c:pt>
                <c:pt idx="432">
                  <c:v>635.71843428647139</c:v>
                </c:pt>
                <c:pt idx="433">
                  <c:v>637.52647218155255</c:v>
                </c:pt>
                <c:pt idx="434">
                  <c:v>639.32705474131808</c:v>
                </c:pt>
                <c:pt idx="435">
                  <c:v>641.12015252332014</c:v>
                </c:pt>
                <c:pt idx="436">
                  <c:v>642.90573699102993</c:v>
                </c:pt>
                <c:pt idx="437">
                  <c:v>644.68378051155867</c:v>
                </c:pt>
                <c:pt idx="438">
                  <c:v>646.4542563531038</c:v>
                </c:pt>
                <c:pt idx="439">
                  <c:v>648.21713868212612</c:v>
                </c:pt>
                <c:pt idx="440">
                  <c:v>649.97240256026691</c:v>
                </c:pt>
                <c:pt idx="441">
                  <c:v>651.7200239410106</c:v>
                </c:pt>
                <c:pt idx="442">
                  <c:v>653.45997966610162</c:v>
                </c:pt>
                <c:pt idx="443">
                  <c:v>655.1922474617204</c:v>
                </c:pt>
                <c:pt idx="444">
                  <c:v>656.91680593442754</c:v>
                </c:pt>
                <c:pt idx="445">
                  <c:v>658.63363456688126</c:v>
                </c:pt>
                <c:pt idx="446">
                  <c:v>660.34271371333557</c:v>
                </c:pt>
                <c:pt idx="447">
                  <c:v>662.04402459492565</c:v>
                </c:pt>
                <c:pt idx="448">
                  <c:v>663.73754929474705</c:v>
                </c:pt>
                <c:pt idx="449">
                  <c:v>665.42327075273488</c:v>
                </c:pt>
                <c:pt idx="450">
                  <c:v>667.10117276034964</c:v>
                </c:pt>
                <c:pt idx="451">
                  <c:v>668.77123995507566</c:v>
                </c:pt>
                <c:pt idx="452">
                  <c:v>670.43345781473909</c:v>
                </c:pt>
                <c:pt idx="453">
                  <c:v>672.08781265165067</c:v>
                </c:pt>
                <c:pt idx="454">
                  <c:v>673.73429160657986</c:v>
                </c:pt>
                <c:pt idx="455">
                  <c:v>675.37288264256608</c:v>
                </c:pt>
                <c:pt idx="456">
                  <c:v>677.00357453857384</c:v>
                </c:pt>
                <c:pt idx="457">
                  <c:v>678.62635688299588</c:v>
                </c:pt>
                <c:pt idx="458">
                  <c:v>680.24122006701214</c:v>
                </c:pt>
                <c:pt idx="459">
                  <c:v>681.84815527780847</c:v>
                </c:pt>
                <c:pt idx="460">
                  <c:v>683.4471544916621</c:v>
                </c:pt>
                <c:pt idx="461">
                  <c:v>685.0382104668987</c:v>
                </c:pt>
                <c:pt idx="462">
                  <c:v>686.62131673672627</c:v>
                </c:pt>
                <c:pt idx="463">
                  <c:v>688.19646760195224</c:v>
                </c:pt>
                <c:pt idx="464">
                  <c:v>689.76365812358847</c:v>
                </c:pt>
                <c:pt idx="465">
                  <c:v>691.32288411534898</c:v>
                </c:pt>
                <c:pt idx="466">
                  <c:v>692.87414213604666</c:v>
                </c:pt>
                <c:pt idx="467">
                  <c:v>694.41742948189335</c:v>
                </c:pt>
                <c:pt idx="468">
                  <c:v>695.95274417870849</c:v>
                </c:pt>
                <c:pt idx="469">
                  <c:v>697.48008497404135</c:v>
                </c:pt>
                <c:pt idx="470">
                  <c:v>698.99945132921175</c:v>
                </c:pt>
                <c:pt idx="471">
                  <c:v>700.51084341127398</c:v>
                </c:pt>
                <c:pt idx="472">
                  <c:v>702.01426208490841</c:v>
                </c:pt>
                <c:pt idx="473">
                  <c:v>703.50970890424639</c:v>
                </c:pt>
                <c:pt idx="474">
                  <c:v>704.99718610463185</c:v>
                </c:pt>
                <c:pt idx="475">
                  <c:v>706.47669659432461</c:v>
                </c:pt>
                <c:pt idx="476">
                  <c:v>707.94824394615</c:v>
                </c:pt>
                <c:pt idx="477">
                  <c:v>709.41183238909878</c:v>
                </c:pt>
                <c:pt idx="478">
                  <c:v>710.86746679988221</c:v>
                </c:pt>
                <c:pt idx="479">
                  <c:v>712.31515269444515</c:v>
                </c:pt>
                <c:pt idx="480">
                  <c:v>713.75489621944303</c:v>
                </c:pt>
                <c:pt idx="481">
                  <c:v>715.18670414368523</c:v>
                </c:pt>
                <c:pt idx="482">
                  <c:v>716.61058384955004</c:v>
                </c:pt>
                <c:pt idx="483">
                  <c:v>718.02654332437351</c:v>
                </c:pt>
                <c:pt idx="484">
                  <c:v>719.43459115181781</c:v>
                </c:pt>
                <c:pt idx="485">
                  <c:v>720.83473650322139</c:v>
                </c:pt>
                <c:pt idx="486">
                  <c:v>722.22698912893509</c:v>
                </c:pt>
                <c:pt idx="487">
                  <c:v>723.61135934964773</c:v>
                </c:pt>
                <c:pt idx="488">
                  <c:v>724.98785804770478</c:v>
                </c:pt>
                <c:pt idx="489">
                  <c:v>726.35649665842288</c:v>
                </c:pt>
                <c:pt idx="490">
                  <c:v>727.71728716140456</c:v>
                </c:pt>
                <c:pt idx="491">
                  <c:v>729.07024207185509</c:v>
                </c:pt>
                <c:pt idx="492">
                  <c:v>730.41537443190578</c:v>
                </c:pt>
                <c:pt idx="493">
                  <c:v>731.75269780194583</c:v>
                </c:pt>
                <c:pt idx="494">
                  <c:v>733.08222625196697</c:v>
                </c:pt>
                <c:pt idx="495">
                  <c:v>734.40397435292186</c:v>
                </c:pt>
                <c:pt idx="496">
                  <c:v>735.71795716810095</c:v>
                </c:pt>
                <c:pt idx="497">
                  <c:v>737.0241902445299</c:v>
                </c:pt>
                <c:pt idx="498">
                  <c:v>738.32268960438967</c:v>
                </c:pt>
                <c:pt idx="499">
                  <c:v>739.61347173646243</c:v>
                </c:pt>
                <c:pt idx="500">
                  <c:v>740.89655358760626</c:v>
                </c:pt>
                <c:pt idx="501">
                  <c:v>742.17195255425986</c:v>
                </c:pt>
                <c:pt idx="502">
                  <c:v>743.43968647398083</c:v>
                </c:pt>
                <c:pt idx="503">
                  <c:v>744.69977361701888</c:v>
                </c:pt>
                <c:pt idx="504">
                  <c:v>745.95223267792733</c:v>
                </c:pt>
                <c:pt idx="505">
                  <c:v>747.19708276721371</c:v>
                </c:pt>
                <c:pt idx="506">
                  <c:v>748.43434340303247</c:v>
                </c:pt>
                <c:pt idx="507">
                  <c:v>749.66403450292171</c:v>
                </c:pt>
                <c:pt idx="508">
                  <c:v>750.88617637558536</c:v>
                </c:pt>
                <c:pt idx="509">
                  <c:v>752.10078971272333</c:v>
                </c:pt>
                <c:pt idx="510">
                  <c:v>753.30789558091089</c:v>
                </c:pt>
                <c:pt idx="511">
                  <c:v>754.50751541352975</c:v>
                </c:pt>
                <c:pt idx="512">
                  <c:v>755.6996710027513</c:v>
                </c:pt>
                <c:pt idx="513">
                  <c:v>756.88438449157502</c:v>
                </c:pt>
                <c:pt idx="514">
                  <c:v>758.06167836592249</c:v>
                </c:pt>
                <c:pt idx="515">
                  <c:v>759.23157544678907</c:v>
                </c:pt>
                <c:pt idx="516">
                  <c:v>760.39409888245461</c:v>
                </c:pt>
                <c:pt idx="517">
                  <c:v>761.54927214075428</c:v>
                </c:pt>
                <c:pt idx="518">
                  <c:v>762.6971190014109</c:v>
                </c:pt>
                <c:pt idx="519">
                  <c:v>763.83766354843044</c:v>
                </c:pt>
                <c:pt idx="520">
                  <c:v>764.97093016256099</c:v>
                </c:pt>
                <c:pt idx="521">
                  <c:v>766.09694351381722</c:v>
                </c:pt>
                <c:pt idx="522">
                  <c:v>767.21572855407101</c:v>
                </c:pt>
                <c:pt idx="523">
                  <c:v>768.3273105097087</c:v>
                </c:pt>
                <c:pt idx="524">
                  <c:v>769.431714874357</c:v>
                </c:pt>
                <c:pt idx="525">
                  <c:v>770.52896740167785</c:v>
                </c:pt>
                <c:pt idx="526">
                  <c:v>770.52896740167785</c:v>
                </c:pt>
                <c:pt idx="527">
                  <c:v>770.52896740167785</c:v>
                </c:pt>
                <c:pt idx="528">
                  <c:v>770.52896740167785</c:v>
                </c:pt>
                <c:pt idx="529">
                  <c:v>770.52896740167785</c:v>
                </c:pt>
                <c:pt idx="530">
                  <c:v>770.52896740167785</c:v>
                </c:pt>
                <c:pt idx="531">
                  <c:v>770.52896740167785</c:v>
                </c:pt>
                <c:pt idx="532">
                  <c:v>770.52896740167785</c:v>
                </c:pt>
                <c:pt idx="533">
                  <c:v>770.52896740167785</c:v>
                </c:pt>
                <c:pt idx="534">
                  <c:v>770.52896740167785</c:v>
                </c:pt>
                <c:pt idx="535">
                  <c:v>770.52896740167785</c:v>
                </c:pt>
                <c:pt idx="536">
                  <c:v>770.52896740167785</c:v>
                </c:pt>
                <c:pt idx="537">
                  <c:v>770.52896740167785</c:v>
                </c:pt>
                <c:pt idx="538">
                  <c:v>770.52896740167785</c:v>
                </c:pt>
                <c:pt idx="539">
                  <c:v>770.52896740167785</c:v>
                </c:pt>
                <c:pt idx="540">
                  <c:v>770.52896740167785</c:v>
                </c:pt>
                <c:pt idx="541">
                  <c:v>770.52896740167785</c:v>
                </c:pt>
                <c:pt idx="542">
                  <c:v>770.52896740167785</c:v>
                </c:pt>
                <c:pt idx="543">
                  <c:v>770.52896740167785</c:v>
                </c:pt>
                <c:pt idx="544">
                  <c:v>770.52896740167785</c:v>
                </c:pt>
                <c:pt idx="545">
                  <c:v>770.52896740167785</c:v>
                </c:pt>
                <c:pt idx="546">
                  <c:v>770.52896740167785</c:v>
                </c:pt>
                <c:pt idx="547">
                  <c:v>770.52896740167785</c:v>
                </c:pt>
                <c:pt idx="548">
                  <c:v>770.52896740167785</c:v>
                </c:pt>
                <c:pt idx="549">
                  <c:v>770.52896740167785</c:v>
                </c:pt>
                <c:pt idx="550">
                  <c:v>770.52896740167785</c:v>
                </c:pt>
                <c:pt idx="551">
                  <c:v>770.52896740167785</c:v>
                </c:pt>
                <c:pt idx="552">
                  <c:v>770.52896740167785</c:v>
                </c:pt>
                <c:pt idx="553">
                  <c:v>770.52896740167785</c:v>
                </c:pt>
                <c:pt idx="554">
                  <c:v>770.52896740167785</c:v>
                </c:pt>
                <c:pt idx="555">
                  <c:v>770.52896740167785</c:v>
                </c:pt>
                <c:pt idx="556">
                  <c:v>770.52896740167785</c:v>
                </c:pt>
                <c:pt idx="557">
                  <c:v>770.52896740167785</c:v>
                </c:pt>
                <c:pt idx="558">
                  <c:v>770.52896740167785</c:v>
                </c:pt>
                <c:pt idx="559">
                  <c:v>770.52896740167785</c:v>
                </c:pt>
                <c:pt idx="560">
                  <c:v>770.52896740167785</c:v>
                </c:pt>
                <c:pt idx="561">
                  <c:v>770.52896740167785</c:v>
                </c:pt>
                <c:pt idx="562">
                  <c:v>770.52896740167785</c:v>
                </c:pt>
                <c:pt idx="563">
                  <c:v>770.52896740167785</c:v>
                </c:pt>
                <c:pt idx="564">
                  <c:v>770.52896740167785</c:v>
                </c:pt>
                <c:pt idx="565">
                  <c:v>770.52896740167785</c:v>
                </c:pt>
                <c:pt idx="566">
                  <c:v>770.52896740167785</c:v>
                </c:pt>
                <c:pt idx="567">
                  <c:v>770.52896740167785</c:v>
                </c:pt>
                <c:pt idx="568">
                  <c:v>770.52896740167785</c:v>
                </c:pt>
                <c:pt idx="569">
                  <c:v>770.52896740167785</c:v>
                </c:pt>
                <c:pt idx="570">
                  <c:v>770.52896740167785</c:v>
                </c:pt>
                <c:pt idx="571">
                  <c:v>770.52896740167785</c:v>
                </c:pt>
                <c:pt idx="572">
                  <c:v>770.52896740167785</c:v>
                </c:pt>
                <c:pt idx="573">
                  <c:v>770.52896740167785</c:v>
                </c:pt>
                <c:pt idx="574">
                  <c:v>770.52896740167785</c:v>
                </c:pt>
                <c:pt idx="575">
                  <c:v>770.52896740167785</c:v>
                </c:pt>
                <c:pt idx="576">
                  <c:v>770.52896740167785</c:v>
                </c:pt>
                <c:pt idx="577">
                  <c:v>770.52896740167785</c:v>
                </c:pt>
                <c:pt idx="578">
                  <c:v>770.52896740167785</c:v>
                </c:pt>
                <c:pt idx="579">
                  <c:v>770.52896740167785</c:v>
                </c:pt>
                <c:pt idx="580">
                  <c:v>770.52896740167785</c:v>
                </c:pt>
                <c:pt idx="581">
                  <c:v>770.52896740167785</c:v>
                </c:pt>
                <c:pt idx="582">
                  <c:v>770.52896740167785</c:v>
                </c:pt>
                <c:pt idx="583">
                  <c:v>770.52896740167785</c:v>
                </c:pt>
                <c:pt idx="584">
                  <c:v>770.52896740167785</c:v>
                </c:pt>
                <c:pt idx="585">
                  <c:v>770.52896740167785</c:v>
                </c:pt>
                <c:pt idx="586">
                  <c:v>770.52896740167785</c:v>
                </c:pt>
                <c:pt idx="587">
                  <c:v>770.52896740167785</c:v>
                </c:pt>
                <c:pt idx="588">
                  <c:v>770.52896740167785</c:v>
                </c:pt>
                <c:pt idx="589">
                  <c:v>770.52896740167785</c:v>
                </c:pt>
                <c:pt idx="590">
                  <c:v>770.52896740167785</c:v>
                </c:pt>
                <c:pt idx="591">
                  <c:v>770.52896740167785</c:v>
                </c:pt>
                <c:pt idx="592">
                  <c:v>770.52896740167785</c:v>
                </c:pt>
                <c:pt idx="593">
                  <c:v>770.52896740167785</c:v>
                </c:pt>
                <c:pt idx="594">
                  <c:v>770.52896740167785</c:v>
                </c:pt>
                <c:pt idx="595">
                  <c:v>770.52896740167785</c:v>
                </c:pt>
                <c:pt idx="596">
                  <c:v>770.52896740167785</c:v>
                </c:pt>
                <c:pt idx="597">
                  <c:v>770.52896740167785</c:v>
                </c:pt>
                <c:pt idx="598">
                  <c:v>770.52896740167785</c:v>
                </c:pt>
                <c:pt idx="599">
                  <c:v>770.52896740167785</c:v>
                </c:pt>
                <c:pt idx="600">
                  <c:v>770.52896740167785</c:v>
                </c:pt>
                <c:pt idx="601">
                  <c:v>770.52896740167785</c:v>
                </c:pt>
                <c:pt idx="602">
                  <c:v>770.52896740167785</c:v>
                </c:pt>
                <c:pt idx="603">
                  <c:v>770.52896740167785</c:v>
                </c:pt>
                <c:pt idx="604">
                  <c:v>770.52896740167785</c:v>
                </c:pt>
                <c:pt idx="605">
                  <c:v>770.52896740167785</c:v>
                </c:pt>
                <c:pt idx="606">
                  <c:v>770.52896740167785</c:v>
                </c:pt>
                <c:pt idx="607">
                  <c:v>770.52896740167785</c:v>
                </c:pt>
                <c:pt idx="608">
                  <c:v>770.52896740167785</c:v>
                </c:pt>
                <c:pt idx="609">
                  <c:v>770.52896740167785</c:v>
                </c:pt>
                <c:pt idx="610">
                  <c:v>770.52896740167785</c:v>
                </c:pt>
                <c:pt idx="611">
                  <c:v>770.52896740167785</c:v>
                </c:pt>
                <c:pt idx="612">
                  <c:v>770.52896740167785</c:v>
                </c:pt>
                <c:pt idx="613">
                  <c:v>770.52896740167785</c:v>
                </c:pt>
                <c:pt idx="614">
                  <c:v>770.52896740167785</c:v>
                </c:pt>
                <c:pt idx="615">
                  <c:v>770.52896740167785</c:v>
                </c:pt>
                <c:pt idx="616">
                  <c:v>770.52896740167785</c:v>
                </c:pt>
                <c:pt idx="617">
                  <c:v>770.52896740167785</c:v>
                </c:pt>
                <c:pt idx="618">
                  <c:v>770.52896740167785</c:v>
                </c:pt>
                <c:pt idx="619">
                  <c:v>770.52896740167785</c:v>
                </c:pt>
                <c:pt idx="620">
                  <c:v>770.52896740167785</c:v>
                </c:pt>
                <c:pt idx="621">
                  <c:v>770.52896740167785</c:v>
                </c:pt>
                <c:pt idx="622">
                  <c:v>770.52896740167785</c:v>
                </c:pt>
                <c:pt idx="623">
                  <c:v>770.52896740167785</c:v>
                </c:pt>
                <c:pt idx="624">
                  <c:v>770.52896740167785</c:v>
                </c:pt>
                <c:pt idx="625">
                  <c:v>770.52896740167785</c:v>
                </c:pt>
                <c:pt idx="626">
                  <c:v>770.52896740167785</c:v>
                </c:pt>
                <c:pt idx="627">
                  <c:v>770.52896740167785</c:v>
                </c:pt>
                <c:pt idx="628">
                  <c:v>770.52896740167785</c:v>
                </c:pt>
                <c:pt idx="629">
                  <c:v>770.52896740167785</c:v>
                </c:pt>
                <c:pt idx="630">
                  <c:v>770.52896740167785</c:v>
                </c:pt>
                <c:pt idx="631">
                  <c:v>770.52896740167785</c:v>
                </c:pt>
                <c:pt idx="632">
                  <c:v>770.52896740167785</c:v>
                </c:pt>
                <c:pt idx="633">
                  <c:v>770.52896740167785</c:v>
                </c:pt>
                <c:pt idx="634">
                  <c:v>770.52896740167785</c:v>
                </c:pt>
                <c:pt idx="635">
                  <c:v>770.52896740167785</c:v>
                </c:pt>
                <c:pt idx="636">
                  <c:v>770.52896740167785</c:v>
                </c:pt>
                <c:pt idx="637">
                  <c:v>770.52896740167785</c:v>
                </c:pt>
                <c:pt idx="638">
                  <c:v>770.52896740167785</c:v>
                </c:pt>
                <c:pt idx="639">
                  <c:v>770.52896740167785</c:v>
                </c:pt>
                <c:pt idx="640">
                  <c:v>770.52896740167785</c:v>
                </c:pt>
                <c:pt idx="641">
                  <c:v>770.52896740167785</c:v>
                </c:pt>
                <c:pt idx="642">
                  <c:v>770.52896740167785</c:v>
                </c:pt>
                <c:pt idx="643">
                  <c:v>770.52896740167785</c:v>
                </c:pt>
                <c:pt idx="644">
                  <c:v>770.52896740167785</c:v>
                </c:pt>
                <c:pt idx="645">
                  <c:v>770.52896740167785</c:v>
                </c:pt>
                <c:pt idx="646">
                  <c:v>770.52896740167785</c:v>
                </c:pt>
                <c:pt idx="647">
                  <c:v>770.52896740167785</c:v>
                </c:pt>
                <c:pt idx="648">
                  <c:v>770.52896740167785</c:v>
                </c:pt>
                <c:pt idx="649">
                  <c:v>770.52896740167785</c:v>
                </c:pt>
                <c:pt idx="650">
                  <c:v>770.52896740167785</c:v>
                </c:pt>
                <c:pt idx="651">
                  <c:v>770.52896740167785</c:v>
                </c:pt>
                <c:pt idx="652">
                  <c:v>770.52896740167785</c:v>
                </c:pt>
                <c:pt idx="653">
                  <c:v>770.52896740167785</c:v>
                </c:pt>
                <c:pt idx="654">
                  <c:v>770.52896740167785</c:v>
                </c:pt>
                <c:pt idx="655">
                  <c:v>770.52896740167785</c:v>
                </c:pt>
                <c:pt idx="656">
                  <c:v>770.52896740167785</c:v>
                </c:pt>
                <c:pt idx="657">
                  <c:v>770.52896740167785</c:v>
                </c:pt>
                <c:pt idx="658">
                  <c:v>770.52896740167785</c:v>
                </c:pt>
                <c:pt idx="659">
                  <c:v>770.52896740167785</c:v>
                </c:pt>
                <c:pt idx="660">
                  <c:v>770.52896740167785</c:v>
                </c:pt>
                <c:pt idx="661">
                  <c:v>770.52896740167785</c:v>
                </c:pt>
                <c:pt idx="662">
                  <c:v>770.52896740167785</c:v>
                </c:pt>
                <c:pt idx="663">
                  <c:v>770.52896740167785</c:v>
                </c:pt>
                <c:pt idx="664">
                  <c:v>770.52896740167785</c:v>
                </c:pt>
                <c:pt idx="665">
                  <c:v>770.52896740167785</c:v>
                </c:pt>
                <c:pt idx="666">
                  <c:v>770.52896740167785</c:v>
                </c:pt>
                <c:pt idx="667">
                  <c:v>770.52896740167785</c:v>
                </c:pt>
                <c:pt idx="668">
                  <c:v>770.52896740167785</c:v>
                </c:pt>
                <c:pt idx="669">
                  <c:v>770.52896740167785</c:v>
                </c:pt>
                <c:pt idx="670">
                  <c:v>770.52896740167785</c:v>
                </c:pt>
                <c:pt idx="671">
                  <c:v>770.52896740167785</c:v>
                </c:pt>
                <c:pt idx="672">
                  <c:v>770.52896740167785</c:v>
                </c:pt>
                <c:pt idx="673">
                  <c:v>770.52896740167785</c:v>
                </c:pt>
                <c:pt idx="674">
                  <c:v>770.52896740167785</c:v>
                </c:pt>
                <c:pt idx="675">
                  <c:v>770.52896740167785</c:v>
                </c:pt>
                <c:pt idx="676">
                  <c:v>770.52896740167785</c:v>
                </c:pt>
                <c:pt idx="677">
                  <c:v>770.52896740167785</c:v>
                </c:pt>
                <c:pt idx="678">
                  <c:v>770.52896740167785</c:v>
                </c:pt>
                <c:pt idx="679">
                  <c:v>770.52896740167785</c:v>
                </c:pt>
                <c:pt idx="680">
                  <c:v>770.52896740167785</c:v>
                </c:pt>
                <c:pt idx="681">
                  <c:v>770.52896740167785</c:v>
                </c:pt>
                <c:pt idx="682">
                  <c:v>770.52896740167785</c:v>
                </c:pt>
                <c:pt idx="683">
                  <c:v>770.52896740167785</c:v>
                </c:pt>
                <c:pt idx="684">
                  <c:v>770.52896740167785</c:v>
                </c:pt>
                <c:pt idx="685">
                  <c:v>770.52896740167785</c:v>
                </c:pt>
                <c:pt idx="686">
                  <c:v>770.52896740167785</c:v>
                </c:pt>
                <c:pt idx="687">
                  <c:v>770.52896740167785</c:v>
                </c:pt>
                <c:pt idx="688">
                  <c:v>770.52896740167785</c:v>
                </c:pt>
                <c:pt idx="689">
                  <c:v>770.52896740167785</c:v>
                </c:pt>
                <c:pt idx="690">
                  <c:v>770.52896740167785</c:v>
                </c:pt>
                <c:pt idx="691">
                  <c:v>770.52896740167785</c:v>
                </c:pt>
                <c:pt idx="692">
                  <c:v>770.52896740167785</c:v>
                </c:pt>
                <c:pt idx="693">
                  <c:v>770.52896740167785</c:v>
                </c:pt>
                <c:pt idx="694">
                  <c:v>770.52896740167785</c:v>
                </c:pt>
                <c:pt idx="695">
                  <c:v>770.52896740167785</c:v>
                </c:pt>
                <c:pt idx="696">
                  <c:v>770.52896740167785</c:v>
                </c:pt>
                <c:pt idx="697">
                  <c:v>770.52896740167785</c:v>
                </c:pt>
                <c:pt idx="698">
                  <c:v>770.52896740167785</c:v>
                </c:pt>
                <c:pt idx="699">
                  <c:v>770.52896740167785</c:v>
                </c:pt>
                <c:pt idx="700">
                  <c:v>770.52896740167785</c:v>
                </c:pt>
                <c:pt idx="701">
                  <c:v>770.52896740167785</c:v>
                </c:pt>
                <c:pt idx="702">
                  <c:v>770.52896740167785</c:v>
                </c:pt>
                <c:pt idx="703">
                  <c:v>770.52896740167785</c:v>
                </c:pt>
                <c:pt idx="704">
                  <c:v>770.52896740167785</c:v>
                </c:pt>
                <c:pt idx="705">
                  <c:v>770.52896740167785</c:v>
                </c:pt>
                <c:pt idx="706">
                  <c:v>770.52896740167785</c:v>
                </c:pt>
                <c:pt idx="707">
                  <c:v>770.52896740167785</c:v>
                </c:pt>
                <c:pt idx="708">
                  <c:v>770.52896740167785</c:v>
                </c:pt>
                <c:pt idx="709">
                  <c:v>770.52896740167785</c:v>
                </c:pt>
                <c:pt idx="710">
                  <c:v>770.52896740167785</c:v>
                </c:pt>
                <c:pt idx="711">
                  <c:v>770.52896740167785</c:v>
                </c:pt>
                <c:pt idx="712">
                  <c:v>770.52896740167785</c:v>
                </c:pt>
                <c:pt idx="713">
                  <c:v>770.52896740167785</c:v>
                </c:pt>
                <c:pt idx="714">
                  <c:v>770.52896740167785</c:v>
                </c:pt>
                <c:pt idx="715">
                  <c:v>770.52896740167785</c:v>
                </c:pt>
                <c:pt idx="716">
                  <c:v>770.52896740167785</c:v>
                </c:pt>
                <c:pt idx="717">
                  <c:v>770.52896740167785</c:v>
                </c:pt>
                <c:pt idx="718">
                  <c:v>770.52896740167785</c:v>
                </c:pt>
                <c:pt idx="719">
                  <c:v>770.52896740167785</c:v>
                </c:pt>
                <c:pt idx="720">
                  <c:v>770.52896740167785</c:v>
                </c:pt>
                <c:pt idx="721">
                  <c:v>770.52896740167785</c:v>
                </c:pt>
                <c:pt idx="722">
                  <c:v>770.52896740167785</c:v>
                </c:pt>
                <c:pt idx="723">
                  <c:v>770.52896740167785</c:v>
                </c:pt>
                <c:pt idx="724">
                  <c:v>770.52896740167785</c:v>
                </c:pt>
                <c:pt idx="725">
                  <c:v>770.52896740167785</c:v>
                </c:pt>
                <c:pt idx="726">
                  <c:v>770.52896740167785</c:v>
                </c:pt>
                <c:pt idx="727">
                  <c:v>770.52896740167785</c:v>
                </c:pt>
                <c:pt idx="728">
                  <c:v>770.52896740167785</c:v>
                </c:pt>
                <c:pt idx="729">
                  <c:v>770.52896740167785</c:v>
                </c:pt>
                <c:pt idx="730">
                  <c:v>770.52896740167785</c:v>
                </c:pt>
                <c:pt idx="731">
                  <c:v>770.52896740167785</c:v>
                </c:pt>
                <c:pt idx="732">
                  <c:v>770.52896740167785</c:v>
                </c:pt>
                <c:pt idx="733">
                  <c:v>770.52896740167785</c:v>
                </c:pt>
                <c:pt idx="734">
                  <c:v>770.52896740167785</c:v>
                </c:pt>
                <c:pt idx="735">
                  <c:v>770.52896740167785</c:v>
                </c:pt>
                <c:pt idx="736">
                  <c:v>770.52896740167785</c:v>
                </c:pt>
                <c:pt idx="737">
                  <c:v>770.52896740167785</c:v>
                </c:pt>
                <c:pt idx="738">
                  <c:v>770.52896740167785</c:v>
                </c:pt>
                <c:pt idx="739">
                  <c:v>770.52896740167785</c:v>
                </c:pt>
                <c:pt idx="740">
                  <c:v>770.52896740167785</c:v>
                </c:pt>
                <c:pt idx="741">
                  <c:v>770.52896740167785</c:v>
                </c:pt>
                <c:pt idx="742">
                  <c:v>770.52896740167785</c:v>
                </c:pt>
                <c:pt idx="743">
                  <c:v>770.52896740167785</c:v>
                </c:pt>
                <c:pt idx="744">
                  <c:v>770.52896740167785</c:v>
                </c:pt>
                <c:pt idx="745">
                  <c:v>770.52896740167785</c:v>
                </c:pt>
                <c:pt idx="746">
                  <c:v>770.52896740167785</c:v>
                </c:pt>
                <c:pt idx="747">
                  <c:v>770.52896740167785</c:v>
                </c:pt>
                <c:pt idx="748">
                  <c:v>770.52896740167785</c:v>
                </c:pt>
                <c:pt idx="749">
                  <c:v>770.52896740167785</c:v>
                </c:pt>
                <c:pt idx="750">
                  <c:v>770.52896740167785</c:v>
                </c:pt>
                <c:pt idx="751">
                  <c:v>770.52896740167785</c:v>
                </c:pt>
                <c:pt idx="752">
                  <c:v>770.52896740167785</c:v>
                </c:pt>
                <c:pt idx="753">
                  <c:v>770.52896740167785</c:v>
                </c:pt>
                <c:pt idx="754">
                  <c:v>770.52896740167785</c:v>
                </c:pt>
                <c:pt idx="755">
                  <c:v>770.52896740167785</c:v>
                </c:pt>
                <c:pt idx="756">
                  <c:v>770.52896740167785</c:v>
                </c:pt>
                <c:pt idx="757">
                  <c:v>770.52896740167785</c:v>
                </c:pt>
                <c:pt idx="758">
                  <c:v>770.52896740167785</c:v>
                </c:pt>
                <c:pt idx="759">
                  <c:v>770.52896740167785</c:v>
                </c:pt>
                <c:pt idx="760">
                  <c:v>770.52896740167785</c:v>
                </c:pt>
                <c:pt idx="761">
                  <c:v>770.52896740167785</c:v>
                </c:pt>
                <c:pt idx="762">
                  <c:v>770.52896740167785</c:v>
                </c:pt>
                <c:pt idx="763">
                  <c:v>770.52896740167785</c:v>
                </c:pt>
                <c:pt idx="764">
                  <c:v>770.52896740167785</c:v>
                </c:pt>
                <c:pt idx="765">
                  <c:v>770.52896740167785</c:v>
                </c:pt>
                <c:pt idx="766">
                  <c:v>770.52896740167785</c:v>
                </c:pt>
                <c:pt idx="767">
                  <c:v>770.52896740167785</c:v>
                </c:pt>
                <c:pt idx="768">
                  <c:v>770.52896740167785</c:v>
                </c:pt>
                <c:pt idx="769">
                  <c:v>770.52896740167785</c:v>
                </c:pt>
                <c:pt idx="770">
                  <c:v>770.52896740167785</c:v>
                </c:pt>
                <c:pt idx="771">
                  <c:v>770.52896740167785</c:v>
                </c:pt>
                <c:pt idx="772">
                  <c:v>770.52896740167785</c:v>
                </c:pt>
                <c:pt idx="773">
                  <c:v>770.52896740167785</c:v>
                </c:pt>
                <c:pt idx="774">
                  <c:v>770.52896740167785</c:v>
                </c:pt>
                <c:pt idx="775">
                  <c:v>770.52896740167785</c:v>
                </c:pt>
                <c:pt idx="776">
                  <c:v>770.52896740167785</c:v>
                </c:pt>
                <c:pt idx="777">
                  <c:v>770.52896740167785</c:v>
                </c:pt>
                <c:pt idx="778">
                  <c:v>770.52896740167785</c:v>
                </c:pt>
                <c:pt idx="779">
                  <c:v>770.52896740167785</c:v>
                </c:pt>
                <c:pt idx="780">
                  <c:v>770.52896740167785</c:v>
                </c:pt>
                <c:pt idx="781">
                  <c:v>770.52896740167785</c:v>
                </c:pt>
                <c:pt idx="782">
                  <c:v>770.52896740167785</c:v>
                </c:pt>
                <c:pt idx="783">
                  <c:v>770.52896740167785</c:v>
                </c:pt>
                <c:pt idx="784">
                  <c:v>770.52896740167785</c:v>
                </c:pt>
                <c:pt idx="785">
                  <c:v>770.52896740167785</c:v>
                </c:pt>
                <c:pt idx="786">
                  <c:v>770.52896740167785</c:v>
                </c:pt>
                <c:pt idx="787">
                  <c:v>770.52896740167785</c:v>
                </c:pt>
                <c:pt idx="788">
                  <c:v>770.52896740167785</c:v>
                </c:pt>
                <c:pt idx="789">
                  <c:v>770.52896740167785</c:v>
                </c:pt>
                <c:pt idx="790">
                  <c:v>770.52896740167785</c:v>
                </c:pt>
                <c:pt idx="791">
                  <c:v>770.52896740167785</c:v>
                </c:pt>
                <c:pt idx="792">
                  <c:v>770.52896740167785</c:v>
                </c:pt>
                <c:pt idx="793">
                  <c:v>770.52896740167785</c:v>
                </c:pt>
                <c:pt idx="794">
                  <c:v>770.52896740167785</c:v>
                </c:pt>
                <c:pt idx="795">
                  <c:v>770.52896740167785</c:v>
                </c:pt>
                <c:pt idx="796">
                  <c:v>770.52896740167785</c:v>
                </c:pt>
                <c:pt idx="797">
                  <c:v>770.52896740167785</c:v>
                </c:pt>
                <c:pt idx="798">
                  <c:v>770.52896740167785</c:v>
                </c:pt>
                <c:pt idx="799">
                  <c:v>770.52896740167785</c:v>
                </c:pt>
                <c:pt idx="800">
                  <c:v>770.52896740167785</c:v>
                </c:pt>
                <c:pt idx="801">
                  <c:v>770.52896740167785</c:v>
                </c:pt>
                <c:pt idx="802">
                  <c:v>770.52896740167785</c:v>
                </c:pt>
                <c:pt idx="803">
                  <c:v>770.52896740167785</c:v>
                </c:pt>
                <c:pt idx="804">
                  <c:v>770.52896740167785</c:v>
                </c:pt>
                <c:pt idx="805">
                  <c:v>770.52896740167785</c:v>
                </c:pt>
                <c:pt idx="806">
                  <c:v>770.52896740167785</c:v>
                </c:pt>
                <c:pt idx="807">
                  <c:v>770.52896740167785</c:v>
                </c:pt>
                <c:pt idx="808">
                  <c:v>770.52896740167785</c:v>
                </c:pt>
                <c:pt idx="809">
                  <c:v>770.52896740167785</c:v>
                </c:pt>
                <c:pt idx="810">
                  <c:v>770.52896740167785</c:v>
                </c:pt>
                <c:pt idx="811">
                  <c:v>770.52896740167785</c:v>
                </c:pt>
                <c:pt idx="812">
                  <c:v>770.52896740167785</c:v>
                </c:pt>
                <c:pt idx="813">
                  <c:v>770.52896740167785</c:v>
                </c:pt>
                <c:pt idx="814">
                  <c:v>770.52896740167785</c:v>
                </c:pt>
                <c:pt idx="815">
                  <c:v>770.52896740167785</c:v>
                </c:pt>
                <c:pt idx="816">
                  <c:v>770.52896740167785</c:v>
                </c:pt>
                <c:pt idx="817">
                  <c:v>770.52896740167785</c:v>
                </c:pt>
                <c:pt idx="818">
                  <c:v>770.52896740167785</c:v>
                </c:pt>
                <c:pt idx="819">
                  <c:v>770.52896740167785</c:v>
                </c:pt>
                <c:pt idx="820">
                  <c:v>770.52896740167785</c:v>
                </c:pt>
                <c:pt idx="821">
                  <c:v>770.52896740167785</c:v>
                </c:pt>
                <c:pt idx="822">
                  <c:v>770.52896740167785</c:v>
                </c:pt>
                <c:pt idx="823">
                  <c:v>770.52896740167785</c:v>
                </c:pt>
                <c:pt idx="824">
                  <c:v>770.52896740167785</c:v>
                </c:pt>
                <c:pt idx="825">
                  <c:v>770.52896740167785</c:v>
                </c:pt>
                <c:pt idx="826">
                  <c:v>770.52896740167785</c:v>
                </c:pt>
                <c:pt idx="827">
                  <c:v>770.52896740167785</c:v>
                </c:pt>
                <c:pt idx="828">
                  <c:v>770.52896740167785</c:v>
                </c:pt>
                <c:pt idx="829">
                  <c:v>770.52896740167785</c:v>
                </c:pt>
                <c:pt idx="830">
                  <c:v>770.52896740167785</c:v>
                </c:pt>
                <c:pt idx="831">
                  <c:v>770.52896740167785</c:v>
                </c:pt>
                <c:pt idx="832">
                  <c:v>770.52896740167785</c:v>
                </c:pt>
                <c:pt idx="833">
                  <c:v>770.52896740167785</c:v>
                </c:pt>
                <c:pt idx="834">
                  <c:v>770.52896740167785</c:v>
                </c:pt>
                <c:pt idx="835">
                  <c:v>770.52896740167785</c:v>
                </c:pt>
                <c:pt idx="836">
                  <c:v>770.52896740167785</c:v>
                </c:pt>
                <c:pt idx="837">
                  <c:v>770.52896740167785</c:v>
                </c:pt>
                <c:pt idx="838">
                  <c:v>770.52896740167785</c:v>
                </c:pt>
                <c:pt idx="839">
                  <c:v>770.52896740167785</c:v>
                </c:pt>
                <c:pt idx="840">
                  <c:v>770.52896740167785</c:v>
                </c:pt>
                <c:pt idx="841">
                  <c:v>770.52896740167785</c:v>
                </c:pt>
                <c:pt idx="842">
                  <c:v>770.52896740167785</c:v>
                </c:pt>
                <c:pt idx="843">
                  <c:v>770.52896740167785</c:v>
                </c:pt>
                <c:pt idx="844">
                  <c:v>770.52896740167785</c:v>
                </c:pt>
                <c:pt idx="845">
                  <c:v>770.52896740167785</c:v>
                </c:pt>
                <c:pt idx="846">
                  <c:v>770.52896740167785</c:v>
                </c:pt>
                <c:pt idx="847">
                  <c:v>770.52896740167785</c:v>
                </c:pt>
                <c:pt idx="848">
                  <c:v>770.52896740167785</c:v>
                </c:pt>
                <c:pt idx="849">
                  <c:v>770.52896740167785</c:v>
                </c:pt>
                <c:pt idx="850">
                  <c:v>770.52896740167785</c:v>
                </c:pt>
                <c:pt idx="851">
                  <c:v>770.52896740167785</c:v>
                </c:pt>
                <c:pt idx="852">
                  <c:v>770.52896740167785</c:v>
                </c:pt>
                <c:pt idx="853">
                  <c:v>770.52896740167785</c:v>
                </c:pt>
                <c:pt idx="854">
                  <c:v>770.52896740167785</c:v>
                </c:pt>
                <c:pt idx="855">
                  <c:v>770.52896740167785</c:v>
                </c:pt>
                <c:pt idx="856">
                  <c:v>770.52896740167785</c:v>
                </c:pt>
                <c:pt idx="857">
                  <c:v>770.52896740167785</c:v>
                </c:pt>
                <c:pt idx="858">
                  <c:v>770.52896740167785</c:v>
                </c:pt>
                <c:pt idx="859">
                  <c:v>770.52896740167785</c:v>
                </c:pt>
                <c:pt idx="860">
                  <c:v>770.52896740167785</c:v>
                </c:pt>
                <c:pt idx="861">
                  <c:v>770.52896740167785</c:v>
                </c:pt>
                <c:pt idx="862">
                  <c:v>770.52896740167785</c:v>
                </c:pt>
                <c:pt idx="863">
                  <c:v>770.52896740167785</c:v>
                </c:pt>
                <c:pt idx="864">
                  <c:v>770.52896740167785</c:v>
                </c:pt>
                <c:pt idx="865">
                  <c:v>770.52896740167785</c:v>
                </c:pt>
                <c:pt idx="866">
                  <c:v>770.52896740167785</c:v>
                </c:pt>
                <c:pt idx="867">
                  <c:v>770.52896740167785</c:v>
                </c:pt>
                <c:pt idx="868">
                  <c:v>770.52896740167785</c:v>
                </c:pt>
                <c:pt idx="869">
                  <c:v>770.52896740167785</c:v>
                </c:pt>
                <c:pt idx="870">
                  <c:v>770.52896740167785</c:v>
                </c:pt>
                <c:pt idx="871">
                  <c:v>770.52896740167785</c:v>
                </c:pt>
                <c:pt idx="872">
                  <c:v>770.52896740167785</c:v>
                </c:pt>
                <c:pt idx="873">
                  <c:v>770.52896740167785</c:v>
                </c:pt>
                <c:pt idx="874">
                  <c:v>770.52896740167785</c:v>
                </c:pt>
                <c:pt idx="875">
                  <c:v>770.52896740167785</c:v>
                </c:pt>
                <c:pt idx="876">
                  <c:v>770.52896740167785</c:v>
                </c:pt>
                <c:pt idx="877">
                  <c:v>770.52896740167785</c:v>
                </c:pt>
                <c:pt idx="878">
                  <c:v>770.52896740167785</c:v>
                </c:pt>
                <c:pt idx="879">
                  <c:v>770.52896740167785</c:v>
                </c:pt>
                <c:pt idx="880">
                  <c:v>770.52896740167785</c:v>
                </c:pt>
                <c:pt idx="881">
                  <c:v>770.52896740167785</c:v>
                </c:pt>
                <c:pt idx="882">
                  <c:v>770.52896740167785</c:v>
                </c:pt>
                <c:pt idx="883">
                  <c:v>770.52896740167785</c:v>
                </c:pt>
                <c:pt idx="884">
                  <c:v>770.52896740167785</c:v>
                </c:pt>
                <c:pt idx="885">
                  <c:v>770.52896740167785</c:v>
                </c:pt>
                <c:pt idx="886">
                  <c:v>770.52896740167785</c:v>
                </c:pt>
                <c:pt idx="887">
                  <c:v>770.52896740167785</c:v>
                </c:pt>
                <c:pt idx="888">
                  <c:v>770.52896740167785</c:v>
                </c:pt>
                <c:pt idx="889">
                  <c:v>770.52896740167785</c:v>
                </c:pt>
                <c:pt idx="890">
                  <c:v>770.52896740167785</c:v>
                </c:pt>
                <c:pt idx="891">
                  <c:v>770.52896740167785</c:v>
                </c:pt>
                <c:pt idx="892">
                  <c:v>770.52896740167785</c:v>
                </c:pt>
                <c:pt idx="893">
                  <c:v>770.52896740167785</c:v>
                </c:pt>
                <c:pt idx="894">
                  <c:v>770.52896740167785</c:v>
                </c:pt>
                <c:pt idx="895">
                  <c:v>770.52896740167785</c:v>
                </c:pt>
                <c:pt idx="896">
                  <c:v>770.52896740167785</c:v>
                </c:pt>
                <c:pt idx="897">
                  <c:v>770.52896740167785</c:v>
                </c:pt>
                <c:pt idx="898">
                  <c:v>770.52896740167785</c:v>
                </c:pt>
                <c:pt idx="899">
                  <c:v>770.52896740167785</c:v>
                </c:pt>
                <c:pt idx="900">
                  <c:v>770.52896740167785</c:v>
                </c:pt>
                <c:pt idx="901">
                  <c:v>770.52896740167785</c:v>
                </c:pt>
                <c:pt idx="902">
                  <c:v>770.52896740167785</c:v>
                </c:pt>
                <c:pt idx="903">
                  <c:v>770.52896740167785</c:v>
                </c:pt>
                <c:pt idx="904">
                  <c:v>770.52896740167785</c:v>
                </c:pt>
                <c:pt idx="905">
                  <c:v>770.52896740167785</c:v>
                </c:pt>
                <c:pt idx="906">
                  <c:v>770.52896740167785</c:v>
                </c:pt>
                <c:pt idx="907">
                  <c:v>770.52896740167785</c:v>
                </c:pt>
                <c:pt idx="908">
                  <c:v>770.52896740167785</c:v>
                </c:pt>
                <c:pt idx="909">
                  <c:v>770.52896740167785</c:v>
                </c:pt>
                <c:pt idx="910">
                  <c:v>770.52896740167785</c:v>
                </c:pt>
                <c:pt idx="911">
                  <c:v>770.52896740167785</c:v>
                </c:pt>
                <c:pt idx="912">
                  <c:v>770.52896740167785</c:v>
                </c:pt>
                <c:pt idx="913">
                  <c:v>770.52896740167785</c:v>
                </c:pt>
                <c:pt idx="914">
                  <c:v>770.52896740167785</c:v>
                </c:pt>
                <c:pt idx="915">
                  <c:v>770.52896740167785</c:v>
                </c:pt>
                <c:pt idx="916">
                  <c:v>770.52896740167785</c:v>
                </c:pt>
                <c:pt idx="917">
                  <c:v>770.52896740167785</c:v>
                </c:pt>
                <c:pt idx="918">
                  <c:v>770.52896740167785</c:v>
                </c:pt>
                <c:pt idx="919">
                  <c:v>770.52896740167785</c:v>
                </c:pt>
                <c:pt idx="920">
                  <c:v>770.52896740167785</c:v>
                </c:pt>
                <c:pt idx="921">
                  <c:v>770.52896740167785</c:v>
                </c:pt>
                <c:pt idx="922">
                  <c:v>770.52896740167785</c:v>
                </c:pt>
                <c:pt idx="923">
                  <c:v>770.52896740167785</c:v>
                </c:pt>
                <c:pt idx="924">
                  <c:v>770.52896740167785</c:v>
                </c:pt>
                <c:pt idx="925">
                  <c:v>770.52896740167785</c:v>
                </c:pt>
                <c:pt idx="926">
                  <c:v>770.52896740167785</c:v>
                </c:pt>
                <c:pt idx="927">
                  <c:v>770.52896740167785</c:v>
                </c:pt>
                <c:pt idx="928">
                  <c:v>770.52896740167785</c:v>
                </c:pt>
                <c:pt idx="929">
                  <c:v>770.52896740167785</c:v>
                </c:pt>
                <c:pt idx="930">
                  <c:v>770.52896740167785</c:v>
                </c:pt>
                <c:pt idx="931">
                  <c:v>770.52896740167785</c:v>
                </c:pt>
                <c:pt idx="932">
                  <c:v>770.52896740167785</c:v>
                </c:pt>
                <c:pt idx="933">
                  <c:v>770.52896740167785</c:v>
                </c:pt>
                <c:pt idx="934">
                  <c:v>770.52896740167785</c:v>
                </c:pt>
                <c:pt idx="935">
                  <c:v>770.52896740167785</c:v>
                </c:pt>
                <c:pt idx="936">
                  <c:v>770.52896740167785</c:v>
                </c:pt>
                <c:pt idx="937">
                  <c:v>770.52896740167785</c:v>
                </c:pt>
                <c:pt idx="938">
                  <c:v>770.52896740167785</c:v>
                </c:pt>
                <c:pt idx="939">
                  <c:v>770.52896740167785</c:v>
                </c:pt>
                <c:pt idx="940">
                  <c:v>770.52896740167785</c:v>
                </c:pt>
                <c:pt idx="941">
                  <c:v>770.52896740167785</c:v>
                </c:pt>
                <c:pt idx="942">
                  <c:v>770.52896740167785</c:v>
                </c:pt>
                <c:pt idx="943">
                  <c:v>770.52896740167785</c:v>
                </c:pt>
                <c:pt idx="944">
                  <c:v>770.52896740167785</c:v>
                </c:pt>
                <c:pt idx="945">
                  <c:v>770.52896740167785</c:v>
                </c:pt>
                <c:pt idx="946">
                  <c:v>770.52896740167785</c:v>
                </c:pt>
                <c:pt idx="947">
                  <c:v>770.52896740167785</c:v>
                </c:pt>
                <c:pt idx="948">
                  <c:v>770.52896740167785</c:v>
                </c:pt>
                <c:pt idx="949">
                  <c:v>770.52896740167785</c:v>
                </c:pt>
                <c:pt idx="950">
                  <c:v>770.52896740167785</c:v>
                </c:pt>
                <c:pt idx="951">
                  <c:v>770.52896740167785</c:v>
                </c:pt>
                <c:pt idx="952">
                  <c:v>770.52896740167785</c:v>
                </c:pt>
                <c:pt idx="953">
                  <c:v>770.52896740167785</c:v>
                </c:pt>
                <c:pt idx="954">
                  <c:v>770.52896740167785</c:v>
                </c:pt>
                <c:pt idx="955">
                  <c:v>770.52896740167785</c:v>
                </c:pt>
                <c:pt idx="956">
                  <c:v>770.52896740167785</c:v>
                </c:pt>
                <c:pt idx="957">
                  <c:v>770.52896740167785</c:v>
                </c:pt>
                <c:pt idx="958">
                  <c:v>770.52896740167785</c:v>
                </c:pt>
                <c:pt idx="959">
                  <c:v>770.52896740167785</c:v>
                </c:pt>
                <c:pt idx="960">
                  <c:v>770.52896740167785</c:v>
                </c:pt>
                <c:pt idx="961">
                  <c:v>770.52896740167785</c:v>
                </c:pt>
                <c:pt idx="962">
                  <c:v>770.52896740167785</c:v>
                </c:pt>
                <c:pt idx="963">
                  <c:v>770.52896740167785</c:v>
                </c:pt>
                <c:pt idx="964">
                  <c:v>770.52896740167785</c:v>
                </c:pt>
                <c:pt idx="965">
                  <c:v>770.52896740167785</c:v>
                </c:pt>
                <c:pt idx="966">
                  <c:v>770.52896740167785</c:v>
                </c:pt>
                <c:pt idx="967">
                  <c:v>770.52896740167785</c:v>
                </c:pt>
                <c:pt idx="968">
                  <c:v>770.52896740167785</c:v>
                </c:pt>
                <c:pt idx="969">
                  <c:v>770.52896740167785</c:v>
                </c:pt>
                <c:pt idx="970">
                  <c:v>770.52896740167785</c:v>
                </c:pt>
                <c:pt idx="971">
                  <c:v>770.52896740167785</c:v>
                </c:pt>
                <c:pt idx="972">
                  <c:v>770.52896740167785</c:v>
                </c:pt>
                <c:pt idx="973">
                  <c:v>770.52896740167785</c:v>
                </c:pt>
                <c:pt idx="974">
                  <c:v>770.52896740167785</c:v>
                </c:pt>
                <c:pt idx="975">
                  <c:v>770.52896740167785</c:v>
                </c:pt>
                <c:pt idx="976">
                  <c:v>770.52896740167785</c:v>
                </c:pt>
                <c:pt idx="977">
                  <c:v>770.52896740167785</c:v>
                </c:pt>
                <c:pt idx="978">
                  <c:v>770.52896740167785</c:v>
                </c:pt>
                <c:pt idx="979">
                  <c:v>770.52896740167785</c:v>
                </c:pt>
                <c:pt idx="980">
                  <c:v>770.52896740167785</c:v>
                </c:pt>
                <c:pt idx="981">
                  <c:v>770.52896740167785</c:v>
                </c:pt>
                <c:pt idx="982">
                  <c:v>770.52896740167785</c:v>
                </c:pt>
                <c:pt idx="983">
                  <c:v>770.52896740167785</c:v>
                </c:pt>
                <c:pt idx="984">
                  <c:v>770.52896740167785</c:v>
                </c:pt>
                <c:pt idx="985">
                  <c:v>770.52896740167785</c:v>
                </c:pt>
                <c:pt idx="986">
                  <c:v>770.52896740167785</c:v>
                </c:pt>
                <c:pt idx="987">
                  <c:v>770.52896740167785</c:v>
                </c:pt>
                <c:pt idx="988">
                  <c:v>770.52896740167785</c:v>
                </c:pt>
                <c:pt idx="989">
                  <c:v>770.52896740167785</c:v>
                </c:pt>
                <c:pt idx="990">
                  <c:v>770.52896740167785</c:v>
                </c:pt>
                <c:pt idx="991">
                  <c:v>770.52896740167785</c:v>
                </c:pt>
                <c:pt idx="992">
                  <c:v>770.52896740167785</c:v>
                </c:pt>
                <c:pt idx="993">
                  <c:v>770.52896740167785</c:v>
                </c:pt>
                <c:pt idx="994">
                  <c:v>770.52896740167785</c:v>
                </c:pt>
                <c:pt idx="995">
                  <c:v>770.52896740167785</c:v>
                </c:pt>
                <c:pt idx="996">
                  <c:v>770.52896740167785</c:v>
                </c:pt>
                <c:pt idx="997">
                  <c:v>770.52896740167785</c:v>
                </c:pt>
                <c:pt idx="998">
                  <c:v>770.52896740167785</c:v>
                </c:pt>
                <c:pt idx="999">
                  <c:v>770.52896740167785</c:v>
                </c:pt>
                <c:pt idx="1000">
                  <c:v>770.52896740167785</c:v>
                </c:pt>
              </c:numCache>
            </c:numRef>
          </c:yVal>
          <c:smooth val="0"/>
          <c:extLst>
            <c:ext xmlns:c16="http://schemas.microsoft.com/office/drawing/2014/chart" uri="{C3380CC4-5D6E-409C-BE32-E72D297353CC}">
              <c16:uniqueId val="{00000000-B5CC-4BD6-9E0D-EA30945FB569}"/>
            </c:ext>
          </c:extLst>
        </c:ser>
        <c:ser>
          <c:idx val="1"/>
          <c:order val="1"/>
          <c:tx>
            <c:strRef>
              <c:f>Courbes!$B$143</c:f>
              <c:strCache>
                <c:ptCount val="1"/>
                <c:pt idx="0">
                  <c:v>Altitude</c:v>
                </c:pt>
              </c:strCache>
            </c:strRef>
          </c:tx>
          <c:spPr>
            <a:ln w="12700">
              <a:solidFill>
                <a:srgbClr val="00008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33.200000000000202</c:v>
                </c:pt>
                <c:pt idx="513">
                  <c:v>33.300000000000203</c:v>
                </c:pt>
                <c:pt idx="514">
                  <c:v>33.400000000000205</c:v>
                </c:pt>
                <c:pt idx="515">
                  <c:v>33.500000000000206</c:v>
                </c:pt>
                <c:pt idx="516">
                  <c:v>33.600000000000207</c:v>
                </c:pt>
                <c:pt idx="517">
                  <c:v>33.700000000000209</c:v>
                </c:pt>
                <c:pt idx="518">
                  <c:v>33.80000000000021</c:v>
                </c:pt>
                <c:pt idx="519">
                  <c:v>33.900000000000212</c:v>
                </c:pt>
                <c:pt idx="520">
                  <c:v>34.000000000000213</c:v>
                </c:pt>
                <c:pt idx="521">
                  <c:v>34.100000000000215</c:v>
                </c:pt>
                <c:pt idx="522">
                  <c:v>34.200000000000216</c:v>
                </c:pt>
                <c:pt idx="523">
                  <c:v>34.300000000000217</c:v>
                </c:pt>
                <c:pt idx="524">
                  <c:v>34.400000000000219</c:v>
                </c:pt>
                <c:pt idx="525">
                  <c:v>34.50000000000022</c:v>
                </c:pt>
                <c:pt idx="526">
                  <c:v>34.500100000000224</c:v>
                </c:pt>
                <c:pt idx="527">
                  <c:v>34.500200000000227</c:v>
                </c:pt>
                <c:pt idx="528">
                  <c:v>34.50030000000023</c:v>
                </c:pt>
                <c:pt idx="529">
                  <c:v>34.500400000000234</c:v>
                </c:pt>
                <c:pt idx="530">
                  <c:v>34.500500000000237</c:v>
                </c:pt>
                <c:pt idx="531">
                  <c:v>34.50060000000024</c:v>
                </c:pt>
                <c:pt idx="532">
                  <c:v>34.500700000000244</c:v>
                </c:pt>
                <c:pt idx="533">
                  <c:v>34.500800000000247</c:v>
                </c:pt>
                <c:pt idx="534">
                  <c:v>34.50090000000025</c:v>
                </c:pt>
                <c:pt idx="535">
                  <c:v>34.501000000000253</c:v>
                </c:pt>
                <c:pt idx="536">
                  <c:v>34.501100000000257</c:v>
                </c:pt>
                <c:pt idx="537">
                  <c:v>34.50120000000026</c:v>
                </c:pt>
                <c:pt idx="538">
                  <c:v>34.501300000000263</c:v>
                </c:pt>
                <c:pt idx="539">
                  <c:v>34.501400000000267</c:v>
                </c:pt>
                <c:pt idx="540">
                  <c:v>34.50150000000027</c:v>
                </c:pt>
                <c:pt idx="541">
                  <c:v>34.501600000000273</c:v>
                </c:pt>
                <c:pt idx="542">
                  <c:v>34.501700000000277</c:v>
                </c:pt>
                <c:pt idx="543">
                  <c:v>34.50180000000028</c:v>
                </c:pt>
                <c:pt idx="544">
                  <c:v>34.501900000000283</c:v>
                </c:pt>
                <c:pt idx="545">
                  <c:v>34.502000000000287</c:v>
                </c:pt>
                <c:pt idx="546">
                  <c:v>34.50210000000029</c:v>
                </c:pt>
                <c:pt idx="547">
                  <c:v>34.502200000000293</c:v>
                </c:pt>
                <c:pt idx="548">
                  <c:v>34.502300000000297</c:v>
                </c:pt>
                <c:pt idx="549">
                  <c:v>34.5024000000003</c:v>
                </c:pt>
                <c:pt idx="550">
                  <c:v>34.502500000000303</c:v>
                </c:pt>
                <c:pt idx="551">
                  <c:v>34.502600000000307</c:v>
                </c:pt>
                <c:pt idx="552">
                  <c:v>34.50270000000031</c:v>
                </c:pt>
                <c:pt idx="553">
                  <c:v>34.502800000000313</c:v>
                </c:pt>
                <c:pt idx="554">
                  <c:v>34.502900000000317</c:v>
                </c:pt>
                <c:pt idx="555">
                  <c:v>34.50300000000032</c:v>
                </c:pt>
                <c:pt idx="556">
                  <c:v>34.503100000000323</c:v>
                </c:pt>
                <c:pt idx="557">
                  <c:v>34.503200000000326</c:v>
                </c:pt>
                <c:pt idx="558">
                  <c:v>34.50330000000033</c:v>
                </c:pt>
                <c:pt idx="559">
                  <c:v>34.503400000000333</c:v>
                </c:pt>
                <c:pt idx="560">
                  <c:v>34.503500000000336</c:v>
                </c:pt>
                <c:pt idx="561">
                  <c:v>34.50360000000034</c:v>
                </c:pt>
                <c:pt idx="562">
                  <c:v>34.503700000000343</c:v>
                </c:pt>
                <c:pt idx="563">
                  <c:v>34.503800000000346</c:v>
                </c:pt>
                <c:pt idx="564">
                  <c:v>34.50390000000035</c:v>
                </c:pt>
                <c:pt idx="565">
                  <c:v>34.504000000000353</c:v>
                </c:pt>
                <c:pt idx="566">
                  <c:v>34.504100000000356</c:v>
                </c:pt>
                <c:pt idx="567">
                  <c:v>34.50420000000036</c:v>
                </c:pt>
                <c:pt idx="568">
                  <c:v>34.504300000000363</c:v>
                </c:pt>
                <c:pt idx="569">
                  <c:v>34.504400000000366</c:v>
                </c:pt>
                <c:pt idx="570">
                  <c:v>34.50450000000037</c:v>
                </c:pt>
                <c:pt idx="571">
                  <c:v>34.504600000000373</c:v>
                </c:pt>
                <c:pt idx="572">
                  <c:v>34.504700000000376</c:v>
                </c:pt>
                <c:pt idx="573">
                  <c:v>34.50480000000038</c:v>
                </c:pt>
                <c:pt idx="574">
                  <c:v>34.504900000000383</c:v>
                </c:pt>
                <c:pt idx="575">
                  <c:v>34.505000000000386</c:v>
                </c:pt>
                <c:pt idx="576">
                  <c:v>34.50510000000039</c:v>
                </c:pt>
                <c:pt idx="577">
                  <c:v>34.505200000000393</c:v>
                </c:pt>
                <c:pt idx="578">
                  <c:v>34.505300000000396</c:v>
                </c:pt>
                <c:pt idx="579">
                  <c:v>34.5054000000004</c:v>
                </c:pt>
                <c:pt idx="580">
                  <c:v>34.505500000000403</c:v>
                </c:pt>
                <c:pt idx="581">
                  <c:v>34.505600000000406</c:v>
                </c:pt>
                <c:pt idx="582">
                  <c:v>34.505700000000409</c:v>
                </c:pt>
                <c:pt idx="583">
                  <c:v>34.505800000000413</c:v>
                </c:pt>
                <c:pt idx="584">
                  <c:v>34.505900000000416</c:v>
                </c:pt>
                <c:pt idx="585">
                  <c:v>34.506000000000419</c:v>
                </c:pt>
                <c:pt idx="586">
                  <c:v>34.506100000000423</c:v>
                </c:pt>
                <c:pt idx="587">
                  <c:v>34.506200000000426</c:v>
                </c:pt>
                <c:pt idx="588">
                  <c:v>34.506300000000429</c:v>
                </c:pt>
                <c:pt idx="589">
                  <c:v>34.506400000000433</c:v>
                </c:pt>
                <c:pt idx="590">
                  <c:v>34.506500000000436</c:v>
                </c:pt>
                <c:pt idx="591">
                  <c:v>34.506600000000439</c:v>
                </c:pt>
                <c:pt idx="592">
                  <c:v>34.506700000000443</c:v>
                </c:pt>
                <c:pt idx="593">
                  <c:v>34.506800000000446</c:v>
                </c:pt>
                <c:pt idx="594">
                  <c:v>34.506900000000449</c:v>
                </c:pt>
                <c:pt idx="595">
                  <c:v>34.507000000000453</c:v>
                </c:pt>
                <c:pt idx="596">
                  <c:v>34.507100000000456</c:v>
                </c:pt>
                <c:pt idx="597">
                  <c:v>34.507200000000459</c:v>
                </c:pt>
                <c:pt idx="598">
                  <c:v>34.507300000000463</c:v>
                </c:pt>
                <c:pt idx="599">
                  <c:v>34.507400000000466</c:v>
                </c:pt>
                <c:pt idx="600">
                  <c:v>34.507500000000469</c:v>
                </c:pt>
                <c:pt idx="601">
                  <c:v>34.507600000000473</c:v>
                </c:pt>
                <c:pt idx="602">
                  <c:v>34.507700000000476</c:v>
                </c:pt>
                <c:pt idx="603">
                  <c:v>34.507800000000479</c:v>
                </c:pt>
                <c:pt idx="604">
                  <c:v>34.507900000000483</c:v>
                </c:pt>
                <c:pt idx="605">
                  <c:v>34.508000000000486</c:v>
                </c:pt>
                <c:pt idx="606">
                  <c:v>34.508100000000489</c:v>
                </c:pt>
                <c:pt idx="607">
                  <c:v>34.508200000000492</c:v>
                </c:pt>
                <c:pt idx="608">
                  <c:v>34.508300000000496</c:v>
                </c:pt>
                <c:pt idx="609">
                  <c:v>34.508400000000499</c:v>
                </c:pt>
                <c:pt idx="610">
                  <c:v>34.508500000000502</c:v>
                </c:pt>
                <c:pt idx="611">
                  <c:v>34.508600000000506</c:v>
                </c:pt>
                <c:pt idx="612">
                  <c:v>34.508700000000509</c:v>
                </c:pt>
                <c:pt idx="613">
                  <c:v>34.508800000000512</c:v>
                </c:pt>
                <c:pt idx="614">
                  <c:v>34.508900000000516</c:v>
                </c:pt>
                <c:pt idx="615">
                  <c:v>34.509000000000519</c:v>
                </c:pt>
                <c:pt idx="616">
                  <c:v>34.509100000000522</c:v>
                </c:pt>
                <c:pt idx="617">
                  <c:v>34.509200000000526</c:v>
                </c:pt>
                <c:pt idx="618">
                  <c:v>34.509300000000529</c:v>
                </c:pt>
                <c:pt idx="619">
                  <c:v>34.509400000000532</c:v>
                </c:pt>
                <c:pt idx="620">
                  <c:v>34.509500000000536</c:v>
                </c:pt>
                <c:pt idx="621">
                  <c:v>34.509600000000539</c:v>
                </c:pt>
                <c:pt idx="622">
                  <c:v>34.509700000000542</c:v>
                </c:pt>
                <c:pt idx="623">
                  <c:v>34.509800000000546</c:v>
                </c:pt>
                <c:pt idx="624">
                  <c:v>34.509900000000549</c:v>
                </c:pt>
                <c:pt idx="625">
                  <c:v>34.510000000000552</c:v>
                </c:pt>
                <c:pt idx="626">
                  <c:v>34.510100000000556</c:v>
                </c:pt>
                <c:pt idx="627">
                  <c:v>34.510200000000559</c:v>
                </c:pt>
                <c:pt idx="628">
                  <c:v>34.510300000000562</c:v>
                </c:pt>
                <c:pt idx="629">
                  <c:v>34.510400000000566</c:v>
                </c:pt>
                <c:pt idx="630">
                  <c:v>34.510500000000569</c:v>
                </c:pt>
                <c:pt idx="631">
                  <c:v>34.510600000000572</c:v>
                </c:pt>
                <c:pt idx="632">
                  <c:v>34.510700000000575</c:v>
                </c:pt>
                <c:pt idx="633">
                  <c:v>34.510800000000579</c:v>
                </c:pt>
                <c:pt idx="634">
                  <c:v>34.510900000000582</c:v>
                </c:pt>
                <c:pt idx="635">
                  <c:v>34.511000000000585</c:v>
                </c:pt>
                <c:pt idx="636">
                  <c:v>34.511100000000589</c:v>
                </c:pt>
                <c:pt idx="637">
                  <c:v>34.511200000000592</c:v>
                </c:pt>
                <c:pt idx="638">
                  <c:v>34.511300000000595</c:v>
                </c:pt>
                <c:pt idx="639">
                  <c:v>34.511400000000599</c:v>
                </c:pt>
                <c:pt idx="640">
                  <c:v>34.511500000000602</c:v>
                </c:pt>
                <c:pt idx="641">
                  <c:v>34.511600000000605</c:v>
                </c:pt>
                <c:pt idx="642">
                  <c:v>34.511700000000609</c:v>
                </c:pt>
                <c:pt idx="643">
                  <c:v>34.511800000000612</c:v>
                </c:pt>
                <c:pt idx="644">
                  <c:v>34.511900000000615</c:v>
                </c:pt>
                <c:pt idx="645">
                  <c:v>34.512000000000619</c:v>
                </c:pt>
                <c:pt idx="646">
                  <c:v>34.512100000000622</c:v>
                </c:pt>
                <c:pt idx="647">
                  <c:v>34.512200000000625</c:v>
                </c:pt>
                <c:pt idx="648">
                  <c:v>34.512300000000629</c:v>
                </c:pt>
                <c:pt idx="649">
                  <c:v>34.512400000000632</c:v>
                </c:pt>
                <c:pt idx="650">
                  <c:v>34.512500000000635</c:v>
                </c:pt>
                <c:pt idx="651">
                  <c:v>34.512600000000639</c:v>
                </c:pt>
                <c:pt idx="652">
                  <c:v>34.512700000000642</c:v>
                </c:pt>
                <c:pt idx="653">
                  <c:v>34.512800000000645</c:v>
                </c:pt>
                <c:pt idx="654">
                  <c:v>34.512900000000649</c:v>
                </c:pt>
                <c:pt idx="655">
                  <c:v>34.513000000000652</c:v>
                </c:pt>
                <c:pt idx="656">
                  <c:v>34.513100000000655</c:v>
                </c:pt>
                <c:pt idx="657">
                  <c:v>34.513200000000658</c:v>
                </c:pt>
                <c:pt idx="658">
                  <c:v>34.513300000000662</c:v>
                </c:pt>
                <c:pt idx="659">
                  <c:v>34.513400000000665</c:v>
                </c:pt>
                <c:pt idx="660">
                  <c:v>34.513500000000668</c:v>
                </c:pt>
                <c:pt idx="661">
                  <c:v>34.513600000000672</c:v>
                </c:pt>
                <c:pt idx="662">
                  <c:v>34.513700000000675</c:v>
                </c:pt>
                <c:pt idx="663">
                  <c:v>34.513800000000678</c:v>
                </c:pt>
                <c:pt idx="664">
                  <c:v>34.513900000000682</c:v>
                </c:pt>
                <c:pt idx="665">
                  <c:v>34.514000000000685</c:v>
                </c:pt>
                <c:pt idx="666">
                  <c:v>34.514100000000688</c:v>
                </c:pt>
                <c:pt idx="667">
                  <c:v>34.514200000000692</c:v>
                </c:pt>
                <c:pt idx="668">
                  <c:v>34.514300000000695</c:v>
                </c:pt>
                <c:pt idx="669">
                  <c:v>34.514400000000698</c:v>
                </c:pt>
                <c:pt idx="670">
                  <c:v>34.514500000000702</c:v>
                </c:pt>
                <c:pt idx="671">
                  <c:v>34.514600000000705</c:v>
                </c:pt>
                <c:pt idx="672">
                  <c:v>34.514700000000708</c:v>
                </c:pt>
                <c:pt idx="673">
                  <c:v>34.514800000000712</c:v>
                </c:pt>
                <c:pt idx="674">
                  <c:v>34.514900000000715</c:v>
                </c:pt>
                <c:pt idx="675">
                  <c:v>34.515000000000718</c:v>
                </c:pt>
                <c:pt idx="676">
                  <c:v>34.515100000000722</c:v>
                </c:pt>
                <c:pt idx="677">
                  <c:v>34.515200000000725</c:v>
                </c:pt>
                <c:pt idx="678">
                  <c:v>34.515300000000728</c:v>
                </c:pt>
                <c:pt idx="679">
                  <c:v>34.515400000000731</c:v>
                </c:pt>
                <c:pt idx="680">
                  <c:v>34.515500000000735</c:v>
                </c:pt>
                <c:pt idx="681">
                  <c:v>34.515600000000738</c:v>
                </c:pt>
                <c:pt idx="682">
                  <c:v>34.515700000000741</c:v>
                </c:pt>
                <c:pt idx="683">
                  <c:v>34.515800000000745</c:v>
                </c:pt>
                <c:pt idx="684">
                  <c:v>34.515900000000748</c:v>
                </c:pt>
                <c:pt idx="685">
                  <c:v>34.516000000000751</c:v>
                </c:pt>
                <c:pt idx="686">
                  <c:v>34.516100000000755</c:v>
                </c:pt>
                <c:pt idx="687">
                  <c:v>34.516200000000758</c:v>
                </c:pt>
                <c:pt idx="688">
                  <c:v>34.516300000000761</c:v>
                </c:pt>
                <c:pt idx="689">
                  <c:v>34.516400000000765</c:v>
                </c:pt>
                <c:pt idx="690">
                  <c:v>34.516500000000768</c:v>
                </c:pt>
                <c:pt idx="691">
                  <c:v>34.516600000000771</c:v>
                </c:pt>
                <c:pt idx="692">
                  <c:v>34.516700000000775</c:v>
                </c:pt>
                <c:pt idx="693">
                  <c:v>34.516800000000778</c:v>
                </c:pt>
                <c:pt idx="694">
                  <c:v>34.516900000000781</c:v>
                </c:pt>
                <c:pt idx="695">
                  <c:v>34.517000000000785</c:v>
                </c:pt>
                <c:pt idx="696">
                  <c:v>34.517100000000788</c:v>
                </c:pt>
                <c:pt idx="697">
                  <c:v>34.517200000000791</c:v>
                </c:pt>
                <c:pt idx="698">
                  <c:v>34.517300000000795</c:v>
                </c:pt>
                <c:pt idx="699">
                  <c:v>34.517400000000798</c:v>
                </c:pt>
                <c:pt idx="700">
                  <c:v>34.517500000000801</c:v>
                </c:pt>
                <c:pt idx="701">
                  <c:v>34.517600000000805</c:v>
                </c:pt>
                <c:pt idx="702">
                  <c:v>34.517700000000808</c:v>
                </c:pt>
                <c:pt idx="703">
                  <c:v>34.517800000000811</c:v>
                </c:pt>
                <c:pt idx="704">
                  <c:v>34.517900000000814</c:v>
                </c:pt>
                <c:pt idx="705">
                  <c:v>34.518000000000818</c:v>
                </c:pt>
                <c:pt idx="706">
                  <c:v>34.518100000000821</c:v>
                </c:pt>
                <c:pt idx="707">
                  <c:v>34.518200000000824</c:v>
                </c:pt>
                <c:pt idx="708">
                  <c:v>34.518300000000828</c:v>
                </c:pt>
                <c:pt idx="709">
                  <c:v>34.518400000000831</c:v>
                </c:pt>
                <c:pt idx="710">
                  <c:v>34.518500000000834</c:v>
                </c:pt>
                <c:pt idx="711">
                  <c:v>34.518600000000838</c:v>
                </c:pt>
                <c:pt idx="712">
                  <c:v>34.518700000000841</c:v>
                </c:pt>
                <c:pt idx="713">
                  <c:v>34.518800000000844</c:v>
                </c:pt>
                <c:pt idx="714">
                  <c:v>34.518900000000848</c:v>
                </c:pt>
                <c:pt idx="715">
                  <c:v>34.519000000000851</c:v>
                </c:pt>
                <c:pt idx="716">
                  <c:v>34.519100000000854</c:v>
                </c:pt>
                <c:pt idx="717">
                  <c:v>34.519200000000858</c:v>
                </c:pt>
                <c:pt idx="718">
                  <c:v>34.519300000000861</c:v>
                </c:pt>
                <c:pt idx="719">
                  <c:v>34.519400000000864</c:v>
                </c:pt>
                <c:pt idx="720">
                  <c:v>34.519500000000868</c:v>
                </c:pt>
                <c:pt idx="721">
                  <c:v>34.519600000000871</c:v>
                </c:pt>
                <c:pt idx="722">
                  <c:v>34.519700000000874</c:v>
                </c:pt>
                <c:pt idx="723">
                  <c:v>34.519800000000878</c:v>
                </c:pt>
                <c:pt idx="724">
                  <c:v>34.519900000000881</c:v>
                </c:pt>
                <c:pt idx="725">
                  <c:v>34.520000000000884</c:v>
                </c:pt>
                <c:pt idx="726">
                  <c:v>34.520100000000888</c:v>
                </c:pt>
                <c:pt idx="727">
                  <c:v>34.520200000000891</c:v>
                </c:pt>
                <c:pt idx="728">
                  <c:v>34.520300000000894</c:v>
                </c:pt>
                <c:pt idx="729">
                  <c:v>34.520400000000897</c:v>
                </c:pt>
                <c:pt idx="730">
                  <c:v>34.520500000000901</c:v>
                </c:pt>
                <c:pt idx="731">
                  <c:v>34.520600000000904</c:v>
                </c:pt>
                <c:pt idx="732">
                  <c:v>34.520700000000907</c:v>
                </c:pt>
                <c:pt idx="733">
                  <c:v>34.520800000000911</c:v>
                </c:pt>
                <c:pt idx="734">
                  <c:v>34.520900000000914</c:v>
                </c:pt>
                <c:pt idx="735">
                  <c:v>34.521000000000917</c:v>
                </c:pt>
                <c:pt idx="736">
                  <c:v>34.521100000000921</c:v>
                </c:pt>
                <c:pt idx="737">
                  <c:v>34.521200000000924</c:v>
                </c:pt>
                <c:pt idx="738">
                  <c:v>34.521300000000927</c:v>
                </c:pt>
                <c:pt idx="739">
                  <c:v>34.521400000000931</c:v>
                </c:pt>
                <c:pt idx="740">
                  <c:v>34.521500000000934</c:v>
                </c:pt>
                <c:pt idx="741">
                  <c:v>34.521600000000937</c:v>
                </c:pt>
                <c:pt idx="742">
                  <c:v>34.521700000000941</c:v>
                </c:pt>
                <c:pt idx="743">
                  <c:v>34.521800000000944</c:v>
                </c:pt>
                <c:pt idx="744">
                  <c:v>34.521900000000947</c:v>
                </c:pt>
                <c:pt idx="745">
                  <c:v>34.522000000000951</c:v>
                </c:pt>
                <c:pt idx="746">
                  <c:v>34.522100000000954</c:v>
                </c:pt>
                <c:pt idx="747">
                  <c:v>34.522200000000957</c:v>
                </c:pt>
                <c:pt idx="748">
                  <c:v>34.522300000000961</c:v>
                </c:pt>
                <c:pt idx="749">
                  <c:v>34.522400000000964</c:v>
                </c:pt>
                <c:pt idx="750">
                  <c:v>34.522500000000967</c:v>
                </c:pt>
                <c:pt idx="751">
                  <c:v>34.522600000000971</c:v>
                </c:pt>
                <c:pt idx="752">
                  <c:v>34.522700000000974</c:v>
                </c:pt>
                <c:pt idx="753">
                  <c:v>34.522800000000977</c:v>
                </c:pt>
                <c:pt idx="754">
                  <c:v>34.52290000000098</c:v>
                </c:pt>
                <c:pt idx="755">
                  <c:v>34.523000000000984</c:v>
                </c:pt>
                <c:pt idx="756">
                  <c:v>34.523100000000987</c:v>
                </c:pt>
                <c:pt idx="757">
                  <c:v>34.52320000000099</c:v>
                </c:pt>
                <c:pt idx="758">
                  <c:v>34.523300000000994</c:v>
                </c:pt>
                <c:pt idx="759">
                  <c:v>34.523400000000997</c:v>
                </c:pt>
                <c:pt idx="760">
                  <c:v>34.523500000001</c:v>
                </c:pt>
                <c:pt idx="761">
                  <c:v>34.523600000001004</c:v>
                </c:pt>
                <c:pt idx="762">
                  <c:v>34.523700000001007</c:v>
                </c:pt>
                <c:pt idx="763">
                  <c:v>34.52380000000101</c:v>
                </c:pt>
                <c:pt idx="764">
                  <c:v>34.523900000001014</c:v>
                </c:pt>
                <c:pt idx="765">
                  <c:v>34.524000000001017</c:v>
                </c:pt>
                <c:pt idx="766">
                  <c:v>34.52410000000102</c:v>
                </c:pt>
                <c:pt idx="767">
                  <c:v>34.524200000001024</c:v>
                </c:pt>
                <c:pt idx="768">
                  <c:v>34.524300000001027</c:v>
                </c:pt>
                <c:pt idx="769">
                  <c:v>34.52440000000103</c:v>
                </c:pt>
                <c:pt idx="770">
                  <c:v>34.524500000001034</c:v>
                </c:pt>
                <c:pt idx="771">
                  <c:v>34.524600000001037</c:v>
                </c:pt>
                <c:pt idx="772">
                  <c:v>34.52470000000104</c:v>
                </c:pt>
                <c:pt idx="773">
                  <c:v>34.524800000001044</c:v>
                </c:pt>
                <c:pt idx="774">
                  <c:v>34.524900000001047</c:v>
                </c:pt>
                <c:pt idx="775">
                  <c:v>34.52500000000105</c:v>
                </c:pt>
                <c:pt idx="776">
                  <c:v>34.525100000001054</c:v>
                </c:pt>
                <c:pt idx="777">
                  <c:v>34.525200000001057</c:v>
                </c:pt>
                <c:pt idx="778">
                  <c:v>34.52530000000106</c:v>
                </c:pt>
                <c:pt idx="779">
                  <c:v>34.525400000001063</c:v>
                </c:pt>
                <c:pt idx="780">
                  <c:v>34.525500000001067</c:v>
                </c:pt>
                <c:pt idx="781">
                  <c:v>34.52560000000107</c:v>
                </c:pt>
                <c:pt idx="782">
                  <c:v>34.525700000001073</c:v>
                </c:pt>
                <c:pt idx="783">
                  <c:v>34.525800000001077</c:v>
                </c:pt>
                <c:pt idx="784">
                  <c:v>34.52590000000108</c:v>
                </c:pt>
                <c:pt idx="785">
                  <c:v>34.526000000001083</c:v>
                </c:pt>
                <c:pt idx="786">
                  <c:v>34.526100000001087</c:v>
                </c:pt>
                <c:pt idx="787">
                  <c:v>34.52620000000109</c:v>
                </c:pt>
                <c:pt idx="788">
                  <c:v>34.526300000001093</c:v>
                </c:pt>
                <c:pt idx="789">
                  <c:v>34.526400000001097</c:v>
                </c:pt>
                <c:pt idx="790">
                  <c:v>34.5265000000011</c:v>
                </c:pt>
                <c:pt idx="791">
                  <c:v>34.526600000001103</c:v>
                </c:pt>
                <c:pt idx="792">
                  <c:v>34.526700000001107</c:v>
                </c:pt>
                <c:pt idx="793">
                  <c:v>34.52680000000111</c:v>
                </c:pt>
                <c:pt idx="794">
                  <c:v>34.526900000001113</c:v>
                </c:pt>
                <c:pt idx="795">
                  <c:v>34.527000000001117</c:v>
                </c:pt>
                <c:pt idx="796">
                  <c:v>34.52710000000112</c:v>
                </c:pt>
                <c:pt idx="797">
                  <c:v>34.527200000001123</c:v>
                </c:pt>
                <c:pt idx="798">
                  <c:v>34.527300000001127</c:v>
                </c:pt>
                <c:pt idx="799">
                  <c:v>34.52740000000113</c:v>
                </c:pt>
                <c:pt idx="800">
                  <c:v>34.527500000001133</c:v>
                </c:pt>
                <c:pt idx="801">
                  <c:v>34.527600000001136</c:v>
                </c:pt>
                <c:pt idx="802">
                  <c:v>34.52770000000114</c:v>
                </c:pt>
                <c:pt idx="803">
                  <c:v>34.527800000001143</c:v>
                </c:pt>
                <c:pt idx="804">
                  <c:v>34.527900000001146</c:v>
                </c:pt>
                <c:pt idx="805">
                  <c:v>34.52800000000115</c:v>
                </c:pt>
                <c:pt idx="806">
                  <c:v>34.528100000001153</c:v>
                </c:pt>
                <c:pt idx="807">
                  <c:v>34.528200000001156</c:v>
                </c:pt>
                <c:pt idx="808">
                  <c:v>34.52830000000116</c:v>
                </c:pt>
                <c:pt idx="809">
                  <c:v>34.528400000001163</c:v>
                </c:pt>
                <c:pt idx="810">
                  <c:v>34.528500000001166</c:v>
                </c:pt>
                <c:pt idx="811">
                  <c:v>34.52860000000117</c:v>
                </c:pt>
                <c:pt idx="812">
                  <c:v>34.528700000001173</c:v>
                </c:pt>
                <c:pt idx="813">
                  <c:v>34.528800000001176</c:v>
                </c:pt>
                <c:pt idx="814">
                  <c:v>34.52890000000118</c:v>
                </c:pt>
                <c:pt idx="815">
                  <c:v>34.529000000001183</c:v>
                </c:pt>
                <c:pt idx="816">
                  <c:v>34.529100000001186</c:v>
                </c:pt>
                <c:pt idx="817">
                  <c:v>34.52920000000119</c:v>
                </c:pt>
                <c:pt idx="818">
                  <c:v>34.529300000001193</c:v>
                </c:pt>
                <c:pt idx="819">
                  <c:v>34.529400000001196</c:v>
                </c:pt>
                <c:pt idx="820">
                  <c:v>34.5295000000012</c:v>
                </c:pt>
                <c:pt idx="821">
                  <c:v>34.529600000001203</c:v>
                </c:pt>
                <c:pt idx="822">
                  <c:v>34.529700000001206</c:v>
                </c:pt>
                <c:pt idx="823">
                  <c:v>34.52980000000121</c:v>
                </c:pt>
                <c:pt idx="824">
                  <c:v>34.529900000001213</c:v>
                </c:pt>
                <c:pt idx="825">
                  <c:v>34.530000000001216</c:v>
                </c:pt>
                <c:pt idx="826">
                  <c:v>34.530100000001219</c:v>
                </c:pt>
                <c:pt idx="827">
                  <c:v>34.530200000001223</c:v>
                </c:pt>
                <c:pt idx="828">
                  <c:v>34.530300000001226</c:v>
                </c:pt>
                <c:pt idx="829">
                  <c:v>34.530400000001229</c:v>
                </c:pt>
                <c:pt idx="830">
                  <c:v>34.530500000001233</c:v>
                </c:pt>
                <c:pt idx="831">
                  <c:v>34.530600000001236</c:v>
                </c:pt>
                <c:pt idx="832">
                  <c:v>34.530700000001239</c:v>
                </c:pt>
                <c:pt idx="833">
                  <c:v>34.530800000001243</c:v>
                </c:pt>
                <c:pt idx="834">
                  <c:v>34.530900000001246</c:v>
                </c:pt>
                <c:pt idx="835">
                  <c:v>34.531000000001249</c:v>
                </c:pt>
                <c:pt idx="836">
                  <c:v>34.531100000001253</c:v>
                </c:pt>
                <c:pt idx="837">
                  <c:v>34.531200000001256</c:v>
                </c:pt>
                <c:pt idx="838">
                  <c:v>34.531300000001259</c:v>
                </c:pt>
                <c:pt idx="839">
                  <c:v>34.531400000001263</c:v>
                </c:pt>
                <c:pt idx="840">
                  <c:v>34.531500000001266</c:v>
                </c:pt>
                <c:pt idx="841">
                  <c:v>34.531600000001269</c:v>
                </c:pt>
                <c:pt idx="842">
                  <c:v>34.531700000001273</c:v>
                </c:pt>
                <c:pt idx="843">
                  <c:v>34.531800000001276</c:v>
                </c:pt>
                <c:pt idx="844">
                  <c:v>34.531900000001279</c:v>
                </c:pt>
                <c:pt idx="845">
                  <c:v>34.532000000001283</c:v>
                </c:pt>
                <c:pt idx="846">
                  <c:v>34.532100000001286</c:v>
                </c:pt>
                <c:pt idx="847">
                  <c:v>34.532200000001289</c:v>
                </c:pt>
                <c:pt idx="848">
                  <c:v>34.532300000001293</c:v>
                </c:pt>
                <c:pt idx="849">
                  <c:v>34.532400000001296</c:v>
                </c:pt>
                <c:pt idx="850">
                  <c:v>34.532500000001299</c:v>
                </c:pt>
                <c:pt idx="851">
                  <c:v>34.532600000001302</c:v>
                </c:pt>
                <c:pt idx="852">
                  <c:v>34.532700000001306</c:v>
                </c:pt>
                <c:pt idx="853">
                  <c:v>34.532800000001309</c:v>
                </c:pt>
                <c:pt idx="854">
                  <c:v>34.532900000001312</c:v>
                </c:pt>
                <c:pt idx="855">
                  <c:v>34.533000000001316</c:v>
                </c:pt>
                <c:pt idx="856">
                  <c:v>34.533100000001319</c:v>
                </c:pt>
                <c:pt idx="857">
                  <c:v>34.533200000001322</c:v>
                </c:pt>
                <c:pt idx="858">
                  <c:v>34.533300000001326</c:v>
                </c:pt>
                <c:pt idx="859">
                  <c:v>34.533400000001329</c:v>
                </c:pt>
                <c:pt idx="860">
                  <c:v>34.533500000001332</c:v>
                </c:pt>
                <c:pt idx="861">
                  <c:v>34.533600000001336</c:v>
                </c:pt>
                <c:pt idx="862">
                  <c:v>34.533700000001339</c:v>
                </c:pt>
                <c:pt idx="863">
                  <c:v>34.533800000001342</c:v>
                </c:pt>
                <c:pt idx="864">
                  <c:v>34.533900000001346</c:v>
                </c:pt>
                <c:pt idx="865">
                  <c:v>34.534000000001349</c:v>
                </c:pt>
                <c:pt idx="866">
                  <c:v>34.534100000001352</c:v>
                </c:pt>
                <c:pt idx="867">
                  <c:v>34.534200000001356</c:v>
                </c:pt>
                <c:pt idx="868">
                  <c:v>34.534300000001359</c:v>
                </c:pt>
                <c:pt idx="869">
                  <c:v>34.534400000001362</c:v>
                </c:pt>
                <c:pt idx="870">
                  <c:v>34.534500000001366</c:v>
                </c:pt>
                <c:pt idx="871">
                  <c:v>34.534600000001369</c:v>
                </c:pt>
                <c:pt idx="872">
                  <c:v>34.534700000001372</c:v>
                </c:pt>
                <c:pt idx="873">
                  <c:v>34.534800000001376</c:v>
                </c:pt>
                <c:pt idx="874">
                  <c:v>34.534900000001379</c:v>
                </c:pt>
                <c:pt idx="875">
                  <c:v>34.535000000001382</c:v>
                </c:pt>
                <c:pt idx="876">
                  <c:v>34.535100000001385</c:v>
                </c:pt>
                <c:pt idx="877">
                  <c:v>34.535200000001389</c:v>
                </c:pt>
                <c:pt idx="878">
                  <c:v>34.535300000001392</c:v>
                </c:pt>
                <c:pt idx="879">
                  <c:v>34.535400000001395</c:v>
                </c:pt>
                <c:pt idx="880">
                  <c:v>34.535500000001399</c:v>
                </c:pt>
                <c:pt idx="881">
                  <c:v>34.535600000001402</c:v>
                </c:pt>
                <c:pt idx="882">
                  <c:v>34.535700000001405</c:v>
                </c:pt>
                <c:pt idx="883">
                  <c:v>34.535800000001409</c:v>
                </c:pt>
                <c:pt idx="884">
                  <c:v>34.535900000001412</c:v>
                </c:pt>
                <c:pt idx="885">
                  <c:v>34.536000000001415</c:v>
                </c:pt>
                <c:pt idx="886">
                  <c:v>34.536100000001419</c:v>
                </c:pt>
                <c:pt idx="887">
                  <c:v>34.536200000001422</c:v>
                </c:pt>
                <c:pt idx="888">
                  <c:v>34.536300000001425</c:v>
                </c:pt>
                <c:pt idx="889">
                  <c:v>34.536400000001429</c:v>
                </c:pt>
                <c:pt idx="890">
                  <c:v>34.536500000001432</c:v>
                </c:pt>
                <c:pt idx="891">
                  <c:v>34.536600000001435</c:v>
                </c:pt>
                <c:pt idx="892">
                  <c:v>34.536700000001439</c:v>
                </c:pt>
                <c:pt idx="893">
                  <c:v>34.536800000001442</c:v>
                </c:pt>
                <c:pt idx="894">
                  <c:v>34.536900000001445</c:v>
                </c:pt>
                <c:pt idx="895">
                  <c:v>34.537000000001449</c:v>
                </c:pt>
                <c:pt idx="896">
                  <c:v>34.537100000001452</c:v>
                </c:pt>
                <c:pt idx="897">
                  <c:v>34.537200000001455</c:v>
                </c:pt>
                <c:pt idx="898">
                  <c:v>34.537300000001458</c:v>
                </c:pt>
                <c:pt idx="899">
                  <c:v>34.537400000001462</c:v>
                </c:pt>
                <c:pt idx="900">
                  <c:v>34.537500000001465</c:v>
                </c:pt>
                <c:pt idx="901">
                  <c:v>34.537600000001468</c:v>
                </c:pt>
                <c:pt idx="902">
                  <c:v>34.537700000001472</c:v>
                </c:pt>
                <c:pt idx="903">
                  <c:v>34.537800000001475</c:v>
                </c:pt>
                <c:pt idx="904">
                  <c:v>34.537900000001478</c:v>
                </c:pt>
                <c:pt idx="905">
                  <c:v>34.538000000001482</c:v>
                </c:pt>
                <c:pt idx="906">
                  <c:v>34.538100000001485</c:v>
                </c:pt>
                <c:pt idx="907">
                  <c:v>34.538200000001488</c:v>
                </c:pt>
                <c:pt idx="908">
                  <c:v>34.538300000001492</c:v>
                </c:pt>
                <c:pt idx="909">
                  <c:v>34.538400000001495</c:v>
                </c:pt>
                <c:pt idx="910">
                  <c:v>34.538500000001498</c:v>
                </c:pt>
                <c:pt idx="911">
                  <c:v>34.538600000001502</c:v>
                </c:pt>
                <c:pt idx="912">
                  <c:v>34.538700000001505</c:v>
                </c:pt>
                <c:pt idx="913">
                  <c:v>34.538800000001508</c:v>
                </c:pt>
                <c:pt idx="914">
                  <c:v>34.538900000001512</c:v>
                </c:pt>
                <c:pt idx="915">
                  <c:v>34.539000000001515</c:v>
                </c:pt>
                <c:pt idx="916">
                  <c:v>34.539100000001518</c:v>
                </c:pt>
                <c:pt idx="917">
                  <c:v>34.539200000001522</c:v>
                </c:pt>
                <c:pt idx="918">
                  <c:v>34.539300000001525</c:v>
                </c:pt>
                <c:pt idx="919">
                  <c:v>34.539400000001528</c:v>
                </c:pt>
                <c:pt idx="920">
                  <c:v>34.539500000001532</c:v>
                </c:pt>
                <c:pt idx="921">
                  <c:v>34.539600000001535</c:v>
                </c:pt>
                <c:pt idx="922">
                  <c:v>34.539700000001538</c:v>
                </c:pt>
                <c:pt idx="923">
                  <c:v>34.539800000001541</c:v>
                </c:pt>
                <c:pt idx="924">
                  <c:v>34.539900000001545</c:v>
                </c:pt>
                <c:pt idx="925">
                  <c:v>34.540000000001548</c:v>
                </c:pt>
                <c:pt idx="926">
                  <c:v>34.540100000001551</c:v>
                </c:pt>
                <c:pt idx="927">
                  <c:v>34.540200000001555</c:v>
                </c:pt>
                <c:pt idx="928">
                  <c:v>34.540300000001558</c:v>
                </c:pt>
                <c:pt idx="929">
                  <c:v>34.540400000001561</c:v>
                </c:pt>
                <c:pt idx="930">
                  <c:v>34.540500000001565</c:v>
                </c:pt>
                <c:pt idx="931">
                  <c:v>34.540600000001568</c:v>
                </c:pt>
                <c:pt idx="932">
                  <c:v>34.540700000001571</c:v>
                </c:pt>
                <c:pt idx="933">
                  <c:v>34.540800000001575</c:v>
                </c:pt>
                <c:pt idx="934">
                  <c:v>34.540900000001578</c:v>
                </c:pt>
                <c:pt idx="935">
                  <c:v>34.541000000001581</c:v>
                </c:pt>
                <c:pt idx="936">
                  <c:v>34.541100000001585</c:v>
                </c:pt>
                <c:pt idx="937">
                  <c:v>34.541200000001588</c:v>
                </c:pt>
                <c:pt idx="938">
                  <c:v>34.541300000001591</c:v>
                </c:pt>
                <c:pt idx="939">
                  <c:v>34.541400000001595</c:v>
                </c:pt>
                <c:pt idx="940">
                  <c:v>34.541500000001598</c:v>
                </c:pt>
                <c:pt idx="941">
                  <c:v>34.541600000001601</c:v>
                </c:pt>
                <c:pt idx="942">
                  <c:v>34.541700000001605</c:v>
                </c:pt>
                <c:pt idx="943">
                  <c:v>34.541800000001608</c:v>
                </c:pt>
                <c:pt idx="944">
                  <c:v>34.541900000001611</c:v>
                </c:pt>
                <c:pt idx="945">
                  <c:v>34.542000000001615</c:v>
                </c:pt>
                <c:pt idx="946">
                  <c:v>34.542100000001618</c:v>
                </c:pt>
                <c:pt idx="947">
                  <c:v>34.542200000001621</c:v>
                </c:pt>
                <c:pt idx="948">
                  <c:v>34.542300000001624</c:v>
                </c:pt>
                <c:pt idx="949">
                  <c:v>34.542400000001628</c:v>
                </c:pt>
                <c:pt idx="950">
                  <c:v>34.542500000001631</c:v>
                </c:pt>
                <c:pt idx="951">
                  <c:v>34.542600000001634</c:v>
                </c:pt>
                <c:pt idx="952">
                  <c:v>34.542700000001638</c:v>
                </c:pt>
                <c:pt idx="953">
                  <c:v>34.542800000001641</c:v>
                </c:pt>
                <c:pt idx="954">
                  <c:v>34.542900000001644</c:v>
                </c:pt>
                <c:pt idx="955">
                  <c:v>34.543000000001648</c:v>
                </c:pt>
                <c:pt idx="956">
                  <c:v>34.543100000001651</c:v>
                </c:pt>
                <c:pt idx="957">
                  <c:v>34.543200000001654</c:v>
                </c:pt>
                <c:pt idx="958">
                  <c:v>34.543300000001658</c:v>
                </c:pt>
                <c:pt idx="959">
                  <c:v>34.543400000001661</c:v>
                </c:pt>
                <c:pt idx="960">
                  <c:v>34.543500000001664</c:v>
                </c:pt>
                <c:pt idx="961">
                  <c:v>34.543600000001668</c:v>
                </c:pt>
                <c:pt idx="962">
                  <c:v>34.543700000001671</c:v>
                </c:pt>
                <c:pt idx="963">
                  <c:v>34.543800000001674</c:v>
                </c:pt>
                <c:pt idx="964">
                  <c:v>34.543900000001678</c:v>
                </c:pt>
                <c:pt idx="965">
                  <c:v>34.544000000001681</c:v>
                </c:pt>
                <c:pt idx="966">
                  <c:v>34.544100000001684</c:v>
                </c:pt>
                <c:pt idx="967">
                  <c:v>34.544200000001688</c:v>
                </c:pt>
                <c:pt idx="968">
                  <c:v>34.544300000001691</c:v>
                </c:pt>
                <c:pt idx="969">
                  <c:v>34.544400000001694</c:v>
                </c:pt>
                <c:pt idx="970">
                  <c:v>34.544500000001698</c:v>
                </c:pt>
                <c:pt idx="971">
                  <c:v>34.544600000001701</c:v>
                </c:pt>
                <c:pt idx="972">
                  <c:v>34.544700000001704</c:v>
                </c:pt>
                <c:pt idx="973">
                  <c:v>34.544800000001707</c:v>
                </c:pt>
                <c:pt idx="974">
                  <c:v>34.544900000001711</c:v>
                </c:pt>
                <c:pt idx="975">
                  <c:v>34.545000000001714</c:v>
                </c:pt>
                <c:pt idx="976">
                  <c:v>34.545100000001717</c:v>
                </c:pt>
                <c:pt idx="977">
                  <c:v>34.545200000001721</c:v>
                </c:pt>
                <c:pt idx="978">
                  <c:v>34.545300000001724</c:v>
                </c:pt>
                <c:pt idx="979">
                  <c:v>34.545400000001727</c:v>
                </c:pt>
                <c:pt idx="980">
                  <c:v>34.545500000001731</c:v>
                </c:pt>
                <c:pt idx="981">
                  <c:v>34.545600000001734</c:v>
                </c:pt>
                <c:pt idx="982">
                  <c:v>34.545700000001737</c:v>
                </c:pt>
                <c:pt idx="983">
                  <c:v>34.545800000001741</c:v>
                </c:pt>
                <c:pt idx="984">
                  <c:v>34.545900000001744</c:v>
                </c:pt>
                <c:pt idx="985">
                  <c:v>34.546000000001747</c:v>
                </c:pt>
                <c:pt idx="986">
                  <c:v>34.546100000001751</c:v>
                </c:pt>
                <c:pt idx="987">
                  <c:v>34.546200000001754</c:v>
                </c:pt>
                <c:pt idx="988">
                  <c:v>34.546300000001757</c:v>
                </c:pt>
                <c:pt idx="989">
                  <c:v>34.546400000001761</c:v>
                </c:pt>
                <c:pt idx="990">
                  <c:v>34.546500000001764</c:v>
                </c:pt>
                <c:pt idx="991">
                  <c:v>34.546600000001767</c:v>
                </c:pt>
                <c:pt idx="992">
                  <c:v>34.546700000001771</c:v>
                </c:pt>
                <c:pt idx="993">
                  <c:v>34.546800000001774</c:v>
                </c:pt>
                <c:pt idx="994">
                  <c:v>34.546900000001777</c:v>
                </c:pt>
                <c:pt idx="995">
                  <c:v>34.547000000001781</c:v>
                </c:pt>
                <c:pt idx="996">
                  <c:v>34.547100000001784</c:v>
                </c:pt>
                <c:pt idx="997">
                  <c:v>34.547200000001787</c:v>
                </c:pt>
                <c:pt idx="998">
                  <c:v>34.54730000000179</c:v>
                </c:pt>
                <c:pt idx="999">
                  <c:v>34.547400000001794</c:v>
                </c:pt>
                <c:pt idx="1000">
                  <c:v>34.547500000001797</c:v>
                </c:pt>
              </c:numCache>
            </c:numRef>
          </c:xVal>
          <c:yVal>
            <c:numRef>
              <c:f>Calculs!$K$4:$K$1004</c:f>
              <c:numCache>
                <c:formatCode>0.00</c:formatCode>
                <c:ptCount val="1001"/>
                <c:pt idx="0">
                  <c:v>0</c:v>
                </c:pt>
                <c:pt idx="1">
                  <c:v>9.6179596057260972E-4</c:v>
                </c:pt>
                <c:pt idx="2">
                  <c:v>7.849334862307036E-3</c:v>
                </c:pt>
                <c:pt idx="3">
                  <c:v>2.7104036649354804E-2</c:v>
                </c:pt>
                <c:pt idx="4">
                  <c:v>6.0910676809744435E-2</c:v>
                </c:pt>
                <c:pt idx="5">
                  <c:v>0.10875959295515798</c:v>
                </c:pt>
                <c:pt idx="6">
                  <c:v>0.17029575024130772</c:v>
                </c:pt>
                <c:pt idx="7">
                  <c:v>0.24547517535961894</c:v>
                </c:pt>
                <c:pt idx="8">
                  <c:v>0.33440967855691439</c:v>
                </c:pt>
                <c:pt idx="9">
                  <c:v>0.43721111891433345</c:v>
                </c:pt>
                <c:pt idx="10">
                  <c:v>0.55399140167489291</c:v>
                </c:pt>
                <c:pt idx="11">
                  <c:v>0.68484628480212495</c:v>
                </c:pt>
                <c:pt idx="12">
                  <c:v>0.82983913846125701</c:v>
                </c:pt>
                <c:pt idx="13">
                  <c:v>0.989017063757757</c:v>
                </c:pt>
                <c:pt idx="14">
                  <c:v>1.1624270589549011</c:v>
                </c:pt>
                <c:pt idx="15">
                  <c:v>1.350116017579907</c:v>
                </c:pt>
                <c:pt idx="16">
                  <c:v>1.5521307265246203</c:v>
                </c:pt>
                <c:pt idx="17">
                  <c:v>1.7685178641409143</c:v>
                </c:pt>
                <c:pt idx="18">
                  <c:v>1.9993239983309685</c:v>
                </c:pt>
                <c:pt idx="19">
                  <c:v>2.244595584632592</c:v>
                </c:pt>
                <c:pt idx="20">
                  <c:v>2.5043789642997596</c:v>
                </c:pt>
                <c:pt idx="21">
                  <c:v>2.7787138599228545</c:v>
                </c:pt>
                <c:pt idx="22">
                  <c:v>3.0676268525810602</c:v>
                </c:pt>
                <c:pt idx="23">
                  <c:v>3.3711378558289589</c:v>
                </c:pt>
                <c:pt idx="24">
                  <c:v>3.6892666085400023</c:v>
                </c:pt>
                <c:pt idx="25">
                  <c:v>4.0220326737662697</c:v>
                </c:pt>
                <c:pt idx="26">
                  <c:v>4.3694406356516708</c:v>
                </c:pt>
                <c:pt idx="27">
                  <c:v>4.7314942593150162</c:v>
                </c:pt>
                <c:pt idx="28">
                  <c:v>5.1082113009258308</c:v>
                </c:pt>
                <c:pt idx="29">
                  <c:v>5.4996093651401523</c:v>
                </c:pt>
                <c:pt idx="30">
                  <c:v>5.9057059129793767</c:v>
                </c:pt>
                <c:pt idx="31">
                  <c:v>6.3265182582043593</c:v>
                </c:pt>
                <c:pt idx="32">
                  <c:v>6.7620635639505586</c:v>
                </c:pt>
                <c:pt idx="33">
                  <c:v>7.2123588395916514</c:v>
                </c:pt>
                <c:pt idx="34">
                  <c:v>7.6774209378041887</c:v>
                </c:pt>
                <c:pt idx="35">
                  <c:v>8.1572665518100607</c:v>
                </c:pt>
                <c:pt idx="36">
                  <c:v>8.6519122127770007</c:v>
                </c:pt>
                <c:pt idx="37">
                  <c:v>9.1613742873602018</c:v>
                </c:pt>
                <c:pt idx="38">
                  <c:v>9.6856689753705076</c:v>
                </c:pt>
                <c:pt idx="39">
                  <c:v>10.224812307556627</c:v>
                </c:pt>
                <c:pt idx="40">
                  <c:v>10.778820143490485</c:v>
                </c:pt>
                <c:pt idx="41">
                  <c:v>11.347703103481436</c:v>
                </c:pt>
                <c:pt idx="42">
                  <c:v>11.931461488123665</c:v>
                </c:pt>
                <c:pt idx="43">
                  <c:v>12.530090325394321</c:v>
                </c:pt>
                <c:pt idx="44">
                  <c:v>13.143584430641267</c:v>
                </c:pt>
                <c:pt idx="45">
                  <c:v>13.771938405601263</c:v>
                </c:pt>
                <c:pt idx="46">
                  <c:v>14.415146637491738</c:v>
                </c:pt>
                <c:pt idx="47">
                  <c:v>15.073203298170998</c:v>
                </c:pt>
                <c:pt idx="48">
                  <c:v>15.746102343362272</c:v>
                </c:pt>
                <c:pt idx="49">
                  <c:v>16.433837511937465</c:v>
                </c:pt>
                <c:pt idx="50">
                  <c:v>17.136402325256991</c:v>
                </c:pt>
                <c:pt idx="51">
                  <c:v>17.853790086562395</c:v>
                </c:pt>
                <c:pt idx="52">
                  <c:v>18.585993880418791</c:v>
                </c:pt>
                <c:pt idx="53">
                  <c:v>19.3330065722045</c:v>
                </c:pt>
                <c:pt idx="54">
                  <c:v>20.094820807645462</c:v>
                </c:pt>
                <c:pt idx="55">
                  <c:v>20.871429012392273</c:v>
                </c:pt>
                <c:pt idx="56">
                  <c:v>21.662823391637879</c:v>
                </c:pt>
                <c:pt idx="57">
                  <c:v>22.468995929774135</c:v>
                </c:pt>
                <c:pt idx="58">
                  <c:v>23.289938390085631</c:v>
                </c:pt>
                <c:pt idx="59">
                  <c:v>24.125642314479276</c:v>
                </c:pt>
                <c:pt idx="60">
                  <c:v>24.976099023248302</c:v>
                </c:pt>
                <c:pt idx="61">
                  <c:v>25.841299614869456</c:v>
                </c:pt>
                <c:pt idx="62">
                  <c:v>26.721234965832227</c:v>
                </c:pt>
                <c:pt idx="63">
                  <c:v>27.61589573049908</c:v>
                </c:pt>
                <c:pt idx="64">
                  <c:v>28.525272340995734</c:v>
                </c:pt>
                <c:pt idx="65">
                  <c:v>29.449355007130588</c:v>
                </c:pt>
                <c:pt idx="66">
                  <c:v>30.38813371634248</c:v>
                </c:pt>
                <c:pt idx="67">
                  <c:v>31.341598233676027</c:v>
                </c:pt>
                <c:pt idx="68">
                  <c:v>32.309738101783843</c:v>
                </c:pt>
                <c:pt idx="69">
                  <c:v>33.292542640954963</c:v>
                </c:pt>
                <c:pt idx="70">
                  <c:v>34.290000949168885</c:v>
                </c:pt>
                <c:pt idx="71">
                  <c:v>35.302101902174655</c:v>
                </c:pt>
                <c:pt idx="72">
                  <c:v>36.328834153594464</c:v>
                </c:pt>
                <c:pt idx="73">
                  <c:v>37.37018613505127</c:v>
                </c:pt>
                <c:pt idx="74">
                  <c:v>38.426146056319936</c:v>
                </c:pt>
                <c:pt idx="75">
                  <c:v>39.496701905501517</c:v>
                </c:pt>
                <c:pt idx="76">
                  <c:v>40.581841449220242</c:v>
                </c:pt>
                <c:pt idx="77">
                  <c:v>41.681552232842776</c:v>
                </c:pt>
                <c:pt idx="78">
                  <c:v>42.795821580719455</c:v>
                </c:pt>
                <c:pt idx="79">
                  <c:v>43.924636596447108</c:v>
                </c:pt>
                <c:pt idx="80">
                  <c:v>45.067984163153127</c:v>
                </c:pt>
                <c:pt idx="81">
                  <c:v>46.225845781003116</c:v>
                </c:pt>
                <c:pt idx="82">
                  <c:v>47.398192394880965</c:v>
                </c:pt>
                <c:pt idx="83">
                  <c:v>48.584989546199502</c:v>
                </c:pt>
                <c:pt idx="84">
                  <c:v>49.786202535078019</c:v>
                </c:pt>
                <c:pt idx="85">
                  <c:v>51.001796421726347</c:v>
                </c:pt>
                <c:pt idx="86">
                  <c:v>52.231736027850438</c:v>
                </c:pt>
                <c:pt idx="87">
                  <c:v>53.475985938079134</c:v>
                </c:pt>
                <c:pt idx="88">
                  <c:v>54.734510501411499</c:v>
                </c:pt>
                <c:pt idx="89">
                  <c:v>56.007273832684433</c:v>
                </c:pt>
                <c:pt idx="90">
                  <c:v>57.294239814060028</c:v>
                </c:pt>
                <c:pt idx="91">
                  <c:v>58.595369812979577</c:v>
                </c:pt>
                <c:pt idx="92">
                  <c:v>59.91062039623214</c:v>
                </c:pt>
                <c:pt idx="93">
                  <c:v>61.239945610924721</c:v>
                </c:pt>
                <c:pt idx="94">
                  <c:v>62.583299269615928</c:v>
                </c:pt>
                <c:pt idx="95">
                  <c:v>63.940634952377707</c:v>
                </c:pt>
                <c:pt idx="96">
                  <c:v>65.311906008874132</c:v>
                </c:pt>
                <c:pt idx="97">
                  <c:v>66.697065560456693</c:v>
                </c:pt>
                <c:pt idx="98">
                  <c:v>68.09606650227559</c:v>
                </c:pt>
                <c:pt idx="99">
                  <c:v>69.508861505406713</c:v>
                </c:pt>
                <c:pt idx="100">
                  <c:v>70.935403018993668</c:v>
                </c:pt>
                <c:pt idx="101">
                  <c:v>72.375642906752802</c:v>
                </c:pt>
                <c:pt idx="102">
                  <c:v>73.829532082945136</c:v>
                </c:pt>
                <c:pt idx="103">
                  <c:v>75.297020879700085</c:v>
                </c:pt>
                <c:pt idx="104">
                  <c:v>76.778059414939221</c:v>
                </c:pt>
                <c:pt idx="105">
                  <c:v>78.272597594666067</c:v>
                </c:pt>
                <c:pt idx="106">
                  <c:v>79.78058511526811</c:v>
                </c:pt>
                <c:pt idx="107">
                  <c:v>81.301971465830761</c:v>
                </c:pt>
                <c:pt idx="108">
                  <c:v>82.836705930462742</c:v>
                </c:pt>
                <c:pt idx="109">
                  <c:v>84.38473759063244</c:v>
                </c:pt>
                <c:pt idx="110">
                  <c:v>85.946015327514885</c:v>
                </c:pt>
                <c:pt idx="111">
                  <c:v>87.520492038896634</c:v>
                </c:pt>
                <c:pt idx="112">
                  <c:v>89.108128861514231</c:v>
                </c:pt>
                <c:pt idx="113">
                  <c:v>90.70889096313816</c:v>
                </c:pt>
                <c:pt idx="114">
                  <c:v>92.322743328813104</c:v>
                </c:pt>
                <c:pt idx="115">
                  <c:v>93.949650762395379</c:v>
                </c:pt>
                <c:pt idx="116">
                  <c:v>95.589577888100933</c:v>
                </c:pt>
                <c:pt idx="117">
                  <c:v>97.242489152063683</c:v>
                </c:pt>
                <c:pt idx="118">
                  <c:v>98.90834882390395</c:v>
                </c:pt>
                <c:pt idx="119">
                  <c:v>100.58712099830679</c:v>
                </c:pt>
                <c:pt idx="120">
                  <c:v>102.27876959660983</c:v>
                </c:pt>
                <c:pt idx="121">
                  <c:v>103.98325137047534</c:v>
                </c:pt>
                <c:pt idx="122">
                  <c:v>105.70050889783788</c:v>
                </c:pt>
                <c:pt idx="123">
                  <c:v>107.43047757786435</c:v>
                </c:pt>
                <c:pt idx="124">
                  <c:v>109.17309263438378</c:v>
                </c:pt>
                <c:pt idx="125">
                  <c:v>110.92828911897151</c:v>
                </c:pt>
                <c:pt idx="126">
                  <c:v>112.69600191403535</c:v>
                </c:pt>
                <c:pt idx="127">
                  <c:v>114.47616573590291</c:v>
                </c:pt>
                <c:pt idx="128">
                  <c:v>116.26871513790975</c:v>
                </c:pt>
                <c:pt idx="129">
                  <c:v>118.0735845134879</c:v>
                </c:pt>
                <c:pt idx="130">
                  <c:v>119.89070809925417</c:v>
                </c:pt>
                <c:pt idx="131">
                  <c:v>121.72001814405567</c:v>
                </c:pt>
                <c:pt idx="132">
                  <c:v>123.56144307643059</c:v>
                </c:pt>
                <c:pt idx="133">
                  <c:v>125.4149093413541</c:v>
                </c:pt>
                <c:pt idx="134">
                  <c:v>127.2803432387699</c:v>
                </c:pt>
                <c:pt idx="135">
                  <c:v>129.15767092707736</c:v>
                </c:pt>
                <c:pt idx="136">
                  <c:v>131.04681842661299</c:v>
                </c:pt>
                <c:pt idx="137">
                  <c:v>132.9477116231256</c:v>
                </c:pt>
                <c:pt idx="138">
                  <c:v>134.86027627124477</c:v>
                </c:pt>
                <c:pt idx="139">
                  <c:v>136.78443799794198</c:v>
                </c:pt>
                <c:pt idx="140">
                  <c:v>138.72012230598406</c:v>
                </c:pt>
                <c:pt idx="141">
                  <c:v>140.66723262541166</c:v>
                </c:pt>
                <c:pt idx="142">
                  <c:v>142.62562835189746</c:v>
                </c:pt>
                <c:pt idx="143">
                  <c:v>144.5951468083743</c:v>
                </c:pt>
                <c:pt idx="144">
                  <c:v>146.57562522272684</c:v>
                </c:pt>
                <c:pt idx="145">
                  <c:v>148.56690073709092</c:v>
                </c:pt>
                <c:pt idx="146">
                  <c:v>150.56881041707678</c:v>
                </c:pt>
                <c:pt idx="147">
                  <c:v>152.58119126091498</c:v>
                </c:pt>
                <c:pt idx="148">
                  <c:v>154.60388020852344</c:v>
                </c:pt>
                <c:pt idx="149">
                  <c:v>156.63671415049427</c:v>
                </c:pt>
                <c:pt idx="150">
                  <c:v>158.67952993699893</c:v>
                </c:pt>
                <c:pt idx="151">
                  <c:v>160.73216438661049</c:v>
                </c:pt>
                <c:pt idx="152">
                  <c:v>162.7944542950417</c:v>
                </c:pt>
                <c:pt idx="153">
                  <c:v>164.86623644379753</c:v>
                </c:pt>
                <c:pt idx="154">
                  <c:v>166.94734760874121</c:v>
                </c:pt>
                <c:pt idx="155">
                  <c:v>169.03762456857237</c:v>
                </c:pt>
                <c:pt idx="156">
                  <c:v>171.1368000095683</c:v>
                </c:pt>
                <c:pt idx="157">
                  <c:v>173.24439844360776</c:v>
                </c:pt>
                <c:pt idx="158">
                  <c:v>175.35984048309888</c:v>
                </c:pt>
                <c:pt idx="159">
                  <c:v>177.48254713009186</c:v>
                </c:pt>
                <c:pt idx="160">
                  <c:v>179.61193983905341</c:v>
                </c:pt>
                <c:pt idx="161">
                  <c:v>181.74730818534178</c:v>
                </c:pt>
                <c:pt idx="162">
                  <c:v>183.88767765804249</c:v>
                </c:pt>
                <c:pt idx="163">
                  <c:v>186.03195513165974</c:v>
                </c:pt>
                <c:pt idx="164">
                  <c:v>188.17907426060148</c:v>
                </c:pt>
                <c:pt idx="165">
                  <c:v>190.32810948210573</c:v>
                </c:pt>
                <c:pt idx="166">
                  <c:v>192.47838979734101</c:v>
                </c:pt>
                <c:pt idx="167">
                  <c:v>194.62927575410876</c:v>
                </c:pt>
                <c:pt idx="168">
                  <c:v>196.78000636097377</c:v>
                </c:pt>
                <c:pt idx="169">
                  <c:v>198.92959697059555</c:v>
                </c:pt>
                <c:pt idx="170">
                  <c:v>201.07680706074902</c:v>
                </c:pt>
                <c:pt idx="171">
                  <c:v>203.22076967694338</c:v>
                </c:pt>
                <c:pt idx="172">
                  <c:v>205.36127142489883</c:v>
                </c:pt>
                <c:pt idx="173">
                  <c:v>207.49832078974819</c:v>
                </c:pt>
                <c:pt idx="174">
                  <c:v>209.6319262199504</c:v>
                </c:pt>
                <c:pt idx="175">
                  <c:v>211.76209612750134</c:v>
                </c:pt>
                <c:pt idx="176">
                  <c:v>213.88883888814323</c:v>
                </c:pt>
                <c:pt idx="177">
                  <c:v>216.01216284157246</c:v>
                </c:pt>
                <c:pt idx="178">
                  <c:v>218.13207629164594</c:v>
                </c:pt>
                <c:pt idx="179">
                  <c:v>220.24858750658589</c:v>
                </c:pt>
                <c:pt idx="180">
                  <c:v>222.36170471918322</c:v>
                </c:pt>
                <c:pt idx="181">
                  <c:v>224.47143612699946</c:v>
                </c:pt>
                <c:pt idx="182">
                  <c:v>226.57778989256724</c:v>
                </c:pt>
                <c:pt idx="183">
                  <c:v>228.68077414358925</c:v>
                </c:pt>
                <c:pt idx="184">
                  <c:v>230.78039697313588</c:v>
                </c:pt>
                <c:pt idx="185">
                  <c:v>232.87666643984139</c:v>
                </c:pt>
                <c:pt idx="186">
                  <c:v>234.96959056809865</c:v>
                </c:pt>
                <c:pt idx="187">
                  <c:v>237.05917734825263</c:v>
                </c:pt>
                <c:pt idx="188">
                  <c:v>239.14543473679231</c:v>
                </c:pt>
                <c:pt idx="189">
                  <c:v>241.22837065654144</c:v>
                </c:pt>
                <c:pt idx="190">
                  <c:v>243.30799299684773</c:v>
                </c:pt>
                <c:pt idx="191">
                  <c:v>245.38430961377091</c:v>
                </c:pt>
                <c:pt idx="192">
                  <c:v>247.45732833026929</c:v>
                </c:pt>
                <c:pt idx="193">
                  <c:v>249.52705693638507</c:v>
                </c:pt>
                <c:pt idx="194">
                  <c:v>251.59350318942842</c:v>
                </c:pt>
                <c:pt idx="195">
                  <c:v>253.65667481416008</c:v>
                </c:pt>
                <c:pt idx="196">
                  <c:v>255.71657950297288</c:v>
                </c:pt>
                <c:pt idx="197">
                  <c:v>257.7732249160718</c:v>
                </c:pt>
                <c:pt idx="198">
                  <c:v>259.82661868165286</c:v>
                </c:pt>
                <c:pt idx="199">
                  <c:v>261.87676839608088</c:v>
                </c:pt>
                <c:pt idx="200">
                  <c:v>263.92368162406575</c:v>
                </c:pt>
                <c:pt idx="201">
                  <c:v>284.21539062170683</c:v>
                </c:pt>
                <c:pt idx="202">
                  <c:v>304.1882902910985</c:v>
                </c:pt>
                <c:pt idx="203">
                  <c:v>323.84964960680509</c:v>
                </c:pt>
                <c:pt idx="204">
                  <c:v>343.20644312949509</c:v>
                </c:pt>
                <c:pt idx="205">
                  <c:v>362.26536666916672</c:v>
                </c:pt>
                <c:pt idx="206">
                  <c:v>381.03285190816945</c:v>
                </c:pt>
                <c:pt idx="207">
                  <c:v>399.51508006624192</c:v>
                </c:pt>
                <c:pt idx="208">
                  <c:v>417.71799468226942</c:v>
                </c:pt>
                <c:pt idx="209">
                  <c:v>435.64731358072743</c:v>
                </c:pt>
                <c:pt idx="210">
                  <c:v>453.30854008472568</c:v>
                </c:pt>
                <c:pt idx="211">
                  <c:v>470.70697353212807</c:v>
                </c:pt>
                <c:pt idx="212">
                  <c:v>487.84771914632313</c:v>
                </c:pt>
                <c:pt idx="213">
                  <c:v>504.73569730880297</c:v>
                </c:pt>
                <c:pt idx="214">
                  <c:v>521.3756522767186</c:v>
                </c:pt>
                <c:pt idx="215">
                  <c:v>537.77216038497249</c:v>
                </c:pt>
                <c:pt idx="216">
                  <c:v>553.92963776914371</c:v>
                </c:pt>
                <c:pt idx="217">
                  <c:v>569.85234764258144</c:v>
                </c:pt>
                <c:pt idx="218">
                  <c:v>585.54440715831447</c:v>
                </c:pt>
                <c:pt idx="219">
                  <c:v>601.00979388398491</c:v>
                </c:pt>
                <c:pt idx="220">
                  <c:v>616.25235191579281</c:v>
                </c:pt>
                <c:pt idx="221">
                  <c:v>631.27579765541441</c:v>
                </c:pt>
                <c:pt idx="222">
                  <c:v>646.08372527201539</c:v>
                </c:pt>
                <c:pt idx="223">
                  <c:v>660.67961186979494</c:v>
                </c:pt>
                <c:pt idx="224">
                  <c:v>675.06682237995892</c:v>
                </c:pt>
                <c:pt idx="225">
                  <c:v>689.24861419461467</c:v>
                </c:pt>
                <c:pt idx="226">
                  <c:v>703.22814155879087</c:v>
                </c:pt>
                <c:pt idx="227">
                  <c:v>717.00845973560627</c:v>
                </c:pt>
                <c:pt idx="228">
                  <c:v>730.59252895852705</c:v>
                </c:pt>
                <c:pt idx="229">
                  <c:v>743.98321818366026</c:v>
                </c:pt>
                <c:pt idx="230">
                  <c:v>757.18330865411463</c:v>
                </c:pt>
                <c:pt idx="231">
                  <c:v>770.19549728762115</c:v>
                </c:pt>
                <c:pt idx="232">
                  <c:v>783.02239989783095</c:v>
                </c:pt>
                <c:pt idx="233">
                  <c:v>795.66655425899444</c:v>
                </c:pt>
                <c:pt idx="234">
                  <c:v>808.13042302306917</c:v>
                </c:pt>
                <c:pt idx="235">
                  <c:v>820.41639649769468</c:v>
                </c:pt>
                <c:pt idx="236">
                  <c:v>832.52679529291322</c:v>
                </c:pt>
                <c:pt idx="237">
                  <c:v>844.46387284399623</c:v>
                </c:pt>
                <c:pt idx="238">
                  <c:v>856.22981781725593</c:v>
                </c:pt>
                <c:pt idx="239">
                  <c:v>867.82675640527748</c:v>
                </c:pt>
                <c:pt idx="240">
                  <c:v>879.25675451759514</c:v>
                </c:pt>
                <c:pt idx="241">
                  <c:v>890.52181987245524</c:v>
                </c:pt>
                <c:pt idx="242">
                  <c:v>901.62390399495143</c:v>
                </c:pt>
                <c:pt idx="243">
                  <c:v>912.56490412649282</c:v>
                </c:pt>
                <c:pt idx="244">
                  <c:v>923.34666505025473</c:v>
                </c:pt>
                <c:pt idx="245">
                  <c:v>933.9709808369829</c:v>
                </c:pt>
                <c:pt idx="246">
                  <c:v>944.43959651525188</c:v>
                </c:pt>
                <c:pt idx="247">
                  <c:v>954.75420967003652</c:v>
                </c:pt>
                <c:pt idx="248">
                  <c:v>964.91647197322243</c:v>
                </c:pt>
                <c:pt idx="249">
                  <c:v>974.92799064946917</c:v>
                </c:pt>
                <c:pt idx="250">
                  <c:v>984.79032988063966</c:v>
                </c:pt>
                <c:pt idx="251">
                  <c:v>994.50501215182237</c:v>
                </c:pt>
                <c:pt idx="252">
                  <c:v>1004.0735195417992</c:v>
                </c:pt>
                <c:pt idx="253">
                  <c:v>1013.4972949606496</c:v>
                </c:pt>
                <c:pt idx="254">
                  <c:v>1022.7777433370275</c:v>
                </c:pt>
                <c:pt idx="255">
                  <c:v>1031.9162327575082</c:v>
                </c:pt>
                <c:pt idx="256">
                  <c:v>1040.9140955602661</c:v>
                </c:pt>
                <c:pt idx="257">
                  <c:v>1049.7726293852209</c:v>
                </c:pt>
                <c:pt idx="258">
                  <c:v>1058.4930981826724</c:v>
                </c:pt>
                <c:pt idx="259">
                  <c:v>1067.0767331823354</c:v>
                </c:pt>
                <c:pt idx="260">
                  <c:v>1075.5247338245815</c:v>
                </c:pt>
                <c:pt idx="261">
                  <c:v>1083.8382686555988</c:v>
                </c:pt>
                <c:pt idx="262">
                  <c:v>1092.0184761880914</c:v>
                </c:pt>
                <c:pt idx="263">
                  <c:v>1100.0664657290524</c:v>
                </c:pt>
                <c:pt idx="264">
                  <c:v>1107.9833181760675</c:v>
                </c:pt>
                <c:pt idx="265">
                  <c:v>1115.7700867835276</c:v>
                </c:pt>
                <c:pt idx="266">
                  <c:v>1123.4277979000617</c:v>
                </c:pt>
                <c:pt idx="267">
                  <c:v>1130.9574516784323</c:v>
                </c:pt>
                <c:pt idx="268">
                  <c:v>1138.3600227590732</c:v>
                </c:pt>
                <c:pt idx="269">
                  <c:v>1145.6364609283928</c:v>
                </c:pt>
                <c:pt idx="270">
                  <c:v>1152.7876917529068</c:v>
                </c:pt>
                <c:pt idx="271">
                  <c:v>1159.8146171902167</c:v>
                </c:pt>
                <c:pt idx="272">
                  <c:v>1166.718116177798</c:v>
                </c:pt>
                <c:pt idx="273">
                  <c:v>1173.4990452005156</c:v>
                </c:pt>
                <c:pt idx="274">
                  <c:v>1180.1582388377426</c:v>
                </c:pt>
                <c:pt idx="275">
                  <c:v>1186.6965102909173</c:v>
                </c:pt>
                <c:pt idx="276">
                  <c:v>1193.1146518923319</c:v>
                </c:pt>
                <c:pt idx="277">
                  <c:v>1199.4134355959143</c:v>
                </c:pt>
                <c:pt idx="278">
                  <c:v>1205.5936134507258</c:v>
                </c:pt>
                <c:pt idx="279">
                  <c:v>1211.6559180578704</c:v>
                </c:pt>
                <c:pt idx="280">
                  <c:v>1217.601063011477</c:v>
                </c:pt>
                <c:pt idx="281">
                  <c:v>1223.4297433243896</c:v>
                </c:pt>
                <c:pt idx="282">
                  <c:v>1229.1426358391752</c:v>
                </c:pt>
                <c:pt idx="283">
                  <c:v>1234.7403996250321</c:v>
                </c:pt>
                <c:pt idx="284">
                  <c:v>1240.2236763611609</c:v>
                </c:pt>
                <c:pt idx="285">
                  <c:v>1245.5930907071372</c:v>
                </c:pt>
                <c:pt idx="286">
                  <c:v>1250.8492506608072</c:v>
                </c:pt>
                <c:pt idx="287">
                  <c:v>1255.992747904208</c:v>
                </c:pt>
                <c:pt idx="288">
                  <c:v>1261.0241581379994</c:v>
                </c:pt>
                <c:pt idx="289">
                  <c:v>1265.9440414048775</c:v>
                </c:pt>
                <c:pt idx="290">
                  <c:v>1270.7529424024294</c:v>
                </c:pt>
                <c:pt idx="291">
                  <c:v>1275.451390785875</c:v>
                </c:pt>
                <c:pt idx="292">
                  <c:v>1280.0399014611323</c:v>
                </c:pt>
                <c:pt idx="293">
                  <c:v>1284.5189748686355</c:v>
                </c:pt>
                <c:pt idx="294">
                  <c:v>1288.8890972583281</c:v>
                </c:pt>
                <c:pt idx="295">
                  <c:v>1293.1507409562491</c:v>
                </c:pt>
                <c:pt idx="296">
                  <c:v>1297.3043646231281</c:v>
                </c:pt>
                <c:pt idx="297">
                  <c:v>1301.3504135054029</c:v>
                </c:pt>
                <c:pt idx="298">
                  <c:v>1305.2893196790806</c:v>
                </c:pt>
                <c:pt idx="299">
                  <c:v>1309.1215022868603</c:v>
                </c:pt>
                <c:pt idx="300">
                  <c:v>1312.8473677689501</c:v>
                </c:pt>
                <c:pt idx="301">
                  <c:v>1316.4673100880159</c:v>
                </c:pt>
                <c:pt idx="302">
                  <c:v>1319.9817109487149</c:v>
                </c:pt>
                <c:pt idx="303">
                  <c:v>1323.3909400122852</c:v>
                </c:pt>
                <c:pt idx="304">
                  <c:v>1326.6953551066824</c:v>
                </c:pt>
                <c:pt idx="305">
                  <c:v>1329.8953024327764</c:v>
                </c:pt>
                <c:pt idx="306">
                  <c:v>1332.9911167671578</c:v>
                </c:pt>
                <c:pt idx="307">
                  <c:v>1335.9831216621326</c:v>
                </c:pt>
                <c:pt idx="308">
                  <c:v>1338.871629643525</c:v>
                </c:pt>
                <c:pt idx="309">
                  <c:v>1341.6569424069583</c:v>
                </c:pt>
                <c:pt idx="310">
                  <c:v>1344.3393510133296</c:v>
                </c:pt>
                <c:pt idx="311">
                  <c:v>1346.9191360842628</c:v>
                </c:pt>
                <c:pt idx="312">
                  <c:v>1349.3965679983787</c:v>
                </c:pt>
                <c:pt idx="313">
                  <c:v>1351.7719070893074</c:v>
                </c:pt>
                <c:pt idx="314">
                  <c:v>1354.0454038464384</c:v>
                </c:pt>
                <c:pt idx="315">
                  <c:v>1356.2172991194973</c:v>
                </c:pt>
                <c:pt idx="316">
                  <c:v>1358.287824328128</c:v>
                </c:pt>
                <c:pt idx="317">
                  <c:v>1360.2572016777599</c:v>
                </c:pt>
                <c:pt idx="318">
                  <c:v>1362.1256443831371</c:v>
                </c:pt>
                <c:pt idx="319">
                  <c:v>1363.8933569009889</c:v>
                </c:pt>
                <c:pt idx="320">
                  <c:v>1365.5605351734173</c:v>
                </c:pt>
                <c:pt idx="321">
                  <c:v>1367.127366883662</c:v>
                </c:pt>
                <c:pt idx="322">
                  <c:v>1368.594031725976</c:v>
                </c:pt>
                <c:pt idx="323">
                  <c:v>1369.9607016913917</c:v>
                </c:pt>
                <c:pt idx="324">
                  <c:v>1371.2275413711684</c:v>
                </c:pt>
                <c:pt idx="325">
                  <c:v>1372.3947082796856</c:v>
                </c:pt>
                <c:pt idx="326">
                  <c:v>1373.462353198453</c:v>
                </c:pt>
                <c:pt idx="327">
                  <c:v>1374.4306205427579</c:v>
                </c:pt>
                <c:pt idx="328">
                  <c:v>1375.2996487522273</c:v>
                </c:pt>
                <c:pt idx="329">
                  <c:v>1376.0695707062632</c:v>
                </c:pt>
                <c:pt idx="330">
                  <c:v>1376.740514164881</c:v>
                </c:pt>
                <c:pt idx="331">
                  <c:v>1377.3126022349647</c:v>
                </c:pt>
                <c:pt idx="332">
                  <c:v>1377.7859538613468</c:v>
                </c:pt>
                <c:pt idx="333">
                  <c:v>1378.160684341434</c:v>
                </c:pt>
                <c:pt idx="334">
                  <c:v>1378.4369058613709</c:v>
                </c:pt>
                <c:pt idx="335">
                  <c:v>1378.6147280509867</c:v>
                </c:pt>
                <c:pt idx="336">
                  <c:v>1378.6942585540462</c:v>
                </c:pt>
                <c:pt idx="337">
                  <c:v>1378.6756036096754</c:v>
                </c:pt>
                <c:pt idx="338">
                  <c:v>1378.5588686402957</c:v>
                </c:pt>
                <c:pt idx="339">
                  <c:v>1378.3441588410212</c:v>
                </c:pt>
                <c:pt idx="340">
                  <c:v>1378.031579765274</c:v>
                </c:pt>
                <c:pt idx="341">
                  <c:v>1377.6212379013812</c:v>
                </c:pt>
                <c:pt idx="342">
                  <c:v>1377.1132412351203</c:v>
                </c:pt>
                <c:pt idx="343">
                  <c:v>1376.5076997935741</c:v>
                </c:pt>
                <c:pt idx="344">
                  <c:v>1375.8047261661948</c:v>
                </c:pt>
                <c:pt idx="345">
                  <c:v>1375.0044359996434</c:v>
                </c:pt>
                <c:pt idx="346">
                  <c:v>1374.1069484636939</c:v>
                </c:pt>
                <c:pt idx="347">
                  <c:v>1373.112386686247</c:v>
                </c:pt>
                <c:pt idx="348">
                  <c:v>1372.0208781562283</c:v>
                </c:pt>
                <c:pt idx="349">
                  <c:v>1370.8325550938339</c:v>
                </c:pt>
                <c:pt idx="350">
                  <c:v>1369.547554788187</c:v>
                </c:pt>
                <c:pt idx="351">
                  <c:v>1368.1660199029864</c:v>
                </c:pt>
                <c:pt idx="352">
                  <c:v>1366.6880987511424</c:v>
                </c:pt>
                <c:pt idx="353">
                  <c:v>1365.1139455397163</c:v>
                </c:pt>
                <c:pt idx="354">
                  <c:v>1363.4437205867027</c:v>
                </c:pt>
                <c:pt idx="355">
                  <c:v>1361.6775905113459</c:v>
                </c:pt>
                <c:pt idx="356">
                  <c:v>1359.8157283997532</c:v>
                </c:pt>
                <c:pt idx="357">
                  <c:v>1357.8583139475918</c:v>
                </c:pt>
                <c:pt idx="358">
                  <c:v>1355.8055335816312</c:v>
                </c:pt>
                <c:pt idx="359">
                  <c:v>1353.6575805618347</c:v>
                </c:pt>
                <c:pt idx="360">
                  <c:v>1351.4146550656244</c:v>
                </c:pt>
                <c:pt idx="361">
                  <c:v>1349.0769642558444</c:v>
                </c:pt>
                <c:pt idx="362">
                  <c:v>1346.6447223338478</c:v>
                </c:pt>
                <c:pt idx="363">
                  <c:v>1344.1181505790164</c:v>
                </c:pt>
                <c:pt idx="364">
                  <c:v>1341.4974773759209</c:v>
                </c:pt>
                <c:pt idx="365">
                  <c:v>1338.7829382302175</c:v>
                </c:pt>
                <c:pt idx="366">
                  <c:v>1335.9747757742812</c:v>
                </c:pt>
                <c:pt idx="367">
                  <c:v>1333.0732397634774</c:v>
                </c:pt>
                <c:pt idx="368">
                  <c:v>1330.0785870638895</c:v>
                </c:pt>
                <c:pt idx="369">
                  <c:v>1326.9910816322358</c:v>
                </c:pt>
                <c:pt idx="370">
                  <c:v>1323.8109944886403</c:v>
                </c:pt>
                <c:pt idx="371">
                  <c:v>1320.5386036828513</c:v>
                </c:pt>
                <c:pt idx="372">
                  <c:v>1317.174194254445</c:v>
                </c:pt>
                <c:pt idx="373">
                  <c:v>1313.7180581874952</c:v>
                </c:pt>
                <c:pt idx="374">
                  <c:v>1310.1704943601476</c:v>
                </c:pt>
                <c:pt idx="375">
                  <c:v>1306.5318084894848</c:v>
                </c:pt>
                <c:pt idx="376">
                  <c:v>1302.8023130720426</c:v>
                </c:pt>
                <c:pt idx="377">
                  <c:v>1298.9823273202937</c:v>
                </c:pt>
                <c:pt idx="378">
                  <c:v>1295.0721770953919</c:v>
                </c:pt>
                <c:pt idx="379">
                  <c:v>1291.072194836441</c:v>
                </c:pt>
                <c:pt idx="380">
                  <c:v>1286.9827194865288</c:v>
                </c:pt>
                <c:pt idx="381">
                  <c:v>1282.8040964157485</c:v>
                </c:pt>
                <c:pt idx="382">
                  <c:v>1278.5366773414075</c:v>
                </c:pt>
                <c:pt idx="383">
                  <c:v>1274.1808202456125</c:v>
                </c:pt>
                <c:pt idx="384">
                  <c:v>1269.7368892903996</c:v>
                </c:pt>
                <c:pt idx="385">
                  <c:v>1265.2052547305734</c:v>
                </c:pt>
                <c:pt idx="386">
                  <c:v>1260.586292824398</c:v>
                </c:pt>
                <c:pt idx="387">
                  <c:v>1255.8803857422815</c:v>
                </c:pt>
                <c:pt idx="388">
                  <c:v>1251.0879214735833</c:v>
                </c:pt>
                <c:pt idx="389">
                  <c:v>1246.2092937316645</c:v>
                </c:pt>
                <c:pt idx="390">
                  <c:v>1241.2449018572963</c:v>
                </c:pt>
                <c:pt idx="391">
                  <c:v>1236.1951507205365</c:v>
                </c:pt>
                <c:pt idx="392">
                  <c:v>1231.0604506211741</c:v>
                </c:pt>
                <c:pt idx="393">
                  <c:v>1225.8412171878426</c:v>
                </c:pt>
                <c:pt idx="394">
                  <c:v>1220.5378712758943</c:v>
                </c:pt>
                <c:pt idx="395">
                  <c:v>1215.1508388641246</c:v>
                </c:pt>
                <c:pt idx="396">
                  <c:v>1209.6805509504329</c:v>
                </c:pt>
                <c:pt idx="397">
                  <c:v>1204.1274434465022</c:v>
                </c:pt>
                <c:pt idx="398">
                  <c:v>1198.4919570715767</c:v>
                </c:pt>
                <c:pt idx="399">
                  <c:v>1192.7745372454156</c:v>
                </c:pt>
                <c:pt idx="400">
                  <c:v>1186.9756339804937</c:v>
                </c:pt>
                <c:pt idx="401">
                  <c:v>1181.0957017735263</c:v>
                </c:pt>
                <c:pt idx="402">
                  <c:v>1175.1351994963829</c:v>
                </c:pt>
                <c:pt idx="403">
                  <c:v>1169.0945902864605</c:v>
                </c:pt>
                <c:pt idx="404">
                  <c:v>1162.9743414365821</c:v>
                </c:pt>
                <c:pt idx="405">
                  <c:v>1156.7749242844839</c:v>
                </c:pt>
                <c:pt idx="406">
                  <c:v>1150.496814101954</c:v>
                </c:pt>
                <c:pt idx="407">
                  <c:v>1144.1404899836848</c:v>
                </c:pt>
                <c:pt idx="408">
                  <c:v>1137.7064347358967</c:v>
                </c:pt>
                <c:pt idx="409">
                  <c:v>1131.195134764793</c:v>
                </c:pt>
                <c:pt idx="410">
                  <c:v>1124.6070799649017</c:v>
                </c:pt>
                <c:pt idx="411">
                  <c:v>1117.9427636073603</c:v>
                </c:pt>
                <c:pt idx="412">
                  <c:v>1111.2026822281978</c:v>
                </c:pt>
                <c:pt idx="413">
                  <c:v>1104.3873355166666</c:v>
                </c:pt>
                <c:pt idx="414">
                  <c:v>1097.4972262036761</c:v>
                </c:pt>
                <c:pt idx="415">
                  <c:v>1090.5328599503787</c:v>
                </c:pt>
                <c:pt idx="416">
                  <c:v>1083.4947452369581</c:v>
                </c:pt>
                <c:pt idx="417">
                  <c:v>1076.3833932516677</c:v>
                </c:pt>
                <c:pt idx="418">
                  <c:v>1069.1993177801653</c:v>
                </c:pt>
                <c:pt idx="419">
                  <c:v>1061.9430350951932</c:v>
                </c:pt>
                <c:pt idx="420">
                  <c:v>1054.6150638466449</c:v>
                </c:pt>
                <c:pt idx="421">
                  <c:v>1047.2159249520651</c:v>
                </c:pt>
                <c:pt idx="422">
                  <c:v>1039.7461414876241</c:v>
                </c:pt>
                <c:pt idx="423">
                  <c:v>1032.2062385796098</c:v>
                </c:pt>
                <c:pt idx="424">
                  <c:v>1024.596743296476</c:v>
                </c:pt>
                <c:pt idx="425">
                  <c:v>1016.9181845414884</c:v>
                </c:pt>
                <c:pt idx="426">
                  <c:v>1009.1710929460057</c:v>
                </c:pt>
                <c:pt idx="427">
                  <c:v>1001.3560007634338</c:v>
                </c:pt>
                <c:pt idx="428">
                  <c:v>993.47344176388856</c:v>
                </c:pt>
                <c:pt idx="429">
                  <c:v>985.52395112960335</c:v>
                </c:pt>
                <c:pt idx="430">
                  <c:v>977.50806535111542</c:v>
                </c:pt>
                <c:pt idx="431">
                  <c:v>969.42632212426395</c:v>
                </c:pt>
                <c:pt idx="432">
                  <c:v>961.27926024803173</c:v>
                </c:pt>
                <c:pt idx="433">
                  <c:v>953.06741952326252</c:v>
                </c:pt>
                <c:pt idx="434">
                  <c:v>944.79134065228288</c:v>
                </c:pt>
                <c:pt idx="435">
                  <c:v>936.45156513945813</c:v>
                </c:pt>
                <c:pt idx="436">
                  <c:v>928.04863519271055</c:v>
                </c:pt>
                <c:pt idx="437">
                  <c:v>919.58309362602586</c:v>
                </c:pt>
                <c:pt idx="438">
                  <c:v>911.05548376297486</c:v>
                </c:pt>
                <c:pt idx="439">
                  <c:v>902.46634934127428</c:v>
                </c:pt>
                <c:pt idx="440">
                  <c:v>893.81623441841111</c:v>
                </c:pt>
                <c:pt idx="441">
                  <c:v>885.10568327835301</c:v>
                </c:pt>
                <c:pt idx="442">
                  <c:v>876.33524033936635</c:v>
                </c:pt>
                <c:pt idx="443">
                  <c:v>867.50545006296329</c:v>
                </c:pt>
                <c:pt idx="444">
                  <c:v>858.61685686399699</c:v>
                </c:pt>
                <c:pt idx="445">
                  <c:v>849.67000502192411</c:v>
                </c:pt>
                <c:pt idx="446">
                  <c:v>840.66543859325247</c:v>
                </c:pt>
                <c:pt idx="447">
                  <c:v>831.60370132519017</c:v>
                </c:pt>
                <c:pt idx="448">
                  <c:v>822.4853365705128</c:v>
                </c:pt>
                <c:pt idx="449">
                  <c:v>813.31088720366313</c:v>
                </c:pt>
                <c:pt idx="450">
                  <c:v>804.08089553809702</c:v>
                </c:pt>
                <c:pt idx="451">
                  <c:v>794.7959032448897</c:v>
                </c:pt>
                <c:pt idx="452">
                  <c:v>785.45645127261309</c:v>
                </c:pt>
                <c:pt idx="453">
                  <c:v>776.06307976849632</c:v>
                </c:pt>
                <c:pt idx="454">
                  <c:v>766.61632800087943</c:v>
                </c:pt>
                <c:pt idx="455">
                  <c:v>757.11673428296956</c:v>
                </c:pt>
                <c:pt idx="456">
                  <c:v>747.56483589790867</c:v>
                </c:pt>
                <c:pt idx="457">
                  <c:v>737.96116902515973</c:v>
                </c:pt>
                <c:pt idx="458">
                  <c:v>728.3062686682191</c:v>
                </c:pt>
                <c:pt idx="459">
                  <c:v>718.60066858365985</c:v>
                </c:pt>
                <c:pt idx="460">
                  <c:v>708.84490121151271</c:v>
                </c:pt>
                <c:pt idx="461">
                  <c:v>699.03949760698754</c:v>
                </c:pt>
                <c:pt idx="462">
                  <c:v>689.18498737354071</c:v>
                </c:pt>
                <c:pt idx="463">
                  <c:v>679.28189859728877</c:v>
                </c:pt>
                <c:pt idx="464">
                  <c:v>669.33075778277293</c:v>
                </c:pt>
                <c:pt idx="465">
                  <c:v>659.33208979007418</c:v>
                </c:pt>
                <c:pt idx="466">
                  <c:v>649.28641777327982</c:v>
                </c:pt>
                <c:pt idx="467">
                  <c:v>639.1942631203018</c:v>
                </c:pt>
                <c:pt idx="468">
                  <c:v>629.05614539404553</c:v>
                </c:pt>
                <c:pt idx="469">
                  <c:v>618.87258227492794</c:v>
                </c:pt>
                <c:pt idx="470">
                  <c:v>608.64408950474251</c:v>
                </c:pt>
                <c:pt idx="471">
                  <c:v>598.37118083186863</c:v>
                </c:pt>
                <c:pt idx="472">
                  <c:v>588.05436795782134</c:v>
                </c:pt>
                <c:pt idx="473">
                  <c:v>577.69416048513824</c:v>
                </c:pt>
                <c:pt idx="474">
                  <c:v>567.29106586659827</c:v>
                </c:pt>
                <c:pt idx="475">
                  <c:v>556.84558935576729</c:v>
                </c:pt>
                <c:pt idx="476">
                  <c:v>546.35823395886462</c:v>
                </c:pt>
                <c:pt idx="477">
                  <c:v>535.82950038794479</c:v>
                </c:pt>
                <c:pt idx="478">
                  <c:v>525.25988701538665</c:v>
                </c:pt>
                <c:pt idx="479">
                  <c:v>514.64988982968316</c:v>
                </c:pt>
                <c:pt idx="480">
                  <c:v>504.00000239252415</c:v>
                </c:pt>
                <c:pt idx="481">
                  <c:v>493.3107157971628</c:v>
                </c:pt>
                <c:pt idx="482">
                  <c:v>482.58251862805832</c:v>
                </c:pt>
                <c:pt idx="483">
                  <c:v>471.81589692178449</c:v>
                </c:pt>
                <c:pt idx="484">
                  <c:v>461.01133412919495</c:v>
                </c:pt>
                <c:pt idx="485">
                  <c:v>450.16931107883505</c:v>
                </c:pt>
                <c:pt idx="486">
                  <c:v>439.29030594158996</c:v>
                </c:pt>
                <c:pt idx="487">
                  <c:v>428.37479419655767</c:v>
                </c:pt>
                <c:pt idx="488">
                  <c:v>417.42324859813641</c:v>
                </c:pt>
                <c:pt idx="489">
                  <c:v>406.43613914431438</c:v>
                </c:pt>
                <c:pt idx="490">
                  <c:v>395.41393304615013</c:v>
                </c:pt>
                <c:pt idx="491">
                  <c:v>384.35709469843147</c:v>
                </c:pt>
                <c:pt idx="492">
                  <c:v>373.26608565150013</c:v>
                </c:pt>
                <c:pt idx="493">
                  <c:v>362.14136458422973</c:v>
                </c:pt>
                <c:pt idx="494">
                  <c:v>350.98338727814388</c:v>
                </c:pt>
                <c:pt idx="495">
                  <c:v>339.792606592661</c:v>
                </c:pt>
                <c:pt idx="496">
                  <c:v>328.56947244145266</c:v>
                </c:pt>
                <c:pt idx="497">
                  <c:v>317.31443176990132</c:v>
                </c:pt>
                <c:pt idx="498">
                  <c:v>306.02792853364349</c:v>
                </c:pt>
                <c:pt idx="499">
                  <c:v>294.71040367818483</c:v>
                </c:pt>
                <c:pt idx="500">
                  <c:v>283.36229511957185</c:v>
                </c:pt>
                <c:pt idx="501">
                  <c:v>271.98403772610629</c:v>
                </c:pt>
                <c:pt idx="502">
                  <c:v>260.57606330108763</c:v>
                </c:pt>
                <c:pt idx="503">
                  <c:v>249.13880056656848</c:v>
                </c:pt>
                <c:pt idx="504">
                  <c:v>237.67267514810825</c:v>
                </c:pt>
                <c:pt idx="505">
                  <c:v>226.17810956050997</c:v>
                </c:pt>
                <c:pt idx="506">
                  <c:v>214.65552319452487</c:v>
                </c:pt>
                <c:pt idx="507">
                  <c:v>203.10533230450991</c:v>
                </c:pt>
                <c:pt idx="508">
                  <c:v>191.52794999702257</c:v>
                </c:pt>
                <c:pt idx="509">
                  <c:v>179.92378622033755</c:v>
                </c:pt>
                <c:pt idx="510">
                  <c:v>168.29324775487009</c:v>
                </c:pt>
                <c:pt idx="511">
                  <c:v>156.63673820449023</c:v>
                </c:pt>
                <c:pt idx="512">
                  <c:v>144.95465798871246</c:v>
                </c:pt>
                <c:pt idx="513">
                  <c:v>133.24740433574539</c:v>
                </c:pt>
                <c:pt idx="514">
                  <c:v>121.51537127638554</c:v>
                </c:pt>
                <c:pt idx="515">
                  <c:v>109.75894963873985</c:v>
                </c:pt>
                <c:pt idx="516">
                  <c:v>97.978527043761261</c:v>
                </c:pt>
                <c:pt idx="517">
                  <c:v>86.174487901581813</c:v>
                </c:pt>
                <c:pt idx="518">
                  <c:v>74.347213408627553</c:v>
                </c:pt>
                <c:pt idx="519">
                  <c:v>62.497081545499888</c:v>
                </c:pt>
                <c:pt idx="520">
                  <c:v>50.62446707560774</c:v>
                </c:pt>
                <c:pt idx="521">
                  <c:v>38.729741544535074</c:v>
                </c:pt>
                <c:pt idx="522">
                  <c:v>26.813273280128442</c:v>
                </c:pt>
                <c:pt idx="523">
                  <c:v>14.875427393289083</c:v>
                </c:pt>
                <c:pt idx="524">
                  <c:v>2.9165657794543893</c:v>
                </c:pt>
                <c:pt idx="525">
                  <c:v>-9.0629528792465539</c:v>
                </c:pt>
                <c:pt idx="526">
                  <c:v>-9.0749426472209826</c:v>
                </c:pt>
                <c:pt idx="527">
                  <c:v>-9.086932435319877</c:v>
                </c:pt>
                <c:pt idx="528">
                  <c:v>-9.0989222435428854</c:v>
                </c:pt>
                <c:pt idx="529">
                  <c:v>-9.1109120718896595</c:v>
                </c:pt>
                <c:pt idx="530">
                  <c:v>-9.1229019203598476</c:v>
                </c:pt>
                <c:pt idx="531">
                  <c:v>-9.1348917889530998</c:v>
                </c:pt>
                <c:pt idx="532">
                  <c:v>-9.146881677669068</c:v>
                </c:pt>
                <c:pt idx="533">
                  <c:v>-9.1588715865074004</c:v>
                </c:pt>
                <c:pt idx="534">
                  <c:v>-9.1708615154677471</c:v>
                </c:pt>
                <c:pt idx="535">
                  <c:v>-9.1828514645497599</c:v>
                </c:pt>
                <c:pt idx="536">
                  <c:v>-9.194841433753087</c:v>
                </c:pt>
                <c:pt idx="537">
                  <c:v>-9.2068314230773787</c:v>
                </c:pt>
                <c:pt idx="538">
                  <c:v>-9.2188214325222866</c:v>
                </c:pt>
                <c:pt idx="539">
                  <c:v>-9.2308114620874591</c:v>
                </c:pt>
                <c:pt idx="540">
                  <c:v>-9.2428015117725462</c:v>
                </c:pt>
                <c:pt idx="541">
                  <c:v>-9.2547915815771979</c:v>
                </c:pt>
                <c:pt idx="542">
                  <c:v>-9.2667816715010662</c:v>
                </c:pt>
                <c:pt idx="543">
                  <c:v>-9.2787717815437993</c:v>
                </c:pt>
                <c:pt idx="544">
                  <c:v>-9.2907619117050473</c:v>
                </c:pt>
                <c:pt idx="545">
                  <c:v>-9.3027520619844601</c:v>
                </c:pt>
                <c:pt idx="546">
                  <c:v>-9.3147422323816897</c:v>
                </c:pt>
                <c:pt idx="547">
                  <c:v>-9.3267324228963844</c:v>
                </c:pt>
                <c:pt idx="548">
                  <c:v>-9.3387226335281941</c:v>
                </c:pt>
                <c:pt idx="549">
                  <c:v>-9.350712864276769</c:v>
                </c:pt>
                <c:pt idx="550">
                  <c:v>-9.3627031151417608</c:v>
                </c:pt>
                <c:pt idx="551">
                  <c:v>-9.3746933861228179</c:v>
                </c:pt>
                <c:pt idx="552">
                  <c:v>-9.3866836772195921</c:v>
                </c:pt>
                <c:pt idx="553">
                  <c:v>-9.3986739884317316</c:v>
                </c:pt>
                <c:pt idx="554">
                  <c:v>-9.4106643197588866</c:v>
                </c:pt>
                <c:pt idx="555">
                  <c:v>-9.4226546712007089</c:v>
                </c:pt>
                <c:pt idx="556">
                  <c:v>-9.4346450427568467</c:v>
                </c:pt>
                <c:pt idx="557">
                  <c:v>-9.4466354344269519</c:v>
                </c:pt>
                <c:pt idx="558">
                  <c:v>-9.4586258462106727</c:v>
                </c:pt>
                <c:pt idx="559">
                  <c:v>-9.470616278107661</c:v>
                </c:pt>
                <c:pt idx="560">
                  <c:v>-9.4826067301175652</c:v>
                </c:pt>
                <c:pt idx="561">
                  <c:v>-9.4945972022400369</c:v>
                </c:pt>
                <c:pt idx="562">
                  <c:v>-9.5065876944747245</c:v>
                </c:pt>
                <c:pt idx="563">
                  <c:v>-9.5185782068212799</c:v>
                </c:pt>
                <c:pt idx="564">
                  <c:v>-9.530568739279353</c:v>
                </c:pt>
                <c:pt idx="565">
                  <c:v>-9.542559291848594</c:v>
                </c:pt>
                <c:pt idx="566">
                  <c:v>-9.5545498645286511</c:v>
                </c:pt>
                <c:pt idx="567">
                  <c:v>-9.5665404573191761</c:v>
                </c:pt>
                <c:pt idx="568">
                  <c:v>-9.5785310702198192</c:v>
                </c:pt>
                <c:pt idx="569">
                  <c:v>-9.5905217032302303</c:v>
                </c:pt>
                <c:pt idx="570">
                  <c:v>-9.6025123563500596</c:v>
                </c:pt>
                <c:pt idx="571">
                  <c:v>-9.6145030295789571</c:v>
                </c:pt>
                <c:pt idx="572">
                  <c:v>-9.6264937229165728</c:v>
                </c:pt>
                <c:pt idx="573">
                  <c:v>-9.6384844363625568</c:v>
                </c:pt>
                <c:pt idx="574">
                  <c:v>-9.650475169916561</c:v>
                </c:pt>
                <c:pt idx="575">
                  <c:v>-9.6624659235782335</c:v>
                </c:pt>
                <c:pt idx="576">
                  <c:v>-9.6744566973472246</c:v>
                </c:pt>
                <c:pt idx="577">
                  <c:v>-9.6864474912231859</c:v>
                </c:pt>
                <c:pt idx="578">
                  <c:v>-9.6984383052057659</c:v>
                </c:pt>
                <c:pt idx="579">
                  <c:v>-9.7104291392946163</c:v>
                </c:pt>
                <c:pt idx="580">
                  <c:v>-9.7224199934893853</c:v>
                </c:pt>
                <c:pt idx="581">
                  <c:v>-9.734410867789725</c:v>
                </c:pt>
                <c:pt idx="582">
                  <c:v>-9.7464017621952852</c:v>
                </c:pt>
                <c:pt idx="583">
                  <c:v>-9.7583926767057143</c:v>
                </c:pt>
                <c:pt idx="584">
                  <c:v>-9.7703836113206641</c:v>
                </c:pt>
                <c:pt idx="585">
                  <c:v>-9.7823745660397847</c:v>
                </c:pt>
                <c:pt idx="586">
                  <c:v>-9.7943655408627261</c:v>
                </c:pt>
                <c:pt idx="587">
                  <c:v>-9.8063565357891385</c:v>
                </c:pt>
                <c:pt idx="588">
                  <c:v>-9.8183475508186735</c:v>
                </c:pt>
                <c:pt idx="589">
                  <c:v>-9.8303385859509795</c:v>
                </c:pt>
                <c:pt idx="590">
                  <c:v>-9.8423296411857066</c:v>
                </c:pt>
                <c:pt idx="591">
                  <c:v>-9.8543207165225066</c:v>
                </c:pt>
                <c:pt idx="592">
                  <c:v>-9.8663118119610278</c:v>
                </c:pt>
                <c:pt idx="593">
                  <c:v>-9.878302927500922</c:v>
                </c:pt>
                <c:pt idx="594">
                  <c:v>-9.8902940631418392</c:v>
                </c:pt>
                <c:pt idx="595">
                  <c:v>-9.9022852188834278</c:v>
                </c:pt>
                <c:pt idx="596">
                  <c:v>-9.9142763947253396</c:v>
                </c:pt>
                <c:pt idx="597">
                  <c:v>-9.9262675906672246</c:v>
                </c:pt>
                <c:pt idx="598">
                  <c:v>-9.9382588067087347</c:v>
                </c:pt>
                <c:pt idx="599">
                  <c:v>-9.9502500428495182</c:v>
                </c:pt>
                <c:pt idx="600">
                  <c:v>-9.9622412990892251</c:v>
                </c:pt>
                <c:pt idx="601">
                  <c:v>-9.9742325754275072</c:v>
                </c:pt>
                <c:pt idx="602">
                  <c:v>-9.9862238718640128</c:v>
                </c:pt>
                <c:pt idx="603">
                  <c:v>-9.9982151883983938</c:v>
                </c:pt>
                <c:pt idx="604">
                  <c:v>-10.010206525030299</c:v>
                </c:pt>
                <c:pt idx="605">
                  <c:v>-10.022197881759379</c:v>
                </c:pt>
                <c:pt idx="606">
                  <c:v>-10.034189258585284</c:v>
                </c:pt>
                <c:pt idx="607">
                  <c:v>-10.046180655507666</c:v>
                </c:pt>
                <c:pt idx="608">
                  <c:v>-10.058172072526174</c:v>
                </c:pt>
                <c:pt idx="609">
                  <c:v>-10.070163509640459</c:v>
                </c:pt>
                <c:pt idx="610">
                  <c:v>-10.082154966850169</c:v>
                </c:pt>
                <c:pt idx="611">
                  <c:v>-10.094146444154957</c:v>
                </c:pt>
                <c:pt idx="612">
                  <c:v>-10.106137941554472</c:v>
                </c:pt>
                <c:pt idx="613">
                  <c:v>-10.118129459048365</c:v>
                </c:pt>
                <c:pt idx="614">
                  <c:v>-10.130120996636286</c:v>
                </c:pt>
                <c:pt idx="615">
                  <c:v>-10.142112554317885</c:v>
                </c:pt>
                <c:pt idx="616">
                  <c:v>-10.154104132092812</c:v>
                </c:pt>
                <c:pt idx="617">
                  <c:v>-10.166095729960716</c:v>
                </c:pt>
                <c:pt idx="618">
                  <c:v>-10.178087347921251</c:v>
                </c:pt>
                <c:pt idx="619">
                  <c:v>-10.190078985974063</c:v>
                </c:pt>
                <c:pt idx="620">
                  <c:v>-10.202070644118805</c:v>
                </c:pt>
                <c:pt idx="621">
                  <c:v>-10.214062322355128</c:v>
                </c:pt>
                <c:pt idx="622">
                  <c:v>-10.22605402068268</c:v>
                </c:pt>
                <c:pt idx="623">
                  <c:v>-10.238045739101112</c:v>
                </c:pt>
                <c:pt idx="624">
                  <c:v>-10.250037477610077</c:v>
                </c:pt>
                <c:pt idx="625">
                  <c:v>-10.262029236209221</c:v>
                </c:pt>
                <c:pt idx="626">
                  <c:v>-10.274021014898198</c:v>
                </c:pt>
                <c:pt idx="627">
                  <c:v>-10.286012813676656</c:v>
                </c:pt>
                <c:pt idx="628">
                  <c:v>-10.298004632544247</c:v>
                </c:pt>
                <c:pt idx="629">
                  <c:v>-10.30999647150062</c:v>
                </c:pt>
                <c:pt idx="630">
                  <c:v>-10.321988330545425</c:v>
                </c:pt>
                <c:pt idx="631">
                  <c:v>-10.333980209678314</c:v>
                </c:pt>
                <c:pt idx="632">
                  <c:v>-10.345972108898936</c:v>
                </c:pt>
                <c:pt idx="633">
                  <c:v>-10.357964028206942</c:v>
                </c:pt>
                <c:pt idx="634">
                  <c:v>-10.369955967601982</c:v>
                </c:pt>
                <c:pt idx="635">
                  <c:v>-10.381947927083706</c:v>
                </c:pt>
                <c:pt idx="636">
                  <c:v>-10.393939906651765</c:v>
                </c:pt>
                <c:pt idx="637">
                  <c:v>-10.40593190630581</c:v>
                </c:pt>
                <c:pt idx="638">
                  <c:v>-10.417923926045489</c:v>
                </c:pt>
                <c:pt idx="639">
                  <c:v>-10.429915965870455</c:v>
                </c:pt>
                <c:pt idx="640">
                  <c:v>-10.441908025780357</c:v>
                </c:pt>
                <c:pt idx="641">
                  <c:v>-10.453900105774846</c:v>
                </c:pt>
                <c:pt idx="642">
                  <c:v>-10.465892205853571</c:v>
                </c:pt>
                <c:pt idx="643">
                  <c:v>-10.477884326016184</c:v>
                </c:pt>
                <c:pt idx="644">
                  <c:v>-10.489876466262336</c:v>
                </c:pt>
                <c:pt idx="645">
                  <c:v>-10.501868626591675</c:v>
                </c:pt>
                <c:pt idx="646">
                  <c:v>-10.513860807003852</c:v>
                </c:pt>
                <c:pt idx="647">
                  <c:v>-10.525853007498519</c:v>
                </c:pt>
                <c:pt idx="648">
                  <c:v>-10.537845228075325</c:v>
                </c:pt>
                <c:pt idx="649">
                  <c:v>-10.549837468733921</c:v>
                </c:pt>
                <c:pt idx="650">
                  <c:v>-10.561829729473956</c:v>
                </c:pt>
                <c:pt idx="651">
                  <c:v>-10.573822010295082</c:v>
                </c:pt>
                <c:pt idx="652">
                  <c:v>-10.58581431119695</c:v>
                </c:pt>
                <c:pt idx="653">
                  <c:v>-10.597806632179209</c:v>
                </c:pt>
                <c:pt idx="654">
                  <c:v>-10.60979897324151</c:v>
                </c:pt>
                <c:pt idx="655">
                  <c:v>-10.621791334383502</c:v>
                </c:pt>
                <c:pt idx="656">
                  <c:v>-10.633783715604837</c:v>
                </c:pt>
                <c:pt idx="657">
                  <c:v>-10.645776116905166</c:v>
                </c:pt>
                <c:pt idx="658">
                  <c:v>-10.657768538284138</c:v>
                </c:pt>
                <c:pt idx="659">
                  <c:v>-10.669760979741405</c:v>
                </c:pt>
                <c:pt idx="660">
                  <c:v>-10.681753441276614</c:v>
                </c:pt>
                <c:pt idx="661">
                  <c:v>-10.69374592288942</c:v>
                </c:pt>
                <c:pt idx="662">
                  <c:v>-10.70573842457947</c:v>
                </c:pt>
                <c:pt idx="663">
                  <c:v>-10.717730946346416</c:v>
                </c:pt>
                <c:pt idx="664">
                  <c:v>-10.729723488189908</c:v>
                </c:pt>
                <c:pt idx="665">
                  <c:v>-10.741716050109597</c:v>
                </c:pt>
                <c:pt idx="666">
                  <c:v>-10.753708632105132</c:v>
                </c:pt>
                <c:pt idx="667">
                  <c:v>-10.765701234176165</c:v>
                </c:pt>
                <c:pt idx="668">
                  <c:v>-10.777693856322346</c:v>
                </c:pt>
                <c:pt idx="669">
                  <c:v>-10.789686498543325</c:v>
                </c:pt>
                <c:pt idx="670">
                  <c:v>-10.801679160838754</c:v>
                </c:pt>
                <c:pt idx="671">
                  <c:v>-10.813671843208281</c:v>
                </c:pt>
                <c:pt idx="672">
                  <c:v>-10.825664545651559</c:v>
                </c:pt>
                <c:pt idx="673">
                  <c:v>-10.837657268168236</c:v>
                </c:pt>
                <c:pt idx="674">
                  <c:v>-10.849650010757964</c:v>
                </c:pt>
                <c:pt idx="675">
                  <c:v>-10.861642773420392</c:v>
                </c:pt>
                <c:pt idx="676">
                  <c:v>-10.873635556155174</c:v>
                </c:pt>
                <c:pt idx="677">
                  <c:v>-10.885628358961958</c:v>
                </c:pt>
                <c:pt idx="678">
                  <c:v>-10.897621181840393</c:v>
                </c:pt>
                <c:pt idx="679">
                  <c:v>-10.909614024790132</c:v>
                </c:pt>
                <c:pt idx="680">
                  <c:v>-10.921606887810825</c:v>
                </c:pt>
                <c:pt idx="681">
                  <c:v>-10.933599770902122</c:v>
                </c:pt>
                <c:pt idx="682">
                  <c:v>-10.945592674063674</c:v>
                </c:pt>
                <c:pt idx="683">
                  <c:v>-10.957585597295131</c:v>
                </c:pt>
                <c:pt idx="684">
                  <c:v>-10.969578540596142</c:v>
                </c:pt>
                <c:pt idx="685">
                  <c:v>-10.981571503966361</c:v>
                </c:pt>
                <c:pt idx="686">
                  <c:v>-10.993564487405436</c:v>
                </c:pt>
                <c:pt idx="687">
                  <c:v>-11.005557490913018</c:v>
                </c:pt>
                <c:pt idx="688">
                  <c:v>-11.017550514488759</c:v>
                </c:pt>
                <c:pt idx="689">
                  <c:v>-11.029543558132307</c:v>
                </c:pt>
                <c:pt idx="690">
                  <c:v>-11.041536621843314</c:v>
                </c:pt>
                <c:pt idx="691">
                  <c:v>-11.053529705621429</c:v>
                </c:pt>
                <c:pt idx="692">
                  <c:v>-11.065522809466305</c:v>
                </c:pt>
                <c:pt idx="693">
                  <c:v>-11.077515933377592</c:v>
                </c:pt>
                <c:pt idx="694">
                  <c:v>-11.08950907735494</c:v>
                </c:pt>
                <c:pt idx="695">
                  <c:v>-11.101502241397998</c:v>
                </c:pt>
                <c:pt idx="696">
                  <c:v>-11.11349542550642</c:v>
                </c:pt>
                <c:pt idx="697">
                  <c:v>-11.125488629679854</c:v>
                </c:pt>
                <c:pt idx="698">
                  <c:v>-11.137481853917951</c:v>
                </c:pt>
                <c:pt idx="699">
                  <c:v>-11.149475098220361</c:v>
                </c:pt>
                <c:pt idx="700">
                  <c:v>-11.161468362586735</c:v>
                </c:pt>
                <c:pt idx="701">
                  <c:v>-11.173461647016724</c:v>
                </c:pt>
                <c:pt idx="702">
                  <c:v>-11.185454951509978</c:v>
                </c:pt>
                <c:pt idx="703">
                  <c:v>-11.197448276066149</c:v>
                </c:pt>
                <c:pt idx="704">
                  <c:v>-11.209441620684887</c:v>
                </c:pt>
                <c:pt idx="705">
                  <c:v>-11.221434985365841</c:v>
                </c:pt>
                <c:pt idx="706">
                  <c:v>-11.233428370108662</c:v>
                </c:pt>
                <c:pt idx="707">
                  <c:v>-11.245421774913002</c:v>
                </c:pt>
                <c:pt idx="708">
                  <c:v>-11.25741519977851</c:v>
                </c:pt>
                <c:pt idx="709">
                  <c:v>-11.269408644704839</c:v>
                </c:pt>
                <c:pt idx="710">
                  <c:v>-11.281402109691637</c:v>
                </c:pt>
                <c:pt idx="711">
                  <c:v>-11.293395594738556</c:v>
                </c:pt>
                <c:pt idx="712">
                  <c:v>-11.305389099845245</c:v>
                </c:pt>
                <c:pt idx="713">
                  <c:v>-11.317382625011357</c:v>
                </c:pt>
                <c:pt idx="714">
                  <c:v>-11.329376170236541</c:v>
                </c:pt>
                <c:pt idx="715">
                  <c:v>-11.341369735520448</c:v>
                </c:pt>
                <c:pt idx="716">
                  <c:v>-11.353363320862728</c:v>
                </c:pt>
                <c:pt idx="717">
                  <c:v>-11.365356926263033</c:v>
                </c:pt>
                <c:pt idx="718">
                  <c:v>-11.377350551721012</c:v>
                </c:pt>
                <c:pt idx="719">
                  <c:v>-11.389344197236317</c:v>
                </c:pt>
                <c:pt idx="720">
                  <c:v>-11.4013378628086</c:v>
                </c:pt>
                <c:pt idx="721">
                  <c:v>-11.413331548437508</c:v>
                </c:pt>
                <c:pt idx="722">
                  <c:v>-11.425325254122694</c:v>
                </c:pt>
                <c:pt idx="723">
                  <c:v>-11.437318979863807</c:v>
                </c:pt>
                <c:pt idx="724">
                  <c:v>-11.4493127256605</c:v>
                </c:pt>
                <c:pt idx="725">
                  <c:v>-11.461306491512421</c:v>
                </c:pt>
                <c:pt idx="726">
                  <c:v>-11.473300277419222</c:v>
                </c:pt>
                <c:pt idx="727">
                  <c:v>-11.485294083380554</c:v>
                </c:pt>
                <c:pt idx="728">
                  <c:v>-11.497287909396066</c:v>
                </c:pt>
                <c:pt idx="729">
                  <c:v>-11.509281755465411</c:v>
                </c:pt>
                <c:pt idx="730">
                  <c:v>-11.521275621588238</c:v>
                </c:pt>
                <c:pt idx="731">
                  <c:v>-11.533269507764198</c:v>
                </c:pt>
                <c:pt idx="732">
                  <c:v>-11.545263413992942</c:v>
                </c:pt>
                <c:pt idx="733">
                  <c:v>-11.55725734027412</c:v>
                </c:pt>
                <c:pt idx="734">
                  <c:v>-11.569251286607383</c:v>
                </c:pt>
                <c:pt idx="735">
                  <c:v>-11.581245252992382</c:v>
                </c:pt>
                <c:pt idx="736">
                  <c:v>-11.593239239428767</c:v>
                </c:pt>
                <c:pt idx="737">
                  <c:v>-11.605233245916191</c:v>
                </c:pt>
                <c:pt idx="738">
                  <c:v>-11.617227272454301</c:v>
                </c:pt>
                <c:pt idx="739">
                  <c:v>-11.629221319042751</c:v>
                </c:pt>
                <c:pt idx="740">
                  <c:v>-11.641215385681189</c:v>
                </c:pt>
                <c:pt idx="741">
                  <c:v>-11.653209472369268</c:v>
                </c:pt>
                <c:pt idx="742">
                  <c:v>-11.665203579106636</c:v>
                </c:pt>
                <c:pt idx="743">
                  <c:v>-11.677197705892947</c:v>
                </c:pt>
                <c:pt idx="744">
                  <c:v>-11.689191852727848</c:v>
                </c:pt>
                <c:pt idx="745">
                  <c:v>-11.701186019610994</c:v>
                </c:pt>
                <c:pt idx="746">
                  <c:v>-11.713180206542031</c:v>
                </c:pt>
                <c:pt idx="747">
                  <c:v>-11.725174413520612</c:v>
                </c:pt>
                <c:pt idx="748">
                  <c:v>-11.73716864054639</c:v>
                </c:pt>
                <c:pt idx="749">
                  <c:v>-11.749162887619013</c:v>
                </c:pt>
                <c:pt idx="750">
                  <c:v>-11.761157154738132</c:v>
                </c:pt>
                <c:pt idx="751">
                  <c:v>-11.773151441903398</c:v>
                </c:pt>
                <c:pt idx="752">
                  <c:v>-11.785145749114461</c:v>
                </c:pt>
                <c:pt idx="753">
                  <c:v>-11.797140076370972</c:v>
                </c:pt>
                <c:pt idx="754">
                  <c:v>-11.809134423672583</c:v>
                </c:pt>
                <c:pt idx="755">
                  <c:v>-11.821128791018944</c:v>
                </c:pt>
                <c:pt idx="756">
                  <c:v>-11.833123178409705</c:v>
                </c:pt>
                <c:pt idx="757">
                  <c:v>-11.845117585844518</c:v>
                </c:pt>
                <c:pt idx="758">
                  <c:v>-11.857112013323032</c:v>
                </c:pt>
                <c:pt idx="759">
                  <c:v>-11.8691064608449</c:v>
                </c:pt>
                <c:pt idx="760">
                  <c:v>-11.881100928409772</c:v>
                </c:pt>
                <c:pt idx="761">
                  <c:v>-11.893095416017298</c:v>
                </c:pt>
                <c:pt idx="762">
                  <c:v>-11.905089923667129</c:v>
                </c:pt>
                <c:pt idx="763">
                  <c:v>-11.917084451358916</c:v>
                </c:pt>
                <c:pt idx="764">
                  <c:v>-11.929078999092308</c:v>
                </c:pt>
                <c:pt idx="765">
                  <c:v>-11.941073566866958</c:v>
                </c:pt>
                <c:pt idx="766">
                  <c:v>-11.953068154682516</c:v>
                </c:pt>
                <c:pt idx="767">
                  <c:v>-11.965062762538633</c:v>
                </c:pt>
                <c:pt idx="768">
                  <c:v>-11.977057390434959</c:v>
                </c:pt>
                <c:pt idx="769">
                  <c:v>-11.989052038371147</c:v>
                </c:pt>
                <c:pt idx="770">
                  <c:v>-12.001046706346846</c:v>
                </c:pt>
                <c:pt idx="771">
                  <c:v>-12.013041394361707</c:v>
                </c:pt>
                <c:pt idx="772">
                  <c:v>-12.025036102415381</c:v>
                </c:pt>
                <c:pt idx="773">
                  <c:v>-12.037030830507518</c:v>
                </c:pt>
                <c:pt idx="774">
                  <c:v>-12.049025578637769</c:v>
                </c:pt>
                <c:pt idx="775">
                  <c:v>-12.061020346805785</c:v>
                </c:pt>
                <c:pt idx="776">
                  <c:v>-12.073015135011218</c:v>
                </c:pt>
                <c:pt idx="777">
                  <c:v>-12.085009943253718</c:v>
                </c:pt>
                <c:pt idx="778">
                  <c:v>-12.097004771532935</c:v>
                </c:pt>
                <c:pt idx="779">
                  <c:v>-12.108999619848522</c:v>
                </c:pt>
                <c:pt idx="780">
                  <c:v>-12.120994488200127</c:v>
                </c:pt>
                <c:pt idx="781">
                  <c:v>-12.132989376587402</c:v>
                </c:pt>
                <c:pt idx="782">
                  <c:v>-12.144984285009997</c:v>
                </c:pt>
                <c:pt idx="783">
                  <c:v>-12.156979213467563</c:v>
                </c:pt>
                <c:pt idx="784">
                  <c:v>-12.168974161959753</c:v>
                </c:pt>
                <c:pt idx="785">
                  <c:v>-12.180969130486215</c:v>
                </c:pt>
                <c:pt idx="786">
                  <c:v>-12.192964119046602</c:v>
                </c:pt>
                <c:pt idx="787">
                  <c:v>-12.204959127640564</c:v>
                </c:pt>
                <c:pt idx="788">
                  <c:v>-12.216954156267752</c:v>
                </c:pt>
                <c:pt idx="789">
                  <c:v>-12.228949204927817</c:v>
                </c:pt>
                <c:pt idx="790">
                  <c:v>-12.240944273620409</c:v>
                </c:pt>
                <c:pt idx="791">
                  <c:v>-12.252939362345179</c:v>
                </c:pt>
                <c:pt idx="792">
                  <c:v>-12.264934471101778</c:v>
                </c:pt>
                <c:pt idx="793">
                  <c:v>-12.276929599889858</c:v>
                </c:pt>
                <c:pt idx="794">
                  <c:v>-12.288924748709068</c:v>
                </c:pt>
                <c:pt idx="795">
                  <c:v>-12.30091991755906</c:v>
                </c:pt>
                <c:pt idx="796">
                  <c:v>-12.312915106439485</c:v>
                </c:pt>
                <c:pt idx="797">
                  <c:v>-12.324910315349994</c:v>
                </c:pt>
                <c:pt idx="798">
                  <c:v>-12.336905544290238</c:v>
                </c:pt>
                <c:pt idx="799">
                  <c:v>-12.348900793259865</c:v>
                </c:pt>
                <c:pt idx="800">
                  <c:v>-12.360896062258529</c:v>
                </c:pt>
                <c:pt idx="801">
                  <c:v>-12.372891351285881</c:v>
                </c:pt>
                <c:pt idx="802">
                  <c:v>-12.384886660341571</c:v>
                </c:pt>
                <c:pt idx="803">
                  <c:v>-12.39688198942525</c:v>
                </c:pt>
                <c:pt idx="804">
                  <c:v>-12.408877338536568</c:v>
                </c:pt>
                <c:pt idx="805">
                  <c:v>-12.420872707675176</c:v>
                </c:pt>
                <c:pt idx="806">
                  <c:v>-12.432868096840727</c:v>
                </c:pt>
                <c:pt idx="807">
                  <c:v>-12.444863506032869</c:v>
                </c:pt>
                <c:pt idx="808">
                  <c:v>-12.456858935251255</c:v>
                </c:pt>
                <c:pt idx="809">
                  <c:v>-12.468854384495534</c:v>
                </c:pt>
                <c:pt idx="810">
                  <c:v>-12.48084985376536</c:v>
                </c:pt>
                <c:pt idx="811">
                  <c:v>-12.492845343060381</c:v>
                </c:pt>
                <c:pt idx="812">
                  <c:v>-12.504840852380248</c:v>
                </c:pt>
                <c:pt idx="813">
                  <c:v>-12.516836381724614</c:v>
                </c:pt>
                <c:pt idx="814">
                  <c:v>-12.528831931093128</c:v>
                </c:pt>
                <c:pt idx="815">
                  <c:v>-12.540827500485442</c:v>
                </c:pt>
                <c:pt idx="816">
                  <c:v>-12.552823089901207</c:v>
                </c:pt>
                <c:pt idx="817">
                  <c:v>-12.564818699340073</c:v>
                </c:pt>
                <c:pt idx="818">
                  <c:v>-12.57681432880169</c:v>
                </c:pt>
                <c:pt idx="819">
                  <c:v>-12.588809978285713</c:v>
                </c:pt>
                <c:pt idx="820">
                  <c:v>-12.600805647791789</c:v>
                </c:pt>
                <c:pt idx="821">
                  <c:v>-12.612801337319571</c:v>
                </c:pt>
                <c:pt idx="822">
                  <c:v>-12.624797046868709</c:v>
                </c:pt>
                <c:pt idx="823">
                  <c:v>-12.636792776438854</c:v>
                </c:pt>
                <c:pt idx="824">
                  <c:v>-12.648788526029657</c:v>
                </c:pt>
                <c:pt idx="825">
                  <c:v>-12.660784295640768</c:v>
                </c:pt>
                <c:pt idx="826">
                  <c:v>-12.672780085271841</c:v>
                </c:pt>
                <c:pt idx="827">
                  <c:v>-12.684775894922524</c:v>
                </c:pt>
                <c:pt idx="828">
                  <c:v>-12.69677172459247</c:v>
                </c:pt>
                <c:pt idx="829">
                  <c:v>-12.708767574281328</c:v>
                </c:pt>
                <c:pt idx="830">
                  <c:v>-12.72076344398875</c:v>
                </c:pt>
                <c:pt idx="831">
                  <c:v>-12.732759333714386</c:v>
                </c:pt>
                <c:pt idx="832">
                  <c:v>-12.744755243457888</c:v>
                </c:pt>
                <c:pt idx="833">
                  <c:v>-12.756751173218907</c:v>
                </c:pt>
                <c:pt idx="834">
                  <c:v>-12.768747122997095</c:v>
                </c:pt>
                <c:pt idx="835">
                  <c:v>-12.7807430927921</c:v>
                </c:pt>
                <c:pt idx="836">
                  <c:v>-12.792739082603577</c:v>
                </c:pt>
                <c:pt idx="837">
                  <c:v>-12.804735092431173</c:v>
                </c:pt>
                <c:pt idx="838">
                  <c:v>-12.816731122274541</c:v>
                </c:pt>
                <c:pt idx="839">
                  <c:v>-12.828727172133332</c:v>
                </c:pt>
                <c:pt idx="840">
                  <c:v>-12.840723242007197</c:v>
                </c:pt>
                <c:pt idx="841">
                  <c:v>-12.852719331895786</c:v>
                </c:pt>
                <c:pt idx="842">
                  <c:v>-12.864715441798751</c:v>
                </c:pt>
                <c:pt idx="843">
                  <c:v>-12.876711571715743</c:v>
                </c:pt>
                <c:pt idx="844">
                  <c:v>-12.888707721646414</c:v>
                </c:pt>
                <c:pt idx="845">
                  <c:v>-12.900703891590412</c:v>
                </c:pt>
                <c:pt idx="846">
                  <c:v>-12.91270008154739</c:v>
                </c:pt>
                <c:pt idx="847">
                  <c:v>-12.924696291517</c:v>
                </c:pt>
                <c:pt idx="848">
                  <c:v>-12.936692521498891</c:v>
                </c:pt>
                <c:pt idx="849">
                  <c:v>-12.948688771492716</c:v>
                </c:pt>
                <c:pt idx="850">
                  <c:v>-12.960685041498124</c:v>
                </c:pt>
                <c:pt idx="851">
                  <c:v>-12.972681331514767</c:v>
                </c:pt>
                <c:pt idx="852">
                  <c:v>-12.984677641542296</c:v>
                </c:pt>
                <c:pt idx="853">
                  <c:v>-12.996673971580362</c:v>
                </c:pt>
                <c:pt idx="854">
                  <c:v>-13.008670321628617</c:v>
                </c:pt>
                <c:pt idx="855">
                  <c:v>-13.020666691686712</c:v>
                </c:pt>
                <c:pt idx="856">
                  <c:v>-13.032663081754295</c:v>
                </c:pt>
                <c:pt idx="857">
                  <c:v>-13.044659491831021</c:v>
                </c:pt>
                <c:pt idx="858">
                  <c:v>-13.056655921916539</c:v>
                </c:pt>
                <c:pt idx="859">
                  <c:v>-13.068652372010501</c:v>
                </c:pt>
                <c:pt idx="860">
                  <c:v>-13.080648842112556</c:v>
                </c:pt>
                <c:pt idx="861">
                  <c:v>-13.092645332222357</c:v>
                </c:pt>
                <c:pt idx="862">
                  <c:v>-13.104641842339555</c:v>
                </c:pt>
                <c:pt idx="863">
                  <c:v>-13.1166383724638</c:v>
                </c:pt>
                <c:pt idx="864">
                  <c:v>-13.128634922594745</c:v>
                </c:pt>
                <c:pt idx="865">
                  <c:v>-13.140631492732039</c:v>
                </c:pt>
                <c:pt idx="866">
                  <c:v>-13.152628082875335</c:v>
                </c:pt>
                <c:pt idx="867">
                  <c:v>-13.164624693024283</c:v>
                </c:pt>
                <c:pt idx="868">
                  <c:v>-13.176621323178534</c:v>
                </c:pt>
                <c:pt idx="869">
                  <c:v>-13.188617973337738</c:v>
                </c:pt>
                <c:pt idx="870">
                  <c:v>-13.200614643501549</c:v>
                </c:pt>
                <c:pt idx="871">
                  <c:v>-13.212611333669615</c:v>
                </c:pt>
                <c:pt idx="872">
                  <c:v>-13.22460804384159</c:v>
                </c:pt>
                <c:pt idx="873">
                  <c:v>-13.236604774017122</c:v>
                </c:pt>
                <c:pt idx="874">
                  <c:v>-13.248601524195864</c:v>
                </c:pt>
                <c:pt idx="875">
                  <c:v>-13.260598294377468</c:v>
                </c:pt>
                <c:pt idx="876">
                  <c:v>-13.272595084561583</c:v>
                </c:pt>
                <c:pt idx="877">
                  <c:v>-13.284591894747862</c:v>
                </c:pt>
                <c:pt idx="878">
                  <c:v>-13.296588724935955</c:v>
                </c:pt>
                <c:pt idx="879">
                  <c:v>-13.308585575125512</c:v>
                </c:pt>
                <c:pt idx="880">
                  <c:v>-13.320582445316187</c:v>
                </c:pt>
                <c:pt idx="881">
                  <c:v>-13.33257933550763</c:v>
                </c:pt>
                <c:pt idx="882">
                  <c:v>-13.344576245699491</c:v>
                </c:pt>
                <c:pt idx="883">
                  <c:v>-13.356573175891421</c:v>
                </c:pt>
                <c:pt idx="884">
                  <c:v>-13.368570126083073</c:v>
                </c:pt>
                <c:pt idx="885">
                  <c:v>-13.380567096274097</c:v>
                </c:pt>
                <c:pt idx="886">
                  <c:v>-13.392564086464144</c:v>
                </c:pt>
                <c:pt idx="887">
                  <c:v>-13.404561096652866</c:v>
                </c:pt>
                <c:pt idx="888">
                  <c:v>-13.416558126839913</c:v>
                </c:pt>
                <c:pt idx="889">
                  <c:v>-13.428555177024936</c:v>
                </c:pt>
                <c:pt idx="890">
                  <c:v>-13.440552247207588</c:v>
                </c:pt>
                <c:pt idx="891">
                  <c:v>-13.452549337387518</c:v>
                </c:pt>
                <c:pt idx="892">
                  <c:v>-13.464546447564379</c:v>
                </c:pt>
                <c:pt idx="893">
                  <c:v>-13.476543577737822</c:v>
                </c:pt>
                <c:pt idx="894">
                  <c:v>-13.488540727907496</c:v>
                </c:pt>
                <c:pt idx="895">
                  <c:v>-13.500537898073055</c:v>
                </c:pt>
                <c:pt idx="896">
                  <c:v>-13.51253508823415</c:v>
                </c:pt>
                <c:pt idx="897">
                  <c:v>-13.524532298390431</c:v>
                </c:pt>
                <c:pt idx="898">
                  <c:v>-13.536529528541548</c:v>
                </c:pt>
                <c:pt idx="899">
                  <c:v>-13.548526778687155</c:v>
                </c:pt>
                <c:pt idx="900">
                  <c:v>-13.560524048826901</c:v>
                </c:pt>
                <c:pt idx="901">
                  <c:v>-13.572521338960438</c:v>
                </c:pt>
                <c:pt idx="902">
                  <c:v>-13.584518649087418</c:v>
                </c:pt>
                <c:pt idx="903">
                  <c:v>-13.59651597920749</c:v>
                </c:pt>
                <c:pt idx="904">
                  <c:v>-13.608513329320306</c:v>
                </c:pt>
                <c:pt idx="905">
                  <c:v>-13.62051069942552</c:v>
                </c:pt>
                <c:pt idx="906">
                  <c:v>-13.63250808952278</c:v>
                </c:pt>
                <c:pt idx="907">
                  <c:v>-13.644505499611737</c:v>
                </c:pt>
                <c:pt idx="908">
                  <c:v>-13.656502929692044</c:v>
                </c:pt>
                <c:pt idx="909">
                  <c:v>-13.668500379763351</c:v>
                </c:pt>
                <c:pt idx="910">
                  <c:v>-13.680497849825311</c:v>
                </c:pt>
                <c:pt idx="911">
                  <c:v>-13.692495339877574</c:v>
                </c:pt>
                <c:pt idx="912">
                  <c:v>-13.704492849919792</c:v>
                </c:pt>
                <c:pt idx="913">
                  <c:v>-13.716490379951614</c:v>
                </c:pt>
                <c:pt idx="914">
                  <c:v>-13.728487929972692</c:v>
                </c:pt>
                <c:pt idx="915">
                  <c:v>-13.740485499982679</c:v>
                </c:pt>
                <c:pt idx="916">
                  <c:v>-13.752483089981226</c:v>
                </c:pt>
                <c:pt idx="917">
                  <c:v>-13.764480699967983</c:v>
                </c:pt>
                <c:pt idx="918">
                  <c:v>-13.776478329942602</c:v>
                </c:pt>
                <c:pt idx="919">
                  <c:v>-13.788475979904733</c:v>
                </c:pt>
                <c:pt idx="920">
                  <c:v>-13.800473649854029</c:v>
                </c:pt>
                <c:pt idx="921">
                  <c:v>-13.81247133979014</c:v>
                </c:pt>
                <c:pt idx="922">
                  <c:v>-13.824469049712718</c:v>
                </c:pt>
                <c:pt idx="923">
                  <c:v>-13.836466779621414</c:v>
                </c:pt>
                <c:pt idx="924">
                  <c:v>-13.84846452951588</c:v>
                </c:pt>
                <c:pt idx="925">
                  <c:v>-13.860462299395767</c:v>
                </c:pt>
                <c:pt idx="926">
                  <c:v>-13.872460089260725</c:v>
                </c:pt>
                <c:pt idx="927">
                  <c:v>-13.884457899110407</c:v>
                </c:pt>
                <c:pt idx="928">
                  <c:v>-13.896455728944462</c:v>
                </c:pt>
                <c:pt idx="929">
                  <c:v>-13.908453578762543</c:v>
                </c:pt>
                <c:pt idx="930">
                  <c:v>-13.920451448564302</c:v>
                </c:pt>
                <c:pt idx="931">
                  <c:v>-13.932449338349389</c:v>
                </c:pt>
                <c:pt idx="932">
                  <c:v>-13.944447248117456</c:v>
                </c:pt>
                <c:pt idx="933">
                  <c:v>-13.956445177868153</c:v>
                </c:pt>
                <c:pt idx="934">
                  <c:v>-13.968443127601132</c:v>
                </c:pt>
                <c:pt idx="935">
                  <c:v>-13.980441097316044</c:v>
                </c:pt>
                <c:pt idx="936">
                  <c:v>-13.992439087012542</c:v>
                </c:pt>
                <c:pt idx="937">
                  <c:v>-14.004437096690276</c:v>
                </c:pt>
                <c:pt idx="938">
                  <c:v>-14.016435126348897</c:v>
                </c:pt>
                <c:pt idx="939">
                  <c:v>-14.028433175988058</c:v>
                </c:pt>
                <c:pt idx="940">
                  <c:v>-14.040431245607408</c:v>
                </c:pt>
                <c:pt idx="941">
                  <c:v>-14.052429335206599</c:v>
                </c:pt>
                <c:pt idx="942">
                  <c:v>-14.064427444785283</c:v>
                </c:pt>
                <c:pt idx="943">
                  <c:v>-14.07642557434311</c:v>
                </c:pt>
                <c:pt idx="944">
                  <c:v>-14.088423723879734</c:v>
                </c:pt>
                <c:pt idx="945">
                  <c:v>-14.100421893394804</c:v>
                </c:pt>
                <c:pt idx="946">
                  <c:v>-14.112420082887972</c:v>
                </c:pt>
                <c:pt idx="947">
                  <c:v>-14.124418292358889</c:v>
                </c:pt>
                <c:pt idx="948">
                  <c:v>-14.136416521807208</c:v>
                </c:pt>
                <c:pt idx="949">
                  <c:v>-14.148414771232577</c:v>
                </c:pt>
                <c:pt idx="950">
                  <c:v>-14.160413040634651</c:v>
                </c:pt>
                <c:pt idx="951">
                  <c:v>-14.17241133001308</c:v>
                </c:pt>
                <c:pt idx="952">
                  <c:v>-14.184409639367514</c:v>
                </c:pt>
                <c:pt idx="953">
                  <c:v>-14.196407968697606</c:v>
                </c:pt>
                <c:pt idx="954">
                  <c:v>-14.208406318003007</c:v>
                </c:pt>
                <c:pt idx="955">
                  <c:v>-14.220404687283368</c:v>
                </c:pt>
                <c:pt idx="956">
                  <c:v>-14.232403076538342</c:v>
                </c:pt>
                <c:pt idx="957">
                  <c:v>-14.244401485767577</c:v>
                </c:pt>
                <c:pt idx="958">
                  <c:v>-14.256399914970727</c:v>
                </c:pt>
                <c:pt idx="959">
                  <c:v>-14.268398364147442</c:v>
                </c:pt>
                <c:pt idx="960">
                  <c:v>-14.280396833297376</c:v>
                </c:pt>
                <c:pt idx="961">
                  <c:v>-14.292395322420177</c:v>
                </c:pt>
                <c:pt idx="962">
                  <c:v>-14.304393831515497</c:v>
                </c:pt>
                <c:pt idx="963">
                  <c:v>-14.31639236058299</c:v>
                </c:pt>
                <c:pt idx="964">
                  <c:v>-14.328390909622305</c:v>
                </c:pt>
                <c:pt idx="965">
                  <c:v>-14.340389478633094</c:v>
                </c:pt>
                <c:pt idx="966">
                  <c:v>-14.352388067615008</c:v>
                </c:pt>
                <c:pt idx="967">
                  <c:v>-14.364386676567699</c:v>
                </c:pt>
                <c:pt idx="968">
                  <c:v>-14.376385305490819</c:v>
                </c:pt>
                <c:pt idx="969">
                  <c:v>-14.388383954384018</c:v>
                </c:pt>
                <c:pt idx="970">
                  <c:v>-14.400382623246948</c:v>
                </c:pt>
                <c:pt idx="971">
                  <c:v>-14.41238131207926</c:v>
                </c:pt>
                <c:pt idx="972">
                  <c:v>-14.424380020880607</c:v>
                </c:pt>
                <c:pt idx="973">
                  <c:v>-14.43637874965064</c:v>
                </c:pt>
                <c:pt idx="974">
                  <c:v>-14.448377498389009</c:v>
                </c:pt>
                <c:pt idx="975">
                  <c:v>-14.460376267095366</c:v>
                </c:pt>
                <c:pt idx="976">
                  <c:v>-14.472375055769364</c:v>
                </c:pt>
                <c:pt idx="977">
                  <c:v>-14.484373864410651</c:v>
                </c:pt>
                <c:pt idx="978">
                  <c:v>-14.496372693018882</c:v>
                </c:pt>
                <c:pt idx="979">
                  <c:v>-14.508371541593707</c:v>
                </c:pt>
                <c:pt idx="980">
                  <c:v>-14.520370410134777</c:v>
                </c:pt>
                <c:pt idx="981">
                  <c:v>-14.532369298641743</c:v>
                </c:pt>
                <c:pt idx="982">
                  <c:v>-14.544368207114259</c:v>
                </c:pt>
                <c:pt idx="983">
                  <c:v>-14.556367135551973</c:v>
                </c:pt>
                <c:pt idx="984">
                  <c:v>-14.568366083954539</c:v>
                </c:pt>
                <c:pt idx="985">
                  <c:v>-14.580365052321607</c:v>
                </c:pt>
                <c:pt idx="986">
                  <c:v>-14.59236404065283</c:v>
                </c:pt>
                <c:pt idx="987">
                  <c:v>-14.604363048947858</c:v>
                </c:pt>
                <c:pt idx="988">
                  <c:v>-14.616362077206343</c:v>
                </c:pt>
                <c:pt idx="989">
                  <c:v>-14.628361125427938</c:v>
                </c:pt>
                <c:pt idx="990">
                  <c:v>-14.640360193612292</c:v>
                </c:pt>
                <c:pt idx="991">
                  <c:v>-14.652359281759058</c:v>
                </c:pt>
                <c:pt idx="992">
                  <c:v>-14.664358389867886</c:v>
                </c:pt>
                <c:pt idx="993">
                  <c:v>-14.676357517938429</c:v>
                </c:pt>
                <c:pt idx="994">
                  <c:v>-14.688356665970339</c:v>
                </c:pt>
                <c:pt idx="995">
                  <c:v>-14.700355833963267</c:v>
                </c:pt>
                <c:pt idx="996">
                  <c:v>-14.712355021916862</c:v>
                </c:pt>
                <c:pt idx="997">
                  <c:v>-14.724354229830778</c:v>
                </c:pt>
                <c:pt idx="998">
                  <c:v>-14.736353457704666</c:v>
                </c:pt>
                <c:pt idx="999">
                  <c:v>-14.748352705538178</c:v>
                </c:pt>
                <c:pt idx="1000">
                  <c:v>-14.760351973330964</c:v>
                </c:pt>
              </c:numCache>
            </c:numRef>
          </c:yVal>
          <c:smooth val="0"/>
          <c:extLst>
            <c:ext xmlns:c16="http://schemas.microsoft.com/office/drawing/2014/chart" uri="{C3380CC4-5D6E-409C-BE32-E72D297353CC}">
              <c16:uniqueId val="{00000001-B5CC-4BD6-9E0D-EA30945FB569}"/>
            </c:ext>
          </c:extLst>
        </c:ser>
        <c:dLbls>
          <c:showLegendKey val="0"/>
          <c:showVal val="0"/>
          <c:showCatName val="0"/>
          <c:showSerName val="0"/>
          <c:showPercent val="0"/>
          <c:showBubbleSize val="0"/>
        </c:dLbls>
        <c:axId val="149619072"/>
        <c:axId val="149620992"/>
      </c:scatterChart>
      <c:valAx>
        <c:axId val="149619072"/>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20992"/>
        <c:crosses val="autoZero"/>
        <c:crossBetween val="midCat"/>
      </c:valAx>
      <c:valAx>
        <c:axId val="149620992"/>
        <c:scaling>
          <c:orientation val="minMax"/>
          <c:min val="0"/>
        </c:scaling>
        <c:delete val="0"/>
        <c:axPos val="l"/>
        <c:majorGridlines>
          <c:spPr>
            <a:ln w="3175">
              <a:solidFill>
                <a:srgbClr val="000000"/>
              </a:solidFill>
              <a:prstDash val="sysDash"/>
            </a:ln>
          </c:spPr>
        </c:majorGridlines>
        <c:title>
          <c:tx>
            <c:rich>
              <a:bodyPr/>
              <a:lstStyle/>
              <a:p>
                <a:pPr>
                  <a:defRPr sz="1175" b="1" i="0" u="none" strike="noStrike" baseline="0">
                    <a:solidFill>
                      <a:srgbClr val="000000"/>
                    </a:solidFill>
                    <a:latin typeface="Arial"/>
                    <a:ea typeface="Arial"/>
                    <a:cs typeface="Arial"/>
                  </a:defRPr>
                </a:pPr>
                <a:r>
                  <a:rPr lang="fr-FR"/>
                  <a:t>Positions [m]</a:t>
                </a:r>
              </a:p>
            </c:rich>
          </c:tx>
          <c:layout>
            <c:manualLayout>
              <c:xMode val="edge"/>
              <c:yMode val="edge"/>
              <c:x val="2.0047169811320761E-2"/>
              <c:y val="0.3006547681539808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19072"/>
        <c:crosses val="autoZero"/>
        <c:crossBetween val="midCat"/>
      </c:valAx>
      <c:spPr>
        <a:noFill/>
        <a:ln w="12700">
          <a:solidFill>
            <a:srgbClr val="808080"/>
          </a:solidFill>
          <a:prstDash val="solid"/>
        </a:ln>
      </c:spPr>
    </c:plotArea>
    <c:legend>
      <c:legendPos val="r"/>
      <c:layout>
        <c:manualLayout>
          <c:xMode val="edge"/>
          <c:yMode val="edge"/>
          <c:x val="0.8286169712276531"/>
          <c:y val="0.4888892388451444"/>
          <c:w val="0.13679257663546773"/>
          <c:h val="0.15777777777777779"/>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Propu!$A$2</c:f>
          <c:strCache>
            <c:ptCount val="1"/>
            <c:pt idx="0">
              <c:v>Pro54-5G WT</c:v>
            </c:pt>
          </c:strCache>
        </c:strRef>
      </c:tx>
      <c:layout>
        <c:manualLayout>
          <c:xMode val="edge"/>
          <c:yMode val="edge"/>
          <c:x val="0.47127077646762688"/>
          <c:y val="3.9178592393174498E-2"/>
        </c:manualLayout>
      </c:layout>
      <c:overlay val="0"/>
      <c:txPr>
        <a:bodyPr/>
        <a:lstStyle/>
        <a:p>
          <a:pPr>
            <a:defRPr sz="1200" b="0"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7.2496559551677733E-2"/>
          <c:y val="5.5426586068345711E-2"/>
          <c:w val="0.88973722710617964"/>
          <c:h val="0.82390179871348956"/>
        </c:manualLayout>
      </c:layout>
      <c:scatterChart>
        <c:scatterStyle val="lineMarker"/>
        <c:varyColors val="0"/>
        <c:ser>
          <c:idx val="0"/>
          <c:order val="0"/>
          <c:tx>
            <c:strRef>
              <c:f>Propu!$A$4</c:f>
              <c:strCache>
                <c:ptCount val="1"/>
                <c:pt idx="0">
                  <c:v>Poussée (en N)</c:v>
                </c:pt>
              </c:strCache>
            </c:strRef>
          </c:tx>
          <c:spPr>
            <a:ln w="25400">
              <a:solidFill>
                <a:srgbClr val="004586"/>
              </a:solidFill>
              <a:prstDash val="solid"/>
            </a:ln>
          </c:spPr>
          <c:marker>
            <c:symbol val="square"/>
            <c:size val="4"/>
            <c:spPr>
              <a:solidFill>
                <a:srgbClr val="004586"/>
              </a:solidFill>
              <a:ln>
                <a:solidFill>
                  <a:srgbClr val="004586"/>
                </a:solidFill>
                <a:prstDash val="solid"/>
              </a:ln>
            </c:spPr>
          </c:marker>
          <c:xVal>
            <c:numRef>
              <c:f>Propu!$B$3:$X$3</c:f>
              <c:numCache>
                <c:formatCode>General</c:formatCode>
                <c:ptCount val="23"/>
                <c:pt idx="0">
                  <c:v>0</c:v>
                </c:pt>
                <c:pt idx="1">
                  <c:v>0.01</c:v>
                </c:pt>
                <c:pt idx="2">
                  <c:v>0.02</c:v>
                </c:pt>
                <c:pt idx="3">
                  <c:v>0.05</c:v>
                </c:pt>
                <c:pt idx="4">
                  <c:v>0.1</c:v>
                </c:pt>
                <c:pt idx="5">
                  <c:v>0.2</c:v>
                </c:pt>
                <c:pt idx="6">
                  <c:v>0.4</c:v>
                </c:pt>
                <c:pt idx="7">
                  <c:v>0.8</c:v>
                </c:pt>
                <c:pt idx="8">
                  <c:v>0.9</c:v>
                </c:pt>
                <c:pt idx="9">
                  <c:v>1</c:v>
                </c:pt>
                <c:pt idx="10">
                  <c:v>1.1000000000000001</c:v>
                </c:pt>
                <c:pt idx="11">
                  <c:v>1.2</c:v>
                </c:pt>
                <c:pt idx="12">
                  <c:v>1.3</c:v>
                </c:pt>
                <c:pt idx="13">
                  <c:v>1.4</c:v>
                </c:pt>
                <c:pt idx="14">
                  <c:v>1.55</c:v>
                </c:pt>
                <c:pt idx="15">
                  <c:v>1.6</c:v>
                </c:pt>
                <c:pt idx="16">
                  <c:v>1.62</c:v>
                </c:pt>
                <c:pt idx="17">
                  <c:v>1.64</c:v>
                </c:pt>
                <c:pt idx="18">
                  <c:v>1.66</c:v>
                </c:pt>
                <c:pt idx="19">
                  <c:v>1.67</c:v>
                </c:pt>
                <c:pt idx="20">
                  <c:v>1.68</c:v>
                </c:pt>
                <c:pt idx="21">
                  <c:v>1.69</c:v>
                </c:pt>
                <c:pt idx="22">
                  <c:v>1.7</c:v>
                </c:pt>
              </c:numCache>
            </c:numRef>
          </c:xVal>
          <c:yVal>
            <c:numRef>
              <c:f>Propu!$B$4:$X$4</c:f>
              <c:numCache>
                <c:formatCode>General</c:formatCode>
                <c:ptCount val="23"/>
                <c:pt idx="0">
                  <c:v>0</c:v>
                </c:pt>
                <c:pt idx="1">
                  <c:v>492.25</c:v>
                </c:pt>
                <c:pt idx="2">
                  <c:v>1369.46</c:v>
                </c:pt>
                <c:pt idx="3">
                  <c:v>1236.01</c:v>
                </c:pt>
                <c:pt idx="4">
                  <c:v>1279.47</c:v>
                </c:pt>
                <c:pt idx="5">
                  <c:v>1311.39</c:v>
                </c:pt>
                <c:pt idx="6">
                  <c:v>1331.39</c:v>
                </c:pt>
                <c:pt idx="7">
                  <c:v>1304.08</c:v>
                </c:pt>
                <c:pt idx="8">
                  <c:v>1280.6199999999999</c:v>
                </c:pt>
                <c:pt idx="9">
                  <c:v>1249.8599999999999</c:v>
                </c:pt>
                <c:pt idx="10">
                  <c:v>1217.94</c:v>
                </c:pt>
                <c:pt idx="11">
                  <c:v>1199.29</c:v>
                </c:pt>
                <c:pt idx="12">
                  <c:v>1158.77</c:v>
                </c:pt>
                <c:pt idx="13">
                  <c:v>1112.56</c:v>
                </c:pt>
                <c:pt idx="14">
                  <c:v>941.81</c:v>
                </c:pt>
                <c:pt idx="15">
                  <c:v>726.07</c:v>
                </c:pt>
                <c:pt idx="16">
                  <c:v>559.16999999999996</c:v>
                </c:pt>
                <c:pt idx="17">
                  <c:v>399.95</c:v>
                </c:pt>
                <c:pt idx="18">
                  <c:v>317.66000000000003</c:v>
                </c:pt>
                <c:pt idx="19">
                  <c:v>247.28</c:v>
                </c:pt>
                <c:pt idx="20">
                  <c:v>198.05</c:v>
                </c:pt>
                <c:pt idx="21">
                  <c:v>67.3</c:v>
                </c:pt>
                <c:pt idx="22">
                  <c:v>0</c:v>
                </c:pt>
              </c:numCache>
            </c:numRef>
          </c:yVal>
          <c:smooth val="0"/>
          <c:extLst>
            <c:ext xmlns:c16="http://schemas.microsoft.com/office/drawing/2014/chart" uri="{C3380CC4-5D6E-409C-BE32-E72D297353CC}">
              <c16:uniqueId val="{00000000-8EF7-4299-9A20-8D075AE9918F}"/>
            </c:ext>
          </c:extLst>
        </c:ser>
        <c:dLbls>
          <c:showLegendKey val="0"/>
          <c:showVal val="0"/>
          <c:showCatName val="0"/>
          <c:showSerName val="0"/>
          <c:showPercent val="0"/>
          <c:showBubbleSize val="0"/>
        </c:dLbls>
        <c:axId val="193428480"/>
        <c:axId val="193451520"/>
      </c:scatterChart>
      <c:valAx>
        <c:axId val="193428480"/>
        <c:scaling>
          <c:orientation val="minMax"/>
        </c:scaling>
        <c:delete val="0"/>
        <c:axPos val="b"/>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Temps / Time [s]</a:t>
                </a:r>
              </a:p>
            </c:rich>
          </c:tx>
          <c:layout>
            <c:manualLayout>
              <c:xMode val="edge"/>
              <c:yMode val="edge"/>
              <c:x val="0.78665554917523417"/>
              <c:y val="0.68868125417484782"/>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51520"/>
        <c:crosses val="autoZero"/>
        <c:crossBetween val="midCat"/>
      </c:valAx>
      <c:valAx>
        <c:axId val="193451520"/>
        <c:scaling>
          <c:orientation val="minMax"/>
        </c:scaling>
        <c:delete val="0"/>
        <c:axPos val="l"/>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Poussée / Thrust [N]</a:t>
                </a:r>
              </a:p>
            </c:rich>
          </c:tx>
          <c:layout>
            <c:manualLayout>
              <c:xMode val="edge"/>
              <c:yMode val="edge"/>
              <c:x val="8.5144147191391295E-2"/>
              <c:y val="0.35327652166872459"/>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28480"/>
        <c:crosses val="autoZero"/>
        <c:crossBetween val="midCat"/>
      </c:valAx>
      <c:spPr>
        <a:noFill/>
        <a:ln w="3175">
          <a:solidFill>
            <a:srgbClr val="B3B3B3"/>
          </a:solidFill>
          <a:prstDash val="solid"/>
        </a:ln>
      </c:spPr>
    </c:plotArea>
    <c:plotVisOnly val="0"/>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trlProps/ctrlProp1.xml><?xml version="1.0" encoding="utf-8"?>
<formControlPr xmlns="http://schemas.microsoft.com/office/spreadsheetml/2009/9/main" objectType="Spin" dx="15" fmlaLink="$C$23" inc="25" max="30000" noThreeD="1" page="10" val="252"/>
</file>

<file path=xl/ctrlProps/ctrlProp10.xml><?xml version="1.0" encoding="utf-8"?>
<formControlPr xmlns="http://schemas.microsoft.com/office/spreadsheetml/2009/9/main" objectType="Spin" dx="15" fmlaLink="$C$33" max="6" min="3" noThreeD="1" page="10" val="4"/>
</file>

<file path=xl/ctrlProps/ctrlProp11.xml><?xml version="1.0" encoding="utf-8"?>
<formControlPr xmlns="http://schemas.microsoft.com/office/spreadsheetml/2009/9/main" objectType="Spin" dx="15" fmlaLink="$C$14" inc="50" max="30000" noThreeD="1" page="10" val="2052"/>
</file>

<file path=xl/ctrlProps/ctrlProp12.xml><?xml version="1.0" encoding="utf-8"?>
<formControlPr xmlns="http://schemas.microsoft.com/office/spreadsheetml/2009/9/main" objectType="Spin" dx="15" fmlaLink="$C$12" inc="100" max="30000" noThreeD="1" page="10" val="6800"/>
</file>

<file path=xl/ctrlProps/ctrlProp13.xml><?xml version="1.0" encoding="utf-8"?>
<formControlPr xmlns="http://schemas.microsoft.com/office/spreadsheetml/2009/9/main" objectType="Spin" dx="15" fmlaLink="$C$12" inc="100" max="30000" noThreeD="1" page="10" val="6800"/>
</file>

<file path=xl/ctrlProps/ctrlProp14.xml><?xml version="1.0" encoding="utf-8"?>
<formControlPr xmlns="http://schemas.microsoft.com/office/spreadsheetml/2009/9/main" objectType="Spin" dx="15" fmlaLink="Stabilito!C12" inc="100" max="30000" noThreeD="1" page="10" val="6800"/>
</file>

<file path=xl/ctrlProps/ctrlProp15.xml><?xml version="1.0" encoding="utf-8"?>
<formControlPr xmlns="http://schemas.microsoft.com/office/spreadsheetml/2009/9/main" objectType="Spin" dx="15" fmlaLink="$B$44" inc="50" max="30000" noThreeD="1" page="10" val="310"/>
</file>

<file path=xl/ctrlProps/ctrlProp16.xml><?xml version="1.0" encoding="utf-8"?>
<formControlPr xmlns="http://schemas.microsoft.com/office/spreadsheetml/2009/9/main" objectType="Spin" dx="15" fmlaLink="$B$46" inc="50" max="30000" noThreeD="1" page="10" val="310"/>
</file>

<file path=xl/ctrlProps/ctrlProp17.xml><?xml version="1.0" encoding="utf-8"?>
<formControlPr xmlns="http://schemas.microsoft.com/office/spreadsheetml/2009/9/main" objectType="Spin" dx="15" fmlaLink="$B$52" inc="50" max="30000" noThreeD="1" page="10" val="299"/>
</file>

<file path=xl/ctrlProps/ctrlProp18.xml><?xml version="1.0" encoding="utf-8"?>
<formControlPr xmlns="http://schemas.microsoft.com/office/spreadsheetml/2009/9/main" objectType="Spin" dx="15" fmlaLink="$B$54" inc="5" max="30000" noThreeD="1" page="10" val="29"/>
</file>

<file path=xl/ctrlProps/ctrlProp19.xml><?xml version="1.0" encoding="utf-8"?>
<formControlPr xmlns="http://schemas.microsoft.com/office/spreadsheetml/2009/9/main" objectType="Spin" dx="15" fmlaLink="Stabilito!C12" inc="100" max="30000" noThreeD="1" page="10" val="6800"/>
</file>

<file path=xl/ctrlProps/ctrlProp2.xml><?xml version="1.0" encoding="utf-8"?>
<formControlPr xmlns="http://schemas.microsoft.com/office/spreadsheetml/2009/9/main" objectType="Spin" dx="15" fmlaLink="$C$12" inc="100" max="30000" noThreeD="1" page="10" val="6800"/>
</file>

<file path=xl/ctrlProps/ctrlProp20.xml><?xml version="1.0" encoding="utf-8"?>
<formControlPr xmlns="http://schemas.microsoft.com/office/spreadsheetml/2009/9/main" objectType="Spin" dx="15" fmlaLink="Stabilito!C12" inc="100" max="30000" noThreeD="1" page="10" val="6800"/>
</file>

<file path=xl/ctrlProps/ctrlProp3.xml><?xml version="1.0" encoding="utf-8"?>
<formControlPr xmlns="http://schemas.microsoft.com/office/spreadsheetml/2009/9/main" objectType="Spin" dx="15" fmlaLink="$C$13" inc="50" max="30000" noThreeD="1" page="10" val="1016"/>
</file>

<file path=xl/ctrlProps/ctrlProp4.xml><?xml version="1.0" encoding="utf-8"?>
<formControlPr xmlns="http://schemas.microsoft.com/office/spreadsheetml/2009/9/main" objectType="Spin" dx="15" fmlaLink="$C$24" inc="20" max="30000" noThreeD="1" page="10" val="84"/>
</file>

<file path=xl/ctrlProps/ctrlProp5.xml><?xml version="1.0" encoding="utf-8"?>
<formControlPr xmlns="http://schemas.microsoft.com/office/spreadsheetml/2009/9/main" objectType="Spin" dx="15" fmlaLink="$C$28" inc="10" max="30000" noThreeD="1" page="10" val="190"/>
</file>

<file path=xl/ctrlProps/ctrlProp6.xml><?xml version="1.0" encoding="utf-8"?>
<formControlPr xmlns="http://schemas.microsoft.com/office/spreadsheetml/2009/9/main" objectType="Spin" dx="15" fmlaLink="$C$29" inc="10" max="30000" noThreeD="1" page="10" val="80"/>
</file>

<file path=xl/ctrlProps/ctrlProp7.xml><?xml version="1.0" encoding="utf-8"?>
<formControlPr xmlns="http://schemas.microsoft.com/office/spreadsheetml/2009/9/main" objectType="Spin" dx="15" fmlaLink="$C$30" inc="10" max="30000" noThreeD="1" page="10" val="180"/>
</file>

<file path=xl/ctrlProps/ctrlProp8.xml><?xml version="1.0" encoding="utf-8"?>
<formControlPr xmlns="http://schemas.microsoft.com/office/spreadsheetml/2009/9/main" objectType="Spin" dx="15" fmlaLink="$C$31" inc="10" max="30000" noThreeD="1" page="10" val="140"/>
</file>

<file path=xl/ctrlProps/ctrlProp9.xml><?xml version="1.0" encoding="utf-8"?>
<formControlPr xmlns="http://schemas.microsoft.com/office/spreadsheetml/2009/9/main" objectType="Spin" dx="15" fmlaLink="$C$32" max="30000" noThreeD="1" page="10" val="3"/>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3.png"/><Relationship Id="rId4"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45.png"/><Relationship Id="rId1" Type="http://schemas.openxmlformats.org/officeDocument/2006/relationships/image" Target="../media/image4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3.vml.rels><?xml version="1.0" encoding="UTF-8" standalone="yes"?>
<Relationships xmlns="http://schemas.openxmlformats.org/package/2006/relationships"><Relationship Id="rId13" Type="http://schemas.openxmlformats.org/officeDocument/2006/relationships/image" Target="../media/image19.emf"/><Relationship Id="rId18" Type="http://schemas.openxmlformats.org/officeDocument/2006/relationships/image" Target="../media/image24.emf"/><Relationship Id="rId26" Type="http://schemas.openxmlformats.org/officeDocument/2006/relationships/image" Target="../media/image32.emf"/><Relationship Id="rId3" Type="http://schemas.openxmlformats.org/officeDocument/2006/relationships/image" Target="../media/image9.emf"/><Relationship Id="rId21" Type="http://schemas.openxmlformats.org/officeDocument/2006/relationships/image" Target="../media/image27.emf"/><Relationship Id="rId34" Type="http://schemas.openxmlformats.org/officeDocument/2006/relationships/image" Target="../media/image40.emf"/><Relationship Id="rId7" Type="http://schemas.openxmlformats.org/officeDocument/2006/relationships/image" Target="../media/image13.emf"/><Relationship Id="rId12" Type="http://schemas.openxmlformats.org/officeDocument/2006/relationships/image" Target="../media/image18.emf"/><Relationship Id="rId17" Type="http://schemas.openxmlformats.org/officeDocument/2006/relationships/image" Target="../media/image23.emf"/><Relationship Id="rId25" Type="http://schemas.openxmlformats.org/officeDocument/2006/relationships/image" Target="../media/image31.emf"/><Relationship Id="rId33" Type="http://schemas.openxmlformats.org/officeDocument/2006/relationships/image" Target="../media/image39.emf"/><Relationship Id="rId2" Type="http://schemas.openxmlformats.org/officeDocument/2006/relationships/image" Target="../media/image8.emf"/><Relationship Id="rId16" Type="http://schemas.openxmlformats.org/officeDocument/2006/relationships/image" Target="../media/image22.emf"/><Relationship Id="rId20" Type="http://schemas.openxmlformats.org/officeDocument/2006/relationships/image" Target="../media/image26.emf"/><Relationship Id="rId29" Type="http://schemas.openxmlformats.org/officeDocument/2006/relationships/image" Target="../media/image35.emf"/><Relationship Id="rId1" Type="http://schemas.openxmlformats.org/officeDocument/2006/relationships/image" Target="../media/image7.emf"/><Relationship Id="rId6" Type="http://schemas.openxmlformats.org/officeDocument/2006/relationships/image" Target="../media/image12.emf"/><Relationship Id="rId11" Type="http://schemas.openxmlformats.org/officeDocument/2006/relationships/image" Target="../media/image17.emf"/><Relationship Id="rId24" Type="http://schemas.openxmlformats.org/officeDocument/2006/relationships/image" Target="../media/image30.emf"/><Relationship Id="rId32" Type="http://schemas.openxmlformats.org/officeDocument/2006/relationships/image" Target="../media/image38.emf"/><Relationship Id="rId5" Type="http://schemas.openxmlformats.org/officeDocument/2006/relationships/image" Target="../media/image11.emf"/><Relationship Id="rId15" Type="http://schemas.openxmlformats.org/officeDocument/2006/relationships/image" Target="../media/image21.emf"/><Relationship Id="rId23" Type="http://schemas.openxmlformats.org/officeDocument/2006/relationships/image" Target="../media/image29.emf"/><Relationship Id="rId28" Type="http://schemas.openxmlformats.org/officeDocument/2006/relationships/image" Target="../media/image34.emf"/><Relationship Id="rId36" Type="http://schemas.openxmlformats.org/officeDocument/2006/relationships/image" Target="../media/image42.emf"/><Relationship Id="rId10" Type="http://schemas.openxmlformats.org/officeDocument/2006/relationships/image" Target="../media/image16.emf"/><Relationship Id="rId19" Type="http://schemas.openxmlformats.org/officeDocument/2006/relationships/image" Target="../media/image25.emf"/><Relationship Id="rId31" Type="http://schemas.openxmlformats.org/officeDocument/2006/relationships/image" Target="../media/image37.emf"/><Relationship Id="rId4" Type="http://schemas.openxmlformats.org/officeDocument/2006/relationships/image" Target="../media/image10.emf"/><Relationship Id="rId9" Type="http://schemas.openxmlformats.org/officeDocument/2006/relationships/image" Target="../media/image15.emf"/><Relationship Id="rId14" Type="http://schemas.openxmlformats.org/officeDocument/2006/relationships/image" Target="../media/image20.emf"/><Relationship Id="rId22" Type="http://schemas.openxmlformats.org/officeDocument/2006/relationships/image" Target="../media/image28.emf"/><Relationship Id="rId27" Type="http://schemas.openxmlformats.org/officeDocument/2006/relationships/image" Target="../media/image33.emf"/><Relationship Id="rId30" Type="http://schemas.openxmlformats.org/officeDocument/2006/relationships/image" Target="../media/image36.emf"/><Relationship Id="rId35" Type="http://schemas.openxmlformats.org/officeDocument/2006/relationships/image" Target="../media/image41.emf"/><Relationship Id="rId8" Type="http://schemas.openxmlformats.org/officeDocument/2006/relationships/image" Target="../media/image1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xdr:from>
      <xdr:col>12</xdr:col>
      <xdr:colOff>25400</xdr:colOff>
      <xdr:row>1</xdr:row>
      <xdr:rowOff>25400</xdr:rowOff>
    </xdr:from>
    <xdr:to>
      <xdr:col>12</xdr:col>
      <xdr:colOff>488950</xdr:colOff>
      <xdr:row>1</xdr:row>
      <xdr:rowOff>139700</xdr:rowOff>
    </xdr:to>
    <xdr:grpSp>
      <xdr:nvGrpSpPr>
        <xdr:cNvPr id="5096993" name="Groupe 1">
          <a:extLst>
            <a:ext uri="{FF2B5EF4-FFF2-40B4-BE49-F238E27FC236}">
              <a16:creationId xmlns:a16="http://schemas.microsoft.com/office/drawing/2014/main" id="{00000000-0008-0000-0000-000021C64D00}"/>
            </a:ext>
          </a:extLst>
        </xdr:cNvPr>
        <xdr:cNvGrpSpPr>
          <a:grpSpLocks/>
        </xdr:cNvGrpSpPr>
      </xdr:nvGrpSpPr>
      <xdr:grpSpPr bwMode="auto">
        <a:xfrm>
          <a:off x="7372074" y="191052"/>
          <a:ext cx="463550" cy="114300"/>
          <a:chOff x="7067550" y="190500"/>
          <a:chExt cx="438150" cy="114300"/>
        </a:xfrm>
      </xdr:grpSpPr>
      <xdr:pic>
        <xdr:nvPicPr>
          <xdr:cNvPr id="5096999" name="Image 1">
            <a:extLst>
              <a:ext uri="{FF2B5EF4-FFF2-40B4-BE49-F238E27FC236}">
                <a16:creationId xmlns:a16="http://schemas.microsoft.com/office/drawing/2014/main" id="{00000000-0008-0000-0000-000027C64D00}"/>
              </a:ext>
            </a:extLst>
          </xdr:cNvPr>
          <xdr:cNvPicPr>
            <a:picLocks noChangeAspect="1"/>
          </xdr:cNvPicPr>
        </xdr:nvPicPr>
        <xdr:blipFill>
          <a:blip xmlns:r="http://schemas.openxmlformats.org/officeDocument/2006/relationships" r:embed="rId1" cstate="print"/>
          <a:srcRect/>
          <a:stretch>
            <a:fillRect/>
          </a:stretch>
        </xdr:blipFill>
        <xdr:spPr bwMode="auto">
          <a:xfrm>
            <a:off x="7067550" y="190500"/>
            <a:ext cx="171450" cy="114300"/>
          </a:xfrm>
          <a:prstGeom prst="rect">
            <a:avLst/>
          </a:prstGeom>
          <a:noFill/>
          <a:ln w="9525">
            <a:noFill/>
            <a:miter lim="800000"/>
            <a:headEnd/>
            <a:tailEnd/>
          </a:ln>
        </xdr:spPr>
      </xdr:pic>
      <xdr:pic>
        <xdr:nvPicPr>
          <xdr:cNvPr id="5097000" name="Image 2">
            <a:extLst>
              <a:ext uri="{FF2B5EF4-FFF2-40B4-BE49-F238E27FC236}">
                <a16:creationId xmlns:a16="http://schemas.microsoft.com/office/drawing/2014/main" id="{00000000-0008-0000-0000-000028C64D00}"/>
              </a:ext>
            </a:extLst>
          </xdr:cNvPr>
          <xdr:cNvPicPr>
            <a:picLocks noChangeAspect="1"/>
          </xdr:cNvPicPr>
        </xdr:nvPicPr>
        <xdr:blipFill>
          <a:blip xmlns:r="http://schemas.openxmlformats.org/officeDocument/2006/relationships" r:embed="rId2" cstate="print"/>
          <a:srcRect/>
          <a:stretch>
            <a:fillRect/>
          </a:stretch>
        </xdr:blipFill>
        <xdr:spPr bwMode="auto">
          <a:xfrm>
            <a:off x="7277100" y="190500"/>
            <a:ext cx="228600" cy="114300"/>
          </a:xfrm>
          <a:prstGeom prst="rect">
            <a:avLst/>
          </a:prstGeom>
          <a:noFill/>
          <a:ln w="9525">
            <a:noFill/>
            <a:miter lim="800000"/>
            <a:headEnd/>
            <a:tailEnd/>
          </a:ln>
        </xdr:spPr>
      </xdr:pic>
    </xdr:grpSp>
    <xdr:clientData/>
  </xdr:twoCellAnchor>
  <xdr:twoCellAnchor>
    <xdr:from>
      <xdr:col>4</xdr:col>
      <xdr:colOff>279400</xdr:colOff>
      <xdr:row>1</xdr:row>
      <xdr:rowOff>0</xdr:rowOff>
    </xdr:from>
    <xdr:to>
      <xdr:col>10</xdr:col>
      <xdr:colOff>0</xdr:colOff>
      <xdr:row>24</xdr:row>
      <xdr:rowOff>0</xdr:rowOff>
    </xdr:to>
    <xdr:graphicFrame macro="">
      <xdr:nvGraphicFramePr>
        <xdr:cNvPr id="5096994" name="Graphique 9">
          <a:extLst>
            <a:ext uri="{FF2B5EF4-FFF2-40B4-BE49-F238E27FC236}">
              <a16:creationId xmlns:a16="http://schemas.microsoft.com/office/drawing/2014/main" id="{00000000-0008-0000-0000-000022C6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25</xdr:row>
      <xdr:rowOff>0</xdr:rowOff>
    </xdr:from>
    <xdr:to>
      <xdr:col>16</xdr:col>
      <xdr:colOff>0</xdr:colOff>
      <xdr:row>35</xdr:row>
      <xdr:rowOff>0</xdr:rowOff>
    </xdr:to>
    <xdr:graphicFrame macro="">
      <xdr:nvGraphicFramePr>
        <xdr:cNvPr id="5096995" name="Graphique 19">
          <a:extLst>
            <a:ext uri="{FF2B5EF4-FFF2-40B4-BE49-F238E27FC236}">
              <a16:creationId xmlns:a16="http://schemas.microsoft.com/office/drawing/2014/main" id="{00000000-0008-0000-0000-000023C6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1</xdr:row>
      <xdr:rowOff>0</xdr:rowOff>
    </xdr:from>
    <xdr:to>
      <xdr:col>1</xdr:col>
      <xdr:colOff>981075</xdr:colOff>
      <xdr:row>4</xdr:row>
      <xdr:rowOff>152400</xdr:rowOff>
    </xdr:to>
    <xdr:pic>
      <xdr:nvPicPr>
        <xdr:cNvPr id="5096996" name="Picture 8" descr="logoplasci">
          <a:extLst>
            <a:ext uri="{FF2B5EF4-FFF2-40B4-BE49-F238E27FC236}">
              <a16:creationId xmlns:a16="http://schemas.microsoft.com/office/drawing/2014/main" id="{00000000-0008-0000-0000-000024C64D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twoCellAnchor editAs="oneCell">
    <xdr:from>
      <xdr:col>1</xdr:col>
      <xdr:colOff>0</xdr:colOff>
      <xdr:row>38</xdr:row>
      <xdr:rowOff>0</xdr:rowOff>
    </xdr:from>
    <xdr:to>
      <xdr:col>3</xdr:col>
      <xdr:colOff>1270</xdr:colOff>
      <xdr:row>49</xdr:row>
      <xdr:rowOff>66675</xdr:rowOff>
    </xdr:to>
    <xdr:pic>
      <xdr:nvPicPr>
        <xdr:cNvPr id="5096997" name="Image 1">
          <a:extLst>
            <a:ext uri="{FF2B5EF4-FFF2-40B4-BE49-F238E27FC236}">
              <a16:creationId xmlns:a16="http://schemas.microsoft.com/office/drawing/2014/main" id="{00000000-0008-0000-0000-000025C64D00}"/>
            </a:ext>
          </a:extLst>
        </xdr:cNvPr>
        <xdr:cNvPicPr>
          <a:picLocks noChangeAspect="1"/>
        </xdr:cNvPicPr>
      </xdr:nvPicPr>
      <xdr:blipFill>
        <a:blip xmlns:r="http://schemas.openxmlformats.org/officeDocument/2006/relationships" r:embed="rId6" cstate="print"/>
        <a:srcRect/>
        <a:stretch>
          <a:fillRect/>
        </a:stretch>
      </xdr:blipFill>
      <xdr:spPr bwMode="auto">
        <a:xfrm>
          <a:off x="152400" y="5873750"/>
          <a:ext cx="1987550" cy="1885950"/>
        </a:xfrm>
        <a:prstGeom prst="rect">
          <a:avLst/>
        </a:prstGeom>
        <a:noFill/>
        <a:ln w="9525">
          <a:noFill/>
          <a:miter lim="800000"/>
          <a:headEnd/>
          <a:tailEnd/>
        </a:ln>
      </xdr:spPr>
    </xdr:pic>
    <xdr:clientData/>
  </xdr:twoCellAnchor>
  <xdr:twoCellAnchor editAs="oneCell">
    <xdr:from>
      <xdr:col>18</xdr:col>
      <xdr:colOff>0</xdr:colOff>
      <xdr:row>3</xdr:row>
      <xdr:rowOff>12700</xdr:rowOff>
    </xdr:from>
    <xdr:to>
      <xdr:col>20</xdr:col>
      <xdr:colOff>561975</xdr:colOff>
      <xdr:row>9</xdr:row>
      <xdr:rowOff>20320</xdr:rowOff>
    </xdr:to>
    <xdr:pic>
      <xdr:nvPicPr>
        <xdr:cNvPr id="5096998" name="Image 2">
          <a:extLst>
            <a:ext uri="{FF2B5EF4-FFF2-40B4-BE49-F238E27FC236}">
              <a16:creationId xmlns:a16="http://schemas.microsoft.com/office/drawing/2014/main" id="{00000000-0008-0000-0000-000026C64D00}"/>
            </a:ext>
          </a:extLst>
        </xdr:cNvPr>
        <xdr:cNvPicPr>
          <a:picLocks noChangeAspect="1"/>
        </xdr:cNvPicPr>
      </xdr:nvPicPr>
      <xdr:blipFill>
        <a:blip xmlns:r="http://schemas.openxmlformats.org/officeDocument/2006/relationships" r:embed="rId7" cstate="print"/>
        <a:srcRect/>
        <a:stretch>
          <a:fillRect/>
        </a:stretch>
      </xdr:blipFill>
      <xdr:spPr bwMode="auto">
        <a:xfrm>
          <a:off x="9810750" y="488950"/>
          <a:ext cx="2152650" cy="9525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3</xdr:col>
          <xdr:colOff>752475</xdr:colOff>
          <xdr:row>22</xdr:row>
          <xdr:rowOff>0</xdr:rowOff>
        </xdr:from>
        <xdr:to>
          <xdr:col>3</xdr:col>
          <xdr:colOff>895350</xdr:colOff>
          <xdr:row>23</xdr:row>
          <xdr:rowOff>0</xdr:rowOff>
        </xdr:to>
        <xdr:sp macro="" textlink="">
          <xdr:nvSpPr>
            <xdr:cNvPr id="36775" name="Spinner 935" hidden="1">
              <a:extLst>
                <a:ext uri="{63B3BB69-23CF-44E3-9099-C40C66FF867C}">
                  <a14:compatExt spid="_x0000_s36775"/>
                </a:ext>
                <a:ext uri="{FF2B5EF4-FFF2-40B4-BE49-F238E27FC236}">
                  <a16:creationId xmlns:a16="http://schemas.microsoft.com/office/drawing/2014/main" id="{00000000-0008-0000-0000-0000A7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11</xdr:row>
          <xdr:rowOff>0</xdr:rowOff>
        </xdr:from>
        <xdr:to>
          <xdr:col>2</xdr:col>
          <xdr:colOff>895350</xdr:colOff>
          <xdr:row>12</xdr:row>
          <xdr:rowOff>0</xdr:rowOff>
        </xdr:to>
        <xdr:sp macro="" textlink="">
          <xdr:nvSpPr>
            <xdr:cNvPr id="36781" name="Spinner 941" hidden="1">
              <a:extLst>
                <a:ext uri="{63B3BB69-23CF-44E3-9099-C40C66FF867C}">
                  <a14:compatExt spid="_x0000_s36781"/>
                </a:ext>
                <a:ext uri="{FF2B5EF4-FFF2-40B4-BE49-F238E27FC236}">
                  <a16:creationId xmlns:a16="http://schemas.microsoft.com/office/drawing/2014/main" id="{00000000-0008-0000-0000-0000A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12</xdr:row>
          <xdr:rowOff>0</xdr:rowOff>
        </xdr:from>
        <xdr:to>
          <xdr:col>2</xdr:col>
          <xdr:colOff>895350</xdr:colOff>
          <xdr:row>13</xdr:row>
          <xdr:rowOff>0</xdr:rowOff>
        </xdr:to>
        <xdr:sp macro="" textlink="">
          <xdr:nvSpPr>
            <xdr:cNvPr id="36782" name="Spinner 942" hidden="1">
              <a:extLst>
                <a:ext uri="{63B3BB69-23CF-44E3-9099-C40C66FF867C}">
                  <a14:compatExt spid="_x0000_s36782"/>
                </a:ext>
                <a:ext uri="{FF2B5EF4-FFF2-40B4-BE49-F238E27FC236}">
                  <a16:creationId xmlns:a16="http://schemas.microsoft.com/office/drawing/2014/main" id="{00000000-0008-0000-0000-0000A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752475</xdr:colOff>
          <xdr:row>22</xdr:row>
          <xdr:rowOff>161925</xdr:rowOff>
        </xdr:from>
        <xdr:to>
          <xdr:col>3</xdr:col>
          <xdr:colOff>895350</xdr:colOff>
          <xdr:row>24</xdr:row>
          <xdr:rowOff>0</xdr:rowOff>
        </xdr:to>
        <xdr:sp macro="" textlink="">
          <xdr:nvSpPr>
            <xdr:cNvPr id="36783" name="Spinner 943" hidden="1">
              <a:extLst>
                <a:ext uri="{63B3BB69-23CF-44E3-9099-C40C66FF867C}">
                  <a14:compatExt spid="_x0000_s36783"/>
                </a:ext>
                <a:ext uri="{FF2B5EF4-FFF2-40B4-BE49-F238E27FC236}">
                  <a16:creationId xmlns:a16="http://schemas.microsoft.com/office/drawing/2014/main" id="{00000000-0008-0000-0000-0000A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27</xdr:row>
          <xdr:rowOff>0</xdr:rowOff>
        </xdr:from>
        <xdr:to>
          <xdr:col>3</xdr:col>
          <xdr:colOff>0</xdr:colOff>
          <xdr:row>28</xdr:row>
          <xdr:rowOff>9525</xdr:rowOff>
        </xdr:to>
        <xdr:sp macro="" textlink="">
          <xdr:nvSpPr>
            <xdr:cNvPr id="36789" name="Spinner 949" hidden="1">
              <a:extLst>
                <a:ext uri="{63B3BB69-23CF-44E3-9099-C40C66FF867C}">
                  <a14:compatExt spid="_x0000_s36789"/>
                </a:ext>
                <a:ext uri="{FF2B5EF4-FFF2-40B4-BE49-F238E27FC236}">
                  <a16:creationId xmlns:a16="http://schemas.microsoft.com/office/drawing/2014/main" id="{00000000-0008-0000-0000-0000B5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28</xdr:row>
          <xdr:rowOff>0</xdr:rowOff>
        </xdr:from>
        <xdr:to>
          <xdr:col>3</xdr:col>
          <xdr:colOff>0</xdr:colOff>
          <xdr:row>29</xdr:row>
          <xdr:rowOff>9525</xdr:rowOff>
        </xdr:to>
        <xdr:sp macro="" textlink="">
          <xdr:nvSpPr>
            <xdr:cNvPr id="36795" name="Spinner 955" hidden="1">
              <a:extLst>
                <a:ext uri="{63B3BB69-23CF-44E3-9099-C40C66FF867C}">
                  <a14:compatExt spid="_x0000_s36795"/>
                </a:ext>
                <a:ext uri="{FF2B5EF4-FFF2-40B4-BE49-F238E27FC236}">
                  <a16:creationId xmlns:a16="http://schemas.microsoft.com/office/drawing/2014/main" id="{00000000-0008-0000-0000-0000BB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28</xdr:row>
          <xdr:rowOff>161925</xdr:rowOff>
        </xdr:from>
        <xdr:to>
          <xdr:col>3</xdr:col>
          <xdr:colOff>0</xdr:colOff>
          <xdr:row>30</xdr:row>
          <xdr:rowOff>0</xdr:rowOff>
        </xdr:to>
        <xdr:sp macro="" textlink="">
          <xdr:nvSpPr>
            <xdr:cNvPr id="36796" name="Spinner 956" hidden="1">
              <a:extLst>
                <a:ext uri="{63B3BB69-23CF-44E3-9099-C40C66FF867C}">
                  <a14:compatExt spid="_x0000_s36796"/>
                </a:ext>
                <a:ext uri="{FF2B5EF4-FFF2-40B4-BE49-F238E27FC236}">
                  <a16:creationId xmlns:a16="http://schemas.microsoft.com/office/drawing/2014/main" id="{00000000-0008-0000-0000-0000BC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30</xdr:row>
          <xdr:rowOff>0</xdr:rowOff>
        </xdr:from>
        <xdr:to>
          <xdr:col>3</xdr:col>
          <xdr:colOff>0</xdr:colOff>
          <xdr:row>30</xdr:row>
          <xdr:rowOff>161925</xdr:rowOff>
        </xdr:to>
        <xdr:sp macro="" textlink="">
          <xdr:nvSpPr>
            <xdr:cNvPr id="36797" name="Spinner 957" hidden="1">
              <a:extLst>
                <a:ext uri="{63B3BB69-23CF-44E3-9099-C40C66FF867C}">
                  <a14:compatExt spid="_x0000_s36797"/>
                </a:ext>
                <a:ext uri="{FF2B5EF4-FFF2-40B4-BE49-F238E27FC236}">
                  <a16:creationId xmlns:a16="http://schemas.microsoft.com/office/drawing/2014/main" id="{00000000-0008-0000-0000-0000B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31</xdr:row>
          <xdr:rowOff>0</xdr:rowOff>
        </xdr:from>
        <xdr:to>
          <xdr:col>2</xdr:col>
          <xdr:colOff>895350</xdr:colOff>
          <xdr:row>32</xdr:row>
          <xdr:rowOff>0</xdr:rowOff>
        </xdr:to>
        <xdr:sp macro="" textlink="">
          <xdr:nvSpPr>
            <xdr:cNvPr id="36798" name="Spinner 958" hidden="1">
              <a:extLst>
                <a:ext uri="{63B3BB69-23CF-44E3-9099-C40C66FF867C}">
                  <a14:compatExt spid="_x0000_s36798"/>
                </a:ext>
                <a:ext uri="{FF2B5EF4-FFF2-40B4-BE49-F238E27FC236}">
                  <a16:creationId xmlns:a16="http://schemas.microsoft.com/office/drawing/2014/main" id="{00000000-0008-0000-0000-0000B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32</xdr:row>
          <xdr:rowOff>0</xdr:rowOff>
        </xdr:from>
        <xdr:to>
          <xdr:col>3</xdr:col>
          <xdr:colOff>0</xdr:colOff>
          <xdr:row>33</xdr:row>
          <xdr:rowOff>0</xdr:rowOff>
        </xdr:to>
        <xdr:sp macro="" textlink="">
          <xdr:nvSpPr>
            <xdr:cNvPr id="36799" name="Spinner 959" hidden="1">
              <a:extLst>
                <a:ext uri="{63B3BB69-23CF-44E3-9099-C40C66FF867C}">
                  <a14:compatExt spid="_x0000_s36799"/>
                </a:ext>
                <a:ext uri="{FF2B5EF4-FFF2-40B4-BE49-F238E27FC236}">
                  <a16:creationId xmlns:a16="http://schemas.microsoft.com/office/drawing/2014/main" id="{00000000-0008-0000-0000-0000B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752475</xdr:colOff>
          <xdr:row>12</xdr:row>
          <xdr:rowOff>161925</xdr:rowOff>
        </xdr:from>
        <xdr:to>
          <xdr:col>4</xdr:col>
          <xdr:colOff>0</xdr:colOff>
          <xdr:row>13</xdr:row>
          <xdr:rowOff>161925</xdr:rowOff>
        </xdr:to>
        <xdr:sp macro="" textlink="">
          <xdr:nvSpPr>
            <xdr:cNvPr id="36801" name="Spinner 961" hidden="1">
              <a:extLst>
                <a:ext uri="{63B3BB69-23CF-44E3-9099-C40C66FF867C}">
                  <a14:compatExt spid="_x0000_s36801"/>
                </a:ext>
                <a:ext uri="{FF2B5EF4-FFF2-40B4-BE49-F238E27FC236}">
                  <a16:creationId xmlns:a16="http://schemas.microsoft.com/office/drawing/2014/main" id="{00000000-0008-0000-0000-0000C1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9525</xdr:rowOff>
        </xdr:from>
        <xdr:to>
          <xdr:col>19</xdr:col>
          <xdr:colOff>0</xdr:colOff>
          <xdr:row>36</xdr:row>
          <xdr:rowOff>0</xdr:rowOff>
        </xdr:to>
        <xdr:sp macro="" textlink="">
          <xdr:nvSpPr>
            <xdr:cNvPr id="5096691" name="Spinner 3315" hidden="1">
              <a:extLst>
                <a:ext uri="{63B3BB69-23CF-44E3-9099-C40C66FF867C}">
                  <a14:compatExt spid="_x0000_s5096691"/>
                </a:ext>
                <a:ext uri="{FF2B5EF4-FFF2-40B4-BE49-F238E27FC236}">
                  <a16:creationId xmlns:a16="http://schemas.microsoft.com/office/drawing/2014/main" id="{00000000-0008-0000-0000-0000F3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9525</xdr:rowOff>
        </xdr:from>
        <xdr:to>
          <xdr:col>19</xdr:col>
          <xdr:colOff>0</xdr:colOff>
          <xdr:row>36</xdr:row>
          <xdr:rowOff>0</xdr:rowOff>
        </xdr:to>
        <xdr:sp macro="" textlink="">
          <xdr:nvSpPr>
            <xdr:cNvPr id="5096692" name="Spinner 3316" hidden="1">
              <a:extLst>
                <a:ext uri="{63B3BB69-23CF-44E3-9099-C40C66FF867C}">
                  <a14:compatExt spid="_x0000_s5096692"/>
                </a:ext>
                <a:ext uri="{FF2B5EF4-FFF2-40B4-BE49-F238E27FC236}">
                  <a16:creationId xmlns:a16="http://schemas.microsoft.com/office/drawing/2014/main" id="{00000000-0008-0000-0000-0000F4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0</xdr:rowOff>
    </xdr:from>
    <xdr:to>
      <xdr:col>8</xdr:col>
      <xdr:colOff>609600</xdr:colOff>
      <xdr:row>21</xdr:row>
      <xdr:rowOff>38100</xdr:rowOff>
    </xdr:to>
    <xdr:graphicFrame macro="">
      <xdr:nvGraphicFramePr>
        <xdr:cNvPr id="4779983" name="Graphique 1">
          <a:extLst>
            <a:ext uri="{FF2B5EF4-FFF2-40B4-BE49-F238E27FC236}">
              <a16:creationId xmlns:a16="http://schemas.microsoft.com/office/drawing/2014/main" id="{00000000-0008-0000-0100-0000CFEF4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xdr:row>
      <xdr:rowOff>0</xdr:rowOff>
    </xdr:from>
    <xdr:to>
      <xdr:col>13</xdr:col>
      <xdr:colOff>0</xdr:colOff>
      <xdr:row>21</xdr:row>
      <xdr:rowOff>47625</xdr:rowOff>
    </xdr:to>
    <xdr:graphicFrame macro="">
      <xdr:nvGraphicFramePr>
        <xdr:cNvPr id="4779984" name="Graphique 2">
          <a:extLst>
            <a:ext uri="{FF2B5EF4-FFF2-40B4-BE49-F238E27FC236}">
              <a16:creationId xmlns:a16="http://schemas.microsoft.com/office/drawing/2014/main" id="{00000000-0008-0000-0100-0000D0EF4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xdr:row>
      <xdr:rowOff>0</xdr:rowOff>
    </xdr:from>
    <xdr:to>
      <xdr:col>1</xdr:col>
      <xdr:colOff>979170</xdr:colOff>
      <xdr:row>4</xdr:row>
      <xdr:rowOff>152400</xdr:rowOff>
    </xdr:to>
    <xdr:pic>
      <xdr:nvPicPr>
        <xdr:cNvPr id="4779985" name="Picture 8" descr="logoplasci">
          <a:extLst>
            <a:ext uri="{FF2B5EF4-FFF2-40B4-BE49-F238E27FC236}">
              <a16:creationId xmlns:a16="http://schemas.microsoft.com/office/drawing/2014/main" id="{00000000-0008-0000-0100-0000D1EF48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65100"/>
          <a:ext cx="984250" cy="628650"/>
        </a:xfrm>
        <a:prstGeom prst="rect">
          <a:avLst/>
        </a:prstGeom>
        <a:noFill/>
        <a:ln w="9525">
          <a:noFill/>
          <a:miter lim="800000"/>
          <a:headEnd/>
          <a:tailEnd/>
        </a:ln>
      </xdr:spPr>
    </xdr:pic>
    <xdr:clientData/>
  </xdr:twoCellAnchor>
  <xdr:twoCellAnchor>
    <xdr:from>
      <xdr:col>2</xdr:col>
      <xdr:colOff>397377</xdr:colOff>
      <xdr:row>49</xdr:row>
      <xdr:rowOff>132682</xdr:rowOff>
    </xdr:from>
    <xdr:to>
      <xdr:col>3</xdr:col>
      <xdr:colOff>583998</xdr:colOff>
      <xdr:row>56</xdr:row>
      <xdr:rowOff>50436</xdr:rowOff>
    </xdr:to>
    <xdr:grpSp>
      <xdr:nvGrpSpPr>
        <xdr:cNvPr id="4" name="Groupe 3">
          <a:extLst>
            <a:ext uri="{FF2B5EF4-FFF2-40B4-BE49-F238E27FC236}">
              <a16:creationId xmlns:a16="http://schemas.microsoft.com/office/drawing/2014/main" id="{00000000-0008-0000-0100-000004000000}"/>
            </a:ext>
          </a:extLst>
        </xdr:cNvPr>
        <xdr:cNvGrpSpPr/>
      </xdr:nvGrpSpPr>
      <xdr:grpSpPr>
        <a:xfrm>
          <a:off x="1616577" y="8076532"/>
          <a:ext cx="1043871" cy="1051229"/>
          <a:chOff x="1543718" y="8304129"/>
          <a:chExt cx="1082306" cy="1064096"/>
        </a:xfrm>
      </xdr:grpSpPr>
      <xdr:sp macro="" textlink="">
        <xdr:nvSpPr>
          <xdr:cNvPr id="4779987" name="Oval 323">
            <a:extLst>
              <a:ext uri="{FF2B5EF4-FFF2-40B4-BE49-F238E27FC236}">
                <a16:creationId xmlns:a16="http://schemas.microsoft.com/office/drawing/2014/main" id="{00000000-0008-0000-0100-0000D3EF4800}"/>
              </a:ext>
            </a:extLst>
          </xdr:cNvPr>
          <xdr:cNvSpPr>
            <a:spLocks noChangeArrowheads="1"/>
          </xdr:cNvSpPr>
        </xdr:nvSpPr>
        <xdr:spPr bwMode="auto">
          <a:xfrm>
            <a:off x="1543718" y="8304129"/>
            <a:ext cx="1082306" cy="1064096"/>
          </a:xfrm>
          <a:prstGeom prst="ellipse">
            <a:avLst/>
          </a:prstGeom>
          <a:solidFill>
            <a:srgbClr val="F2F2F2"/>
          </a:solidFill>
          <a:ln w="9525">
            <a:solidFill>
              <a:srgbClr val="000000"/>
            </a:solidFill>
            <a:round/>
            <a:headEnd/>
            <a:tailEnd/>
          </a:ln>
        </xdr:spPr>
      </xdr:sp>
      <xdr:sp macro="" textlink="">
        <xdr:nvSpPr>
          <xdr:cNvPr id="4779988" name="Oval 323">
            <a:extLst>
              <a:ext uri="{FF2B5EF4-FFF2-40B4-BE49-F238E27FC236}">
                <a16:creationId xmlns:a16="http://schemas.microsoft.com/office/drawing/2014/main" id="{00000000-0008-0000-0100-0000D4EF4800}"/>
              </a:ext>
            </a:extLst>
          </xdr:cNvPr>
          <xdr:cNvSpPr>
            <a:spLocks noChangeArrowheads="1"/>
          </xdr:cNvSpPr>
        </xdr:nvSpPr>
        <xdr:spPr bwMode="auto">
          <a:xfrm>
            <a:off x="1939718" y="8694827"/>
            <a:ext cx="290306" cy="282700"/>
          </a:xfrm>
          <a:prstGeom prst="ellipse">
            <a:avLst/>
          </a:prstGeom>
          <a:solidFill>
            <a:srgbClr val="FFFFFF"/>
          </a:solidFill>
          <a:ln w="9525">
            <a:solidFill>
              <a:srgbClr val="000000"/>
            </a:solidFill>
            <a:round/>
            <a:headEnd/>
            <a:tailEnd/>
          </a:ln>
        </xdr:spPr>
      </xdr:sp>
      <xdr:sp macro="" textlink="">
        <xdr:nvSpPr>
          <xdr:cNvPr id="4779989" name="Line 324">
            <a:extLst>
              <a:ext uri="{FF2B5EF4-FFF2-40B4-BE49-F238E27FC236}">
                <a16:creationId xmlns:a16="http://schemas.microsoft.com/office/drawing/2014/main" id="{00000000-0008-0000-0100-0000D5EF4800}"/>
              </a:ext>
            </a:extLst>
          </xdr:cNvPr>
          <xdr:cNvSpPr>
            <a:spLocks noChangeShapeType="1"/>
          </xdr:cNvSpPr>
        </xdr:nvSpPr>
        <xdr:spPr bwMode="auto">
          <a:xfrm>
            <a:off x="2083718" y="8304129"/>
            <a:ext cx="0" cy="540000"/>
          </a:xfrm>
          <a:prstGeom prst="line">
            <a:avLst/>
          </a:prstGeom>
          <a:noFill/>
          <a:ln w="9525">
            <a:solidFill>
              <a:srgbClr val="000000"/>
            </a:solidFill>
            <a:round/>
            <a:headEnd type="triangle" w="med" len="med"/>
            <a:tailEnd type="triangle" w="med" len="med"/>
          </a:ln>
        </xdr:spPr>
      </xdr:sp>
      <xdr:sp macro="" textlink="">
        <xdr:nvSpPr>
          <xdr:cNvPr id="4779990" name="Line 324">
            <a:extLst>
              <a:ext uri="{FF2B5EF4-FFF2-40B4-BE49-F238E27FC236}">
                <a16:creationId xmlns:a16="http://schemas.microsoft.com/office/drawing/2014/main" id="{00000000-0008-0000-0100-0000D6EF4800}"/>
              </a:ext>
            </a:extLst>
          </xdr:cNvPr>
          <xdr:cNvSpPr>
            <a:spLocks noChangeShapeType="1"/>
          </xdr:cNvSpPr>
        </xdr:nvSpPr>
        <xdr:spPr bwMode="auto">
          <a:xfrm>
            <a:off x="2083718" y="8838866"/>
            <a:ext cx="0" cy="144000"/>
          </a:xfrm>
          <a:prstGeom prst="line">
            <a:avLst/>
          </a:prstGeom>
          <a:noFill/>
          <a:ln w="9525">
            <a:solidFill>
              <a:srgbClr val="000000"/>
            </a:solidFill>
            <a:round/>
            <a:headEnd type="triangle" w="sm" len="sm"/>
            <a:tailEnd type="triangle" w="sm" len="sm"/>
          </a:ln>
        </xdr:spPr>
      </xdr:sp>
    </xdr:grpSp>
    <xdr:clientData/>
  </xdr:twoCellAnchor>
  <mc:AlternateContent xmlns:mc="http://schemas.openxmlformats.org/markup-compatibility/2006">
    <mc:Choice xmlns:a14="http://schemas.microsoft.com/office/drawing/2010/main" Requires="a14">
      <xdr:twoCellAnchor>
        <xdr:from>
          <xdr:col>3</xdr:col>
          <xdr:colOff>647700</xdr:colOff>
          <xdr:row>9</xdr:row>
          <xdr:rowOff>161925</xdr:rowOff>
        </xdr:from>
        <xdr:to>
          <xdr:col>4</xdr:col>
          <xdr:colOff>0</xdr:colOff>
          <xdr:row>11</xdr:row>
          <xdr:rowOff>9525</xdr:rowOff>
        </xdr:to>
        <xdr:sp macro="" textlink="">
          <xdr:nvSpPr>
            <xdr:cNvPr id="1424424" name="Spinner 1064" hidden="1">
              <a:extLst>
                <a:ext uri="{63B3BB69-23CF-44E3-9099-C40C66FF867C}">
                  <a14:compatExt spid="_x0000_s1424424"/>
                </a:ext>
                <a:ext uri="{FF2B5EF4-FFF2-40B4-BE49-F238E27FC236}">
                  <a16:creationId xmlns:a16="http://schemas.microsoft.com/office/drawing/2014/main" id="{00000000-0008-0000-0100-000028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43</xdr:row>
          <xdr:rowOff>9525</xdr:rowOff>
        </xdr:from>
        <xdr:to>
          <xdr:col>2</xdr:col>
          <xdr:colOff>0</xdr:colOff>
          <xdr:row>44</xdr:row>
          <xdr:rowOff>0</xdr:rowOff>
        </xdr:to>
        <xdr:sp macro="" textlink="">
          <xdr:nvSpPr>
            <xdr:cNvPr id="1424589" name="Spinner 1229" hidden="1">
              <a:extLst>
                <a:ext uri="{63B3BB69-23CF-44E3-9099-C40C66FF867C}">
                  <a14:compatExt spid="_x0000_s1424589"/>
                </a:ext>
                <a:ext uri="{FF2B5EF4-FFF2-40B4-BE49-F238E27FC236}">
                  <a16:creationId xmlns:a16="http://schemas.microsoft.com/office/drawing/2014/main" id="{00000000-0008-0000-0100-0000CD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45</xdr:row>
          <xdr:rowOff>9525</xdr:rowOff>
        </xdr:from>
        <xdr:to>
          <xdr:col>2</xdr:col>
          <xdr:colOff>0</xdr:colOff>
          <xdr:row>46</xdr:row>
          <xdr:rowOff>0</xdr:rowOff>
        </xdr:to>
        <xdr:sp macro="" textlink="">
          <xdr:nvSpPr>
            <xdr:cNvPr id="1424590" name="Spinner 1230" hidden="1">
              <a:extLst>
                <a:ext uri="{63B3BB69-23CF-44E3-9099-C40C66FF867C}">
                  <a14:compatExt spid="_x0000_s1424590"/>
                </a:ext>
                <a:ext uri="{FF2B5EF4-FFF2-40B4-BE49-F238E27FC236}">
                  <a16:creationId xmlns:a16="http://schemas.microsoft.com/office/drawing/2014/main" id="{00000000-0008-0000-0100-0000CE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51</xdr:row>
          <xdr:rowOff>9525</xdr:rowOff>
        </xdr:from>
        <xdr:to>
          <xdr:col>2</xdr:col>
          <xdr:colOff>0</xdr:colOff>
          <xdr:row>52</xdr:row>
          <xdr:rowOff>0</xdr:rowOff>
        </xdr:to>
        <xdr:sp macro="" textlink="">
          <xdr:nvSpPr>
            <xdr:cNvPr id="1424591" name="Spinner 1231" hidden="1">
              <a:extLst>
                <a:ext uri="{63B3BB69-23CF-44E3-9099-C40C66FF867C}">
                  <a14:compatExt spid="_x0000_s1424591"/>
                </a:ext>
                <a:ext uri="{FF2B5EF4-FFF2-40B4-BE49-F238E27FC236}">
                  <a16:creationId xmlns:a16="http://schemas.microsoft.com/office/drawing/2014/main" id="{00000000-0008-0000-0100-0000CF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94</xdr:row>
          <xdr:rowOff>76200</xdr:rowOff>
        </xdr:from>
        <xdr:to>
          <xdr:col>3</xdr:col>
          <xdr:colOff>762000</xdr:colOff>
          <xdr:row>100</xdr:row>
          <xdr:rowOff>95250</xdr:rowOff>
        </xdr:to>
        <xdr:sp macro="" textlink="">
          <xdr:nvSpPr>
            <xdr:cNvPr id="1425294" name="Object 1934" hidden="1">
              <a:extLst>
                <a:ext uri="{63B3BB69-23CF-44E3-9099-C40C66FF867C}">
                  <a14:compatExt spid="_x0000_s1425294"/>
                </a:ext>
                <a:ext uri="{FF2B5EF4-FFF2-40B4-BE49-F238E27FC236}">
                  <a16:creationId xmlns:a16="http://schemas.microsoft.com/office/drawing/2014/main" id="{00000000-0008-0000-0100-00008EBF15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53</xdr:row>
          <xdr:rowOff>9525</xdr:rowOff>
        </xdr:from>
        <xdr:to>
          <xdr:col>2</xdr:col>
          <xdr:colOff>0</xdr:colOff>
          <xdr:row>54</xdr:row>
          <xdr:rowOff>0</xdr:rowOff>
        </xdr:to>
        <xdr:sp macro="" textlink="">
          <xdr:nvSpPr>
            <xdr:cNvPr id="4779462" name="Spinner 4550" hidden="1">
              <a:extLst>
                <a:ext uri="{63B3BB69-23CF-44E3-9099-C40C66FF867C}">
                  <a14:compatExt spid="_x0000_s4779462"/>
                </a:ext>
                <a:ext uri="{FF2B5EF4-FFF2-40B4-BE49-F238E27FC236}">
                  <a16:creationId xmlns:a16="http://schemas.microsoft.com/office/drawing/2014/main" id="{00000000-0008-0000-0100-0000C6ED48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twoCellAnchor>
    <xdr:from>
      <xdr:col>2</xdr:col>
      <xdr:colOff>111065</xdr:colOff>
      <xdr:row>40</xdr:row>
      <xdr:rowOff>120650</xdr:rowOff>
    </xdr:from>
    <xdr:to>
      <xdr:col>3</xdr:col>
      <xdr:colOff>723899</xdr:colOff>
      <xdr:row>47</xdr:row>
      <xdr:rowOff>163763</xdr:rowOff>
    </xdr:to>
    <xdr:grpSp>
      <xdr:nvGrpSpPr>
        <xdr:cNvPr id="5" name="Groupe 4">
          <a:extLst>
            <a:ext uri="{FF2B5EF4-FFF2-40B4-BE49-F238E27FC236}">
              <a16:creationId xmlns:a16="http://schemas.microsoft.com/office/drawing/2014/main" id="{00000000-0008-0000-0100-000005000000}"/>
            </a:ext>
          </a:extLst>
        </xdr:cNvPr>
        <xdr:cNvGrpSpPr/>
      </xdr:nvGrpSpPr>
      <xdr:grpSpPr>
        <a:xfrm>
          <a:off x="1330265" y="6607175"/>
          <a:ext cx="1470084" cy="1176588"/>
          <a:chOff x="1206570" y="6604334"/>
          <a:chExt cx="1696381" cy="1189455"/>
        </a:xfrm>
      </xdr:grpSpPr>
      <xdr:grpSp>
        <xdr:nvGrpSpPr>
          <xdr:cNvPr id="4779986" name="Groupe 1">
            <a:extLst>
              <a:ext uri="{FF2B5EF4-FFF2-40B4-BE49-F238E27FC236}">
                <a16:creationId xmlns:a16="http://schemas.microsoft.com/office/drawing/2014/main" id="{00000000-0008-0000-0100-0000D2EF4800}"/>
              </a:ext>
            </a:extLst>
          </xdr:cNvPr>
          <xdr:cNvGrpSpPr>
            <a:grpSpLocks/>
          </xdr:cNvGrpSpPr>
        </xdr:nvGrpSpPr>
        <xdr:grpSpPr bwMode="auto">
          <a:xfrm>
            <a:off x="1423067" y="6604334"/>
            <a:ext cx="1479884" cy="1189455"/>
            <a:chOff x="1362074" y="6410325"/>
            <a:chExt cx="1319467" cy="1181100"/>
          </a:xfrm>
        </xdr:grpSpPr>
        <xdr:sp macro="" textlink="">
          <xdr:nvSpPr>
            <xdr:cNvPr id="4779991" name="Line 320">
              <a:extLst>
                <a:ext uri="{FF2B5EF4-FFF2-40B4-BE49-F238E27FC236}">
                  <a16:creationId xmlns:a16="http://schemas.microsoft.com/office/drawing/2014/main" id="{00000000-0008-0000-0100-0000D7EF4800}"/>
                </a:ext>
              </a:extLst>
            </xdr:cNvPr>
            <xdr:cNvSpPr>
              <a:spLocks noChangeShapeType="1"/>
            </xdr:cNvSpPr>
          </xdr:nvSpPr>
          <xdr:spPr bwMode="auto">
            <a:xfrm flipH="1">
              <a:off x="1481627" y="7305580"/>
              <a:ext cx="342769" cy="0"/>
            </a:xfrm>
            <a:prstGeom prst="line">
              <a:avLst/>
            </a:prstGeom>
            <a:noFill/>
            <a:ln w="9525">
              <a:solidFill>
                <a:srgbClr val="000000"/>
              </a:solidFill>
              <a:round/>
              <a:headEnd type="triangle" w="med" len="med"/>
              <a:tailEnd type="triangle" w="med" len="med"/>
            </a:ln>
          </xdr:spPr>
        </xdr:sp>
        <xdr:sp macro="" textlink="">
          <xdr:nvSpPr>
            <xdr:cNvPr id="4779992" name="Rectangle 314">
              <a:extLst>
                <a:ext uri="{FF2B5EF4-FFF2-40B4-BE49-F238E27FC236}">
                  <a16:creationId xmlns:a16="http://schemas.microsoft.com/office/drawing/2014/main" id="{00000000-0008-0000-0100-0000D8EF4800}"/>
                </a:ext>
              </a:extLst>
            </xdr:cNvPr>
            <xdr:cNvSpPr>
              <a:spLocks noChangeArrowheads="1"/>
            </xdr:cNvSpPr>
          </xdr:nvSpPr>
          <xdr:spPr bwMode="auto">
            <a:xfrm>
              <a:off x="1838688" y="6410325"/>
              <a:ext cx="481630" cy="1181100"/>
            </a:xfrm>
            <a:prstGeom prst="rect">
              <a:avLst/>
            </a:prstGeom>
            <a:solidFill>
              <a:srgbClr val="F2F2F2"/>
            </a:solidFill>
            <a:ln w="9525">
              <a:solidFill>
                <a:srgbClr val="000000"/>
              </a:solidFill>
              <a:miter lim="800000"/>
              <a:headEnd/>
              <a:tailEnd/>
            </a:ln>
          </xdr:spPr>
        </xdr:sp>
        <xdr:sp macro="" textlink="">
          <xdr:nvSpPr>
            <xdr:cNvPr id="4779993" name="Rectangle 315">
              <a:extLst>
                <a:ext uri="{FF2B5EF4-FFF2-40B4-BE49-F238E27FC236}">
                  <a16:creationId xmlns:a16="http://schemas.microsoft.com/office/drawing/2014/main" id="{00000000-0008-0000-0100-0000D9EF4800}"/>
                </a:ext>
              </a:extLst>
            </xdr:cNvPr>
            <xdr:cNvSpPr>
              <a:spLocks noChangeArrowheads="1"/>
            </xdr:cNvSpPr>
          </xdr:nvSpPr>
          <xdr:spPr bwMode="auto">
            <a:xfrm rot="16200000">
              <a:off x="1842199" y="6398837"/>
              <a:ext cx="474608" cy="1204076"/>
            </a:xfrm>
            <a:prstGeom prst="rect">
              <a:avLst/>
            </a:prstGeom>
            <a:solidFill>
              <a:srgbClr val="F2F2F2"/>
            </a:solidFill>
            <a:ln w="9525">
              <a:solidFill>
                <a:srgbClr val="000000"/>
              </a:solidFill>
              <a:miter lim="800000"/>
              <a:headEnd/>
              <a:tailEnd/>
            </a:ln>
          </xdr:spPr>
        </xdr:sp>
        <xdr:sp macro="" textlink="">
          <xdr:nvSpPr>
            <xdr:cNvPr id="4779994" name="Line 316">
              <a:extLst>
                <a:ext uri="{FF2B5EF4-FFF2-40B4-BE49-F238E27FC236}">
                  <a16:creationId xmlns:a16="http://schemas.microsoft.com/office/drawing/2014/main" id="{00000000-0008-0000-0100-0000DAEF4800}"/>
                </a:ext>
              </a:extLst>
            </xdr:cNvPr>
            <xdr:cNvSpPr>
              <a:spLocks noChangeShapeType="1"/>
            </xdr:cNvSpPr>
          </xdr:nvSpPr>
          <xdr:spPr bwMode="auto">
            <a:xfrm>
              <a:off x="1839552" y="6759733"/>
              <a:ext cx="0" cy="482283"/>
            </a:xfrm>
            <a:prstGeom prst="line">
              <a:avLst/>
            </a:prstGeom>
            <a:noFill/>
            <a:ln w="9525">
              <a:solidFill>
                <a:srgbClr val="000000"/>
              </a:solidFill>
              <a:round/>
              <a:headEnd/>
              <a:tailEnd/>
            </a:ln>
          </xdr:spPr>
        </xdr:sp>
        <xdr:sp macro="" textlink="">
          <xdr:nvSpPr>
            <xdr:cNvPr id="4779995" name="Line 317">
              <a:extLst>
                <a:ext uri="{FF2B5EF4-FFF2-40B4-BE49-F238E27FC236}">
                  <a16:creationId xmlns:a16="http://schemas.microsoft.com/office/drawing/2014/main" id="{00000000-0008-0000-0100-0000DBEF4800}"/>
                </a:ext>
              </a:extLst>
            </xdr:cNvPr>
            <xdr:cNvSpPr>
              <a:spLocks noChangeShapeType="1"/>
            </xdr:cNvSpPr>
          </xdr:nvSpPr>
          <xdr:spPr bwMode="auto">
            <a:xfrm>
              <a:off x="2320389" y="6759733"/>
              <a:ext cx="0" cy="482283"/>
            </a:xfrm>
            <a:prstGeom prst="line">
              <a:avLst/>
            </a:prstGeom>
            <a:noFill/>
            <a:ln w="9525">
              <a:solidFill>
                <a:srgbClr val="000000"/>
              </a:solidFill>
              <a:round/>
              <a:headEnd/>
              <a:tailEnd/>
            </a:ln>
          </xdr:spPr>
          <xdr:txBody>
            <a:bodyPr/>
            <a:lstStyle/>
            <a:p>
              <a:endParaRPr lang="fr-FR"/>
            </a:p>
          </xdr:txBody>
        </xdr:sp>
        <xdr:sp macro="" textlink="">
          <xdr:nvSpPr>
            <xdr:cNvPr id="4779996" name="Line 319">
              <a:extLst>
                <a:ext uri="{FF2B5EF4-FFF2-40B4-BE49-F238E27FC236}">
                  <a16:creationId xmlns:a16="http://schemas.microsoft.com/office/drawing/2014/main" id="{00000000-0008-0000-0100-0000DCEF4800}"/>
                </a:ext>
              </a:extLst>
            </xdr:cNvPr>
            <xdr:cNvSpPr>
              <a:spLocks noChangeShapeType="1"/>
            </xdr:cNvSpPr>
          </xdr:nvSpPr>
          <xdr:spPr bwMode="auto">
            <a:xfrm>
              <a:off x="1362074" y="6762863"/>
              <a:ext cx="0" cy="476023"/>
            </a:xfrm>
            <a:prstGeom prst="line">
              <a:avLst/>
            </a:prstGeom>
            <a:noFill/>
            <a:ln w="9525">
              <a:solidFill>
                <a:srgbClr val="000000"/>
              </a:solidFill>
              <a:round/>
              <a:headEnd type="triangle" w="med" len="med"/>
              <a:tailEnd type="triangle" w="med" len="med"/>
            </a:ln>
          </xdr:spPr>
        </xdr:sp>
      </xdr:grpSp>
      <xdr:sp macro="" textlink="">
        <xdr:nvSpPr>
          <xdr:cNvPr id="2" name="ZoneTexte 1">
            <a:extLst>
              <a:ext uri="{FF2B5EF4-FFF2-40B4-BE49-F238E27FC236}">
                <a16:creationId xmlns:a16="http://schemas.microsoft.com/office/drawing/2014/main" id="{00000000-0008-0000-0100-000002000000}"/>
              </a:ext>
            </a:extLst>
          </xdr:cNvPr>
          <xdr:cNvSpPr txBox="1"/>
        </xdr:nvSpPr>
        <xdr:spPr>
          <a:xfrm>
            <a:off x="1206570" y="7066782"/>
            <a:ext cx="25224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b="1"/>
              <a:t>a</a:t>
            </a:r>
          </a:p>
        </xdr:txBody>
      </xdr:sp>
      <xdr:sp macro="" textlink="">
        <xdr:nvSpPr>
          <xdr:cNvPr id="3" name="ZoneTexte 2">
            <a:extLst>
              <a:ext uri="{FF2B5EF4-FFF2-40B4-BE49-F238E27FC236}">
                <a16:creationId xmlns:a16="http://schemas.microsoft.com/office/drawing/2014/main" id="{00000000-0008-0000-0100-000003000000}"/>
              </a:ext>
            </a:extLst>
          </xdr:cNvPr>
          <xdr:cNvSpPr txBox="1"/>
        </xdr:nvSpPr>
        <xdr:spPr>
          <a:xfrm>
            <a:off x="1607218" y="7462419"/>
            <a:ext cx="260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b="1"/>
              <a:t>b</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165100</xdr:colOff>
      <xdr:row>1</xdr:row>
      <xdr:rowOff>0</xdr:rowOff>
    </xdr:from>
    <xdr:to>
      <xdr:col>10</xdr:col>
      <xdr:colOff>622300</xdr:colOff>
      <xdr:row>19</xdr:row>
      <xdr:rowOff>0</xdr:rowOff>
    </xdr:to>
    <xdr:graphicFrame macro="">
      <xdr:nvGraphicFramePr>
        <xdr:cNvPr id="5105813" name="Graphique 1">
          <a:extLst>
            <a:ext uri="{FF2B5EF4-FFF2-40B4-BE49-F238E27FC236}">
              <a16:creationId xmlns:a16="http://schemas.microsoft.com/office/drawing/2014/main" id="{00000000-0008-0000-0200-000095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165100</xdr:colOff>
      <xdr:row>37</xdr:row>
      <xdr:rowOff>0</xdr:rowOff>
    </xdr:from>
    <xdr:to>
      <xdr:col>10</xdr:col>
      <xdr:colOff>622300</xdr:colOff>
      <xdr:row>55</xdr:row>
      <xdr:rowOff>0</xdr:rowOff>
    </xdr:to>
    <xdr:graphicFrame macro="">
      <xdr:nvGraphicFramePr>
        <xdr:cNvPr id="5105814" name="Graphique 2">
          <a:extLst>
            <a:ext uri="{FF2B5EF4-FFF2-40B4-BE49-F238E27FC236}">
              <a16:creationId xmlns:a16="http://schemas.microsoft.com/office/drawing/2014/main" id="{00000000-0008-0000-0200-000096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165100</xdr:colOff>
      <xdr:row>19</xdr:row>
      <xdr:rowOff>0</xdr:rowOff>
    </xdr:from>
    <xdr:to>
      <xdr:col>10</xdr:col>
      <xdr:colOff>622300</xdr:colOff>
      <xdr:row>37</xdr:row>
      <xdr:rowOff>0</xdr:rowOff>
    </xdr:to>
    <xdr:graphicFrame macro="">
      <xdr:nvGraphicFramePr>
        <xdr:cNvPr id="5105815" name="Graphique 3">
          <a:extLst>
            <a:ext uri="{FF2B5EF4-FFF2-40B4-BE49-F238E27FC236}">
              <a16:creationId xmlns:a16="http://schemas.microsoft.com/office/drawing/2014/main" id="{00000000-0008-0000-0200-000097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165100</xdr:colOff>
      <xdr:row>55</xdr:row>
      <xdr:rowOff>0</xdr:rowOff>
    </xdr:from>
    <xdr:to>
      <xdr:col>10</xdr:col>
      <xdr:colOff>622300</xdr:colOff>
      <xdr:row>73</xdr:row>
      <xdr:rowOff>0</xdr:rowOff>
    </xdr:to>
    <xdr:graphicFrame macro="">
      <xdr:nvGraphicFramePr>
        <xdr:cNvPr id="5105816" name="Graphique 4">
          <a:extLst>
            <a:ext uri="{FF2B5EF4-FFF2-40B4-BE49-F238E27FC236}">
              <a16:creationId xmlns:a16="http://schemas.microsoft.com/office/drawing/2014/main" id="{00000000-0008-0000-0200-000098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xdr:colOff>
      <xdr:row>4</xdr:row>
      <xdr:rowOff>44450</xdr:rowOff>
    </xdr:from>
    <xdr:to>
      <xdr:col>7</xdr:col>
      <xdr:colOff>215900</xdr:colOff>
      <xdr:row>19</xdr:row>
      <xdr:rowOff>133350</xdr:rowOff>
    </xdr:to>
    <xdr:graphicFrame macro="">
      <xdr:nvGraphicFramePr>
        <xdr:cNvPr id="5110822" name="Graphique 1">
          <a:extLst>
            <a:ext uri="{FF2B5EF4-FFF2-40B4-BE49-F238E27FC236}">
              <a16:creationId xmlns:a16="http://schemas.microsoft.com/office/drawing/2014/main" id="{00000000-0008-0000-0300-000026FC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273050</xdr:colOff>
      <xdr:row>1008</xdr:row>
      <xdr:rowOff>146050</xdr:rowOff>
    </xdr:from>
    <xdr:to>
      <xdr:col>16</xdr:col>
      <xdr:colOff>152400</xdr:colOff>
      <xdr:row>1010</xdr:row>
      <xdr:rowOff>82550</xdr:rowOff>
    </xdr:to>
    <xdr:sp macro="" textlink="">
      <xdr:nvSpPr>
        <xdr:cNvPr id="3393" name="Line 60">
          <a:extLst>
            <a:ext uri="{FF2B5EF4-FFF2-40B4-BE49-F238E27FC236}">
              <a16:creationId xmlns:a16="http://schemas.microsoft.com/office/drawing/2014/main" id="{00000000-0008-0000-0400-0000410D0000}"/>
            </a:ext>
          </a:extLst>
        </xdr:cNvPr>
        <xdr:cNvSpPr>
          <a:spLocks noChangeShapeType="1"/>
        </xdr:cNvSpPr>
      </xdr:nvSpPr>
      <xdr:spPr bwMode="auto">
        <a:xfrm flipH="1">
          <a:off x="5759450" y="160172400"/>
          <a:ext cx="1098550" cy="254000"/>
        </a:xfrm>
        <a:prstGeom prst="line">
          <a:avLst/>
        </a:prstGeom>
        <a:noFill/>
        <a:ln w="9525">
          <a:solidFill>
            <a:srgbClr val="000000"/>
          </a:solidFill>
          <a:round/>
          <a:headEnd/>
          <a:tailEnd type="triangle" w="med" len="med"/>
        </a:ln>
      </xdr:spPr>
    </xdr:sp>
    <xdr:clientData/>
  </xdr:twoCellAnchor>
  <xdr:twoCellAnchor>
    <xdr:from>
      <xdr:col>12</xdr:col>
      <xdr:colOff>279400</xdr:colOff>
      <xdr:row>1011</xdr:row>
      <xdr:rowOff>95250</xdr:rowOff>
    </xdr:from>
    <xdr:to>
      <xdr:col>17</xdr:col>
      <xdr:colOff>349250</xdr:colOff>
      <xdr:row>1013</xdr:row>
      <xdr:rowOff>139700</xdr:rowOff>
    </xdr:to>
    <xdr:sp macro="" textlink="">
      <xdr:nvSpPr>
        <xdr:cNvPr id="3394" name="Line 71">
          <a:extLst>
            <a:ext uri="{FF2B5EF4-FFF2-40B4-BE49-F238E27FC236}">
              <a16:creationId xmlns:a16="http://schemas.microsoft.com/office/drawing/2014/main" id="{00000000-0008-0000-0400-0000420D0000}"/>
            </a:ext>
          </a:extLst>
        </xdr:cNvPr>
        <xdr:cNvSpPr>
          <a:spLocks noChangeShapeType="1"/>
        </xdr:cNvSpPr>
      </xdr:nvSpPr>
      <xdr:spPr bwMode="auto">
        <a:xfrm flipH="1" flipV="1">
          <a:off x="5765800" y="160597850"/>
          <a:ext cx="1892300" cy="361950"/>
        </a:xfrm>
        <a:prstGeom prst="line">
          <a:avLst/>
        </a:prstGeom>
        <a:noFill/>
        <a:ln w="9525">
          <a:solidFill>
            <a:srgbClr val="000000"/>
          </a:solidFill>
          <a:round/>
          <a:headEnd/>
          <a:tailEnd type="triangle" w="med" len="med"/>
        </a:ln>
      </xdr:spPr>
    </xdr:sp>
    <xdr:clientData/>
  </xdr:twoCellAnchor>
  <xdr:twoCellAnchor>
    <xdr:from>
      <xdr:col>12</xdr:col>
      <xdr:colOff>279400</xdr:colOff>
      <xdr:row>1012</xdr:row>
      <xdr:rowOff>139700</xdr:rowOff>
    </xdr:from>
    <xdr:to>
      <xdr:col>17</xdr:col>
      <xdr:colOff>349250</xdr:colOff>
      <xdr:row>1015</xdr:row>
      <xdr:rowOff>25400</xdr:rowOff>
    </xdr:to>
    <xdr:sp macro="" textlink="">
      <xdr:nvSpPr>
        <xdr:cNvPr id="3395" name="Line 71">
          <a:extLst>
            <a:ext uri="{FF2B5EF4-FFF2-40B4-BE49-F238E27FC236}">
              <a16:creationId xmlns:a16="http://schemas.microsoft.com/office/drawing/2014/main" id="{00000000-0008-0000-0400-0000430D0000}"/>
            </a:ext>
          </a:extLst>
        </xdr:cNvPr>
        <xdr:cNvSpPr>
          <a:spLocks noChangeShapeType="1"/>
        </xdr:cNvSpPr>
      </xdr:nvSpPr>
      <xdr:spPr bwMode="auto">
        <a:xfrm flipH="1" flipV="1">
          <a:off x="5765800" y="160801050"/>
          <a:ext cx="1892300" cy="361950"/>
        </a:xfrm>
        <a:prstGeom prst="line">
          <a:avLst/>
        </a:prstGeom>
        <a:noFill/>
        <a:ln w="9525">
          <a:solidFill>
            <a:srgbClr val="000000"/>
          </a:solidFill>
          <a:round/>
          <a:headEnd/>
          <a:tailEnd type="triangle" w="med" len="med"/>
        </a:ln>
      </xdr:spPr>
    </xdr:sp>
    <xdr:clientData/>
  </xdr:twoCellAnchor>
  <mc:AlternateContent xmlns:mc="http://schemas.openxmlformats.org/markup-compatibility/2006">
    <mc:Choice xmlns:a14="http://schemas.microsoft.com/office/drawing/2010/main" Requires="a14">
      <xdr:twoCellAnchor editAs="oneCell">
        <xdr:from>
          <xdr:col>18</xdr:col>
          <xdr:colOff>9525</xdr:colOff>
          <xdr:row>1010</xdr:row>
          <xdr:rowOff>104775</xdr:rowOff>
        </xdr:from>
        <xdr:to>
          <xdr:col>20</xdr:col>
          <xdr:colOff>295275</xdr:colOff>
          <xdr:row>1013</xdr:row>
          <xdr:rowOff>28575</xdr:rowOff>
        </xdr:to>
        <xdr:sp macro="" textlink="">
          <xdr:nvSpPr>
            <xdr:cNvPr id="3091" name="Object 19" hidden="1">
              <a:extLst>
                <a:ext uri="{63B3BB69-23CF-44E3-9099-C40C66FF867C}">
                  <a14:compatExt spid="_x0000_s3091"/>
                </a:ext>
                <a:ext uri="{FF2B5EF4-FFF2-40B4-BE49-F238E27FC236}">
                  <a16:creationId xmlns:a16="http://schemas.microsoft.com/office/drawing/2014/main" id="{00000000-0008-0000-0400-000013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28575</xdr:colOff>
          <xdr:row>1024</xdr:row>
          <xdr:rowOff>161925</xdr:rowOff>
        </xdr:from>
        <xdr:to>
          <xdr:col>25</xdr:col>
          <xdr:colOff>457200</xdr:colOff>
          <xdr:row>1026</xdr:row>
          <xdr:rowOff>76200</xdr:rowOff>
        </xdr:to>
        <xdr:sp macro="" textlink="">
          <xdr:nvSpPr>
            <xdr:cNvPr id="3092" name="Object 20" hidden="1">
              <a:extLst>
                <a:ext uri="{63B3BB69-23CF-44E3-9099-C40C66FF867C}">
                  <a14:compatExt spid="_x0000_s3092"/>
                </a:ext>
                <a:ext uri="{FF2B5EF4-FFF2-40B4-BE49-F238E27FC236}">
                  <a16:creationId xmlns:a16="http://schemas.microsoft.com/office/drawing/2014/main" id="{00000000-0008-0000-0400-00001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257175</xdr:colOff>
          <xdr:row>1006</xdr:row>
          <xdr:rowOff>28575</xdr:rowOff>
        </xdr:from>
        <xdr:to>
          <xdr:col>24</xdr:col>
          <xdr:colOff>152400</xdr:colOff>
          <xdr:row>1007</xdr:row>
          <xdr:rowOff>104775</xdr:rowOff>
        </xdr:to>
        <xdr:sp macro="" textlink="">
          <xdr:nvSpPr>
            <xdr:cNvPr id="3096" name="Object 24" hidden="1">
              <a:extLst>
                <a:ext uri="{63B3BB69-23CF-44E3-9099-C40C66FF867C}">
                  <a14:compatExt spid="_x0000_s3096"/>
                </a:ext>
                <a:ext uri="{FF2B5EF4-FFF2-40B4-BE49-F238E27FC236}">
                  <a16:creationId xmlns:a16="http://schemas.microsoft.com/office/drawing/2014/main" id="{00000000-0008-0000-0400-00001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1017</xdr:row>
          <xdr:rowOff>161925</xdr:rowOff>
        </xdr:from>
        <xdr:to>
          <xdr:col>10</xdr:col>
          <xdr:colOff>581025</xdr:colOff>
          <xdr:row>1019</xdr:row>
          <xdr:rowOff>142875</xdr:rowOff>
        </xdr:to>
        <xdr:sp macro="" textlink="">
          <xdr:nvSpPr>
            <xdr:cNvPr id="3112" name="Object 40" hidden="1">
              <a:extLst>
                <a:ext uri="{63B3BB69-23CF-44E3-9099-C40C66FF867C}">
                  <a14:compatExt spid="_x0000_s3112"/>
                </a:ext>
                <a:ext uri="{FF2B5EF4-FFF2-40B4-BE49-F238E27FC236}">
                  <a16:creationId xmlns:a16="http://schemas.microsoft.com/office/drawing/2014/main" id="{00000000-0008-0000-0400-00002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1014</xdr:row>
          <xdr:rowOff>180975</xdr:rowOff>
        </xdr:from>
        <xdr:to>
          <xdr:col>11</xdr:col>
          <xdr:colOff>266700</xdr:colOff>
          <xdr:row>1016</xdr:row>
          <xdr:rowOff>66675</xdr:rowOff>
        </xdr:to>
        <xdr:sp macro="" textlink="">
          <xdr:nvSpPr>
            <xdr:cNvPr id="3114" name="Object 42" hidden="1">
              <a:extLst>
                <a:ext uri="{63B3BB69-23CF-44E3-9099-C40C66FF867C}">
                  <a14:compatExt spid="_x0000_s3114"/>
                </a:ext>
                <a:ext uri="{FF2B5EF4-FFF2-40B4-BE49-F238E27FC236}">
                  <a16:creationId xmlns:a16="http://schemas.microsoft.com/office/drawing/2014/main" id="{00000000-0008-0000-0400-00002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1016</xdr:row>
          <xdr:rowOff>76200</xdr:rowOff>
        </xdr:from>
        <xdr:to>
          <xdr:col>11</xdr:col>
          <xdr:colOff>238125</xdr:colOff>
          <xdr:row>1017</xdr:row>
          <xdr:rowOff>161925</xdr:rowOff>
        </xdr:to>
        <xdr:sp macro="" textlink="">
          <xdr:nvSpPr>
            <xdr:cNvPr id="3115" name="Object 43" hidden="1">
              <a:extLst>
                <a:ext uri="{63B3BB69-23CF-44E3-9099-C40C66FF867C}">
                  <a14:compatExt spid="_x0000_s3115"/>
                </a:ext>
                <a:ext uri="{FF2B5EF4-FFF2-40B4-BE49-F238E27FC236}">
                  <a16:creationId xmlns:a16="http://schemas.microsoft.com/office/drawing/2014/main" id="{00000000-0008-0000-0400-00002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1022</xdr:row>
          <xdr:rowOff>66675</xdr:rowOff>
        </xdr:from>
        <xdr:to>
          <xdr:col>17</xdr:col>
          <xdr:colOff>276225</xdr:colOff>
          <xdr:row>1024</xdr:row>
          <xdr:rowOff>161925</xdr:rowOff>
        </xdr:to>
        <xdr:sp macro="" textlink="">
          <xdr:nvSpPr>
            <xdr:cNvPr id="3119" name="Object 47" hidden="1">
              <a:extLst>
                <a:ext uri="{63B3BB69-23CF-44E3-9099-C40C66FF867C}">
                  <a14:compatExt spid="_x0000_s3119"/>
                </a:ext>
                <a:ext uri="{FF2B5EF4-FFF2-40B4-BE49-F238E27FC236}">
                  <a16:creationId xmlns:a16="http://schemas.microsoft.com/office/drawing/2014/main" id="{00000000-0008-0000-0400-00002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1008</xdr:row>
          <xdr:rowOff>0</xdr:rowOff>
        </xdr:from>
        <xdr:to>
          <xdr:col>11</xdr:col>
          <xdr:colOff>238125</xdr:colOff>
          <xdr:row>1010</xdr:row>
          <xdr:rowOff>85725</xdr:rowOff>
        </xdr:to>
        <xdr:sp macro="" textlink="">
          <xdr:nvSpPr>
            <xdr:cNvPr id="3120" name="Object 48" hidden="1">
              <a:extLst>
                <a:ext uri="{63B3BB69-23CF-44E3-9099-C40C66FF867C}">
                  <a14:compatExt spid="_x0000_s3120"/>
                </a:ext>
                <a:ext uri="{FF2B5EF4-FFF2-40B4-BE49-F238E27FC236}">
                  <a16:creationId xmlns:a16="http://schemas.microsoft.com/office/drawing/2014/main" id="{00000000-0008-0000-0400-00003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1010</xdr:row>
          <xdr:rowOff>104775</xdr:rowOff>
        </xdr:from>
        <xdr:to>
          <xdr:col>12</xdr:col>
          <xdr:colOff>238125</xdr:colOff>
          <xdr:row>1013</xdr:row>
          <xdr:rowOff>0</xdr:rowOff>
        </xdr:to>
        <xdr:sp macro="" textlink="">
          <xdr:nvSpPr>
            <xdr:cNvPr id="3121" name="Object 49" hidden="1">
              <a:extLst>
                <a:ext uri="{63B3BB69-23CF-44E3-9099-C40C66FF867C}">
                  <a14:compatExt spid="_x0000_s3121"/>
                </a:ext>
                <a:ext uri="{FF2B5EF4-FFF2-40B4-BE49-F238E27FC236}">
                  <a16:creationId xmlns:a16="http://schemas.microsoft.com/office/drawing/2014/main" id="{00000000-0008-0000-0400-00003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1006</xdr:row>
          <xdr:rowOff>104775</xdr:rowOff>
        </xdr:from>
        <xdr:to>
          <xdr:col>3</xdr:col>
          <xdr:colOff>542925</xdr:colOff>
          <xdr:row>1007</xdr:row>
          <xdr:rowOff>180975</xdr:rowOff>
        </xdr:to>
        <xdr:sp macro="" textlink="">
          <xdr:nvSpPr>
            <xdr:cNvPr id="3122" name="Object 50" hidden="1">
              <a:extLst>
                <a:ext uri="{63B3BB69-23CF-44E3-9099-C40C66FF867C}">
                  <a14:compatExt spid="_x0000_s3122"/>
                </a:ext>
                <a:ext uri="{FF2B5EF4-FFF2-40B4-BE49-F238E27FC236}">
                  <a16:creationId xmlns:a16="http://schemas.microsoft.com/office/drawing/2014/main" id="{00000000-0008-0000-0400-000032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1024</xdr:row>
          <xdr:rowOff>180975</xdr:rowOff>
        </xdr:from>
        <xdr:to>
          <xdr:col>16</xdr:col>
          <xdr:colOff>0</xdr:colOff>
          <xdr:row>1026</xdr:row>
          <xdr:rowOff>142875</xdr:rowOff>
        </xdr:to>
        <xdr:sp macro="" textlink="">
          <xdr:nvSpPr>
            <xdr:cNvPr id="3124" name="Object 52" hidden="1">
              <a:extLst>
                <a:ext uri="{63B3BB69-23CF-44E3-9099-C40C66FF867C}">
                  <a14:compatExt spid="_x0000_s3124"/>
                </a:ext>
                <a:ext uri="{FF2B5EF4-FFF2-40B4-BE49-F238E27FC236}">
                  <a16:creationId xmlns:a16="http://schemas.microsoft.com/office/drawing/2014/main" id="{00000000-0008-0000-0400-00003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1013</xdr:row>
          <xdr:rowOff>28575</xdr:rowOff>
        </xdr:from>
        <xdr:to>
          <xdr:col>21</xdr:col>
          <xdr:colOff>28575</xdr:colOff>
          <xdr:row>1014</xdr:row>
          <xdr:rowOff>114300</xdr:rowOff>
        </xdr:to>
        <xdr:sp macro="" textlink="">
          <xdr:nvSpPr>
            <xdr:cNvPr id="3125" name="Object 53" hidden="1">
              <a:extLst>
                <a:ext uri="{63B3BB69-23CF-44E3-9099-C40C66FF867C}">
                  <a14:compatExt spid="_x0000_s3125"/>
                </a:ext>
                <a:ext uri="{FF2B5EF4-FFF2-40B4-BE49-F238E27FC236}">
                  <a16:creationId xmlns:a16="http://schemas.microsoft.com/office/drawing/2014/main" id="{00000000-0008-0000-0400-00003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1005</xdr:row>
          <xdr:rowOff>9525</xdr:rowOff>
        </xdr:from>
        <xdr:to>
          <xdr:col>10</xdr:col>
          <xdr:colOff>409575</xdr:colOff>
          <xdr:row>1006</xdr:row>
          <xdr:rowOff>85725</xdr:rowOff>
        </xdr:to>
        <xdr:sp macro="" textlink="">
          <xdr:nvSpPr>
            <xdr:cNvPr id="3127" name="Object 55" hidden="1">
              <a:extLst>
                <a:ext uri="{63B3BB69-23CF-44E3-9099-C40C66FF867C}">
                  <a14:compatExt spid="_x0000_s3127"/>
                </a:ext>
                <a:ext uri="{FF2B5EF4-FFF2-40B4-BE49-F238E27FC236}">
                  <a16:creationId xmlns:a16="http://schemas.microsoft.com/office/drawing/2014/main" id="{00000000-0008-0000-0400-00003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1013</xdr:row>
          <xdr:rowOff>9525</xdr:rowOff>
        </xdr:from>
        <xdr:to>
          <xdr:col>8</xdr:col>
          <xdr:colOff>190500</xdr:colOff>
          <xdr:row>1014</xdr:row>
          <xdr:rowOff>161925</xdr:rowOff>
        </xdr:to>
        <xdr:sp macro="" textlink="">
          <xdr:nvSpPr>
            <xdr:cNvPr id="3129" name="Object 57" hidden="1">
              <a:extLst>
                <a:ext uri="{63B3BB69-23CF-44E3-9099-C40C66FF867C}">
                  <a14:compatExt spid="_x0000_s3129"/>
                </a:ext>
                <a:ext uri="{FF2B5EF4-FFF2-40B4-BE49-F238E27FC236}">
                  <a16:creationId xmlns:a16="http://schemas.microsoft.com/office/drawing/2014/main" id="{00000000-0008-0000-0400-00003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xdr:colOff>
          <xdr:row>1018</xdr:row>
          <xdr:rowOff>47625</xdr:rowOff>
        </xdr:from>
        <xdr:to>
          <xdr:col>24</xdr:col>
          <xdr:colOff>1076325</xdr:colOff>
          <xdr:row>1019</xdr:row>
          <xdr:rowOff>142875</xdr:rowOff>
        </xdr:to>
        <xdr:sp macro="" textlink="">
          <xdr:nvSpPr>
            <xdr:cNvPr id="3131" name="Object 59" hidden="1">
              <a:extLst>
                <a:ext uri="{63B3BB69-23CF-44E3-9099-C40C66FF867C}">
                  <a14:compatExt spid="_x0000_s3131"/>
                </a:ext>
                <a:ext uri="{FF2B5EF4-FFF2-40B4-BE49-F238E27FC236}">
                  <a16:creationId xmlns:a16="http://schemas.microsoft.com/office/drawing/2014/main" id="{00000000-0008-0000-0400-00003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1019</xdr:row>
          <xdr:rowOff>142875</xdr:rowOff>
        </xdr:from>
        <xdr:to>
          <xdr:col>20</xdr:col>
          <xdr:colOff>581025</xdr:colOff>
          <xdr:row>1022</xdr:row>
          <xdr:rowOff>47625</xdr:rowOff>
        </xdr:to>
        <xdr:sp macro="" textlink="">
          <xdr:nvSpPr>
            <xdr:cNvPr id="3134" name="Object 62" hidden="1">
              <a:extLst>
                <a:ext uri="{63B3BB69-23CF-44E3-9099-C40C66FF867C}">
                  <a14:compatExt spid="_x0000_s3134"/>
                </a:ext>
                <a:ext uri="{FF2B5EF4-FFF2-40B4-BE49-F238E27FC236}">
                  <a16:creationId xmlns:a16="http://schemas.microsoft.com/office/drawing/2014/main" id="{00000000-0008-0000-0400-00003E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1018</xdr:row>
          <xdr:rowOff>47625</xdr:rowOff>
        </xdr:from>
        <xdr:to>
          <xdr:col>19</xdr:col>
          <xdr:colOff>180975</xdr:colOff>
          <xdr:row>1019</xdr:row>
          <xdr:rowOff>142875</xdr:rowOff>
        </xdr:to>
        <xdr:sp macro="" textlink="">
          <xdr:nvSpPr>
            <xdr:cNvPr id="3135" name="Object 63" hidden="1">
              <a:extLst>
                <a:ext uri="{63B3BB69-23CF-44E3-9099-C40C66FF867C}">
                  <a14:compatExt spid="_x0000_s3135"/>
                </a:ext>
                <a:ext uri="{FF2B5EF4-FFF2-40B4-BE49-F238E27FC236}">
                  <a16:creationId xmlns:a16="http://schemas.microsoft.com/office/drawing/2014/main" id="{00000000-0008-0000-0400-00003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9525</xdr:colOff>
          <xdr:row>1007</xdr:row>
          <xdr:rowOff>123825</xdr:rowOff>
        </xdr:from>
        <xdr:to>
          <xdr:col>37</xdr:col>
          <xdr:colOff>276225</xdr:colOff>
          <xdr:row>1010</xdr:row>
          <xdr:rowOff>76200</xdr:rowOff>
        </xdr:to>
        <xdr:sp macro="" textlink="">
          <xdr:nvSpPr>
            <xdr:cNvPr id="3141" name="Object 69" hidden="1">
              <a:extLst>
                <a:ext uri="{63B3BB69-23CF-44E3-9099-C40C66FF867C}">
                  <a14:compatExt spid="_x0000_s3141"/>
                </a:ext>
                <a:ext uri="{FF2B5EF4-FFF2-40B4-BE49-F238E27FC236}">
                  <a16:creationId xmlns:a16="http://schemas.microsoft.com/office/drawing/2014/main" id="{00000000-0008-0000-0400-00004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9525</xdr:colOff>
          <xdr:row>1010</xdr:row>
          <xdr:rowOff>85725</xdr:rowOff>
        </xdr:from>
        <xdr:to>
          <xdr:col>35</xdr:col>
          <xdr:colOff>723900</xdr:colOff>
          <xdr:row>1013</xdr:row>
          <xdr:rowOff>47625</xdr:rowOff>
        </xdr:to>
        <xdr:sp macro="" textlink="">
          <xdr:nvSpPr>
            <xdr:cNvPr id="3142" name="Object 70" hidden="1">
              <a:extLst>
                <a:ext uri="{63B3BB69-23CF-44E3-9099-C40C66FF867C}">
                  <a14:compatExt spid="_x0000_s3142"/>
                </a:ext>
                <a:ext uri="{FF2B5EF4-FFF2-40B4-BE49-F238E27FC236}">
                  <a16:creationId xmlns:a16="http://schemas.microsoft.com/office/drawing/2014/main" id="{00000000-0008-0000-0400-00004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1035</xdr:row>
          <xdr:rowOff>28575</xdr:rowOff>
        </xdr:from>
        <xdr:to>
          <xdr:col>11</xdr:col>
          <xdr:colOff>561975</xdr:colOff>
          <xdr:row>1038</xdr:row>
          <xdr:rowOff>28575</xdr:rowOff>
        </xdr:to>
        <xdr:sp macro="" textlink="">
          <xdr:nvSpPr>
            <xdr:cNvPr id="3157" name="Object 85" hidden="1">
              <a:extLst>
                <a:ext uri="{63B3BB69-23CF-44E3-9099-C40C66FF867C}">
                  <a14:compatExt spid="_x0000_s3157"/>
                </a:ext>
                <a:ext uri="{FF2B5EF4-FFF2-40B4-BE49-F238E27FC236}">
                  <a16:creationId xmlns:a16="http://schemas.microsoft.com/office/drawing/2014/main" id="{00000000-0008-0000-0400-00005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1040</xdr:row>
          <xdr:rowOff>28575</xdr:rowOff>
        </xdr:from>
        <xdr:to>
          <xdr:col>12</xdr:col>
          <xdr:colOff>28575</xdr:colOff>
          <xdr:row>1043</xdr:row>
          <xdr:rowOff>28575</xdr:rowOff>
        </xdr:to>
        <xdr:sp macro="" textlink="">
          <xdr:nvSpPr>
            <xdr:cNvPr id="3158" name="Object 86" hidden="1">
              <a:extLst>
                <a:ext uri="{63B3BB69-23CF-44E3-9099-C40C66FF867C}">
                  <a14:compatExt spid="_x0000_s3158"/>
                </a:ext>
                <a:ext uri="{FF2B5EF4-FFF2-40B4-BE49-F238E27FC236}">
                  <a16:creationId xmlns:a16="http://schemas.microsoft.com/office/drawing/2014/main" id="{00000000-0008-0000-0400-00005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1014</xdr:row>
          <xdr:rowOff>123825</xdr:rowOff>
        </xdr:from>
        <xdr:to>
          <xdr:col>20</xdr:col>
          <xdr:colOff>333375</xdr:colOff>
          <xdr:row>1016</xdr:row>
          <xdr:rowOff>9525</xdr:rowOff>
        </xdr:to>
        <xdr:sp macro="" textlink="">
          <xdr:nvSpPr>
            <xdr:cNvPr id="3161" name="Object 89" hidden="1">
              <a:extLst>
                <a:ext uri="{63B3BB69-23CF-44E3-9099-C40C66FF867C}">
                  <a14:compatExt spid="_x0000_s3161"/>
                </a:ext>
                <a:ext uri="{FF2B5EF4-FFF2-40B4-BE49-F238E27FC236}">
                  <a16:creationId xmlns:a16="http://schemas.microsoft.com/office/drawing/2014/main" id="{00000000-0008-0000-0400-00005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257175</xdr:colOff>
          <xdr:row>1007</xdr:row>
          <xdr:rowOff>114300</xdr:rowOff>
        </xdr:from>
        <xdr:to>
          <xdr:col>32</xdr:col>
          <xdr:colOff>161925</xdr:colOff>
          <xdr:row>1010</xdr:row>
          <xdr:rowOff>85725</xdr:rowOff>
        </xdr:to>
        <xdr:sp macro="" textlink="">
          <xdr:nvSpPr>
            <xdr:cNvPr id="3162" name="Object 90" hidden="1">
              <a:extLst>
                <a:ext uri="{63B3BB69-23CF-44E3-9099-C40C66FF867C}">
                  <a14:compatExt spid="_x0000_s3162"/>
                </a:ext>
                <a:ext uri="{FF2B5EF4-FFF2-40B4-BE49-F238E27FC236}">
                  <a16:creationId xmlns:a16="http://schemas.microsoft.com/office/drawing/2014/main" id="{00000000-0008-0000-0400-00005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1055</xdr:row>
          <xdr:rowOff>28575</xdr:rowOff>
        </xdr:from>
        <xdr:to>
          <xdr:col>12</xdr:col>
          <xdr:colOff>333375</xdr:colOff>
          <xdr:row>1058</xdr:row>
          <xdr:rowOff>47625</xdr:rowOff>
        </xdr:to>
        <xdr:sp macro="" textlink="">
          <xdr:nvSpPr>
            <xdr:cNvPr id="3167" name="Object 95" hidden="1">
              <a:extLst>
                <a:ext uri="{63B3BB69-23CF-44E3-9099-C40C66FF867C}">
                  <a14:compatExt spid="_x0000_s3167"/>
                </a:ext>
                <a:ext uri="{FF2B5EF4-FFF2-40B4-BE49-F238E27FC236}">
                  <a16:creationId xmlns:a16="http://schemas.microsoft.com/office/drawing/2014/main" id="{00000000-0008-0000-0400-00005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1060</xdr:row>
          <xdr:rowOff>28575</xdr:rowOff>
        </xdr:from>
        <xdr:to>
          <xdr:col>15</xdr:col>
          <xdr:colOff>47625</xdr:colOff>
          <xdr:row>1063</xdr:row>
          <xdr:rowOff>47625</xdr:rowOff>
        </xdr:to>
        <xdr:sp macro="" textlink="">
          <xdr:nvSpPr>
            <xdr:cNvPr id="3168" name="Object 96" hidden="1">
              <a:extLst>
                <a:ext uri="{63B3BB69-23CF-44E3-9099-C40C66FF867C}">
                  <a14:compatExt spid="_x0000_s3168"/>
                </a:ext>
                <a:ext uri="{FF2B5EF4-FFF2-40B4-BE49-F238E27FC236}">
                  <a16:creationId xmlns:a16="http://schemas.microsoft.com/office/drawing/2014/main" id="{00000000-0008-0000-0400-00006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1065</xdr:row>
          <xdr:rowOff>28575</xdr:rowOff>
        </xdr:from>
        <xdr:to>
          <xdr:col>16</xdr:col>
          <xdr:colOff>676275</xdr:colOff>
          <xdr:row>1068</xdr:row>
          <xdr:rowOff>47625</xdr:rowOff>
        </xdr:to>
        <xdr:sp macro="" textlink="">
          <xdr:nvSpPr>
            <xdr:cNvPr id="3169" name="Object 97" hidden="1">
              <a:extLst>
                <a:ext uri="{63B3BB69-23CF-44E3-9099-C40C66FF867C}">
                  <a14:compatExt spid="_x0000_s3169"/>
                </a:ext>
                <a:ext uri="{FF2B5EF4-FFF2-40B4-BE49-F238E27FC236}">
                  <a16:creationId xmlns:a16="http://schemas.microsoft.com/office/drawing/2014/main" id="{00000000-0008-0000-0400-00006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1045</xdr:row>
          <xdr:rowOff>28575</xdr:rowOff>
        </xdr:from>
        <xdr:to>
          <xdr:col>16</xdr:col>
          <xdr:colOff>104775</xdr:colOff>
          <xdr:row>1048</xdr:row>
          <xdr:rowOff>28575</xdr:rowOff>
        </xdr:to>
        <xdr:sp macro="" textlink="">
          <xdr:nvSpPr>
            <xdr:cNvPr id="3173" name="Object 101" hidden="1">
              <a:extLst>
                <a:ext uri="{63B3BB69-23CF-44E3-9099-C40C66FF867C}">
                  <a14:compatExt spid="_x0000_s3173"/>
                </a:ext>
                <a:ext uri="{FF2B5EF4-FFF2-40B4-BE49-F238E27FC236}">
                  <a16:creationId xmlns:a16="http://schemas.microsoft.com/office/drawing/2014/main" id="{00000000-0008-0000-0400-00006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1050</xdr:row>
          <xdr:rowOff>28575</xdr:rowOff>
        </xdr:from>
        <xdr:to>
          <xdr:col>16</xdr:col>
          <xdr:colOff>390525</xdr:colOff>
          <xdr:row>1053</xdr:row>
          <xdr:rowOff>47625</xdr:rowOff>
        </xdr:to>
        <xdr:sp macro="" textlink="">
          <xdr:nvSpPr>
            <xdr:cNvPr id="3174" name="Object 102" hidden="1">
              <a:extLst>
                <a:ext uri="{63B3BB69-23CF-44E3-9099-C40C66FF867C}">
                  <a14:compatExt spid="_x0000_s3174"/>
                </a:ext>
                <a:ext uri="{FF2B5EF4-FFF2-40B4-BE49-F238E27FC236}">
                  <a16:creationId xmlns:a16="http://schemas.microsoft.com/office/drawing/2014/main" id="{00000000-0008-0000-0400-00006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1070</xdr:row>
          <xdr:rowOff>28575</xdr:rowOff>
        </xdr:from>
        <xdr:to>
          <xdr:col>12</xdr:col>
          <xdr:colOff>409575</xdr:colOff>
          <xdr:row>1073</xdr:row>
          <xdr:rowOff>47625</xdr:rowOff>
        </xdr:to>
        <xdr:sp macro="" textlink="">
          <xdr:nvSpPr>
            <xdr:cNvPr id="3178" name="Object 106" hidden="1">
              <a:extLst>
                <a:ext uri="{63B3BB69-23CF-44E3-9099-C40C66FF867C}">
                  <a14:compatExt spid="_x0000_s3178"/>
                </a:ext>
                <a:ext uri="{FF2B5EF4-FFF2-40B4-BE49-F238E27FC236}">
                  <a16:creationId xmlns:a16="http://schemas.microsoft.com/office/drawing/2014/main" id="{00000000-0008-0000-0400-00006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1053</xdr:row>
          <xdr:rowOff>28575</xdr:rowOff>
        </xdr:from>
        <xdr:to>
          <xdr:col>32</xdr:col>
          <xdr:colOff>419100</xdr:colOff>
          <xdr:row>1056</xdr:row>
          <xdr:rowOff>28575</xdr:rowOff>
        </xdr:to>
        <xdr:sp macro="" textlink="">
          <xdr:nvSpPr>
            <xdr:cNvPr id="3188" name="Object 116" hidden="1">
              <a:extLst>
                <a:ext uri="{63B3BB69-23CF-44E3-9099-C40C66FF867C}">
                  <a14:compatExt spid="_x0000_s3188"/>
                </a:ext>
                <a:ext uri="{FF2B5EF4-FFF2-40B4-BE49-F238E27FC236}">
                  <a16:creationId xmlns:a16="http://schemas.microsoft.com/office/drawing/2014/main" id="{00000000-0008-0000-0400-00007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28575</xdr:colOff>
          <xdr:row>1022</xdr:row>
          <xdr:rowOff>47625</xdr:rowOff>
        </xdr:from>
        <xdr:to>
          <xdr:col>32</xdr:col>
          <xdr:colOff>266700</xdr:colOff>
          <xdr:row>1024</xdr:row>
          <xdr:rowOff>142875</xdr:rowOff>
        </xdr:to>
        <xdr:sp macro="" textlink="">
          <xdr:nvSpPr>
            <xdr:cNvPr id="3192" name="Object 120" hidden="1">
              <a:extLst>
                <a:ext uri="{63B3BB69-23CF-44E3-9099-C40C66FF867C}">
                  <a14:compatExt spid="_x0000_s3192"/>
                </a:ext>
                <a:ext uri="{FF2B5EF4-FFF2-40B4-BE49-F238E27FC236}">
                  <a16:creationId xmlns:a16="http://schemas.microsoft.com/office/drawing/2014/main" id="{00000000-0008-0000-0400-00007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1017</xdr:row>
          <xdr:rowOff>28575</xdr:rowOff>
        </xdr:from>
        <xdr:to>
          <xdr:col>36</xdr:col>
          <xdr:colOff>161925</xdr:colOff>
          <xdr:row>1020</xdr:row>
          <xdr:rowOff>28575</xdr:rowOff>
        </xdr:to>
        <xdr:sp macro="" textlink="">
          <xdr:nvSpPr>
            <xdr:cNvPr id="3220" name="Object 148" hidden="1">
              <a:extLst>
                <a:ext uri="{63B3BB69-23CF-44E3-9099-C40C66FF867C}">
                  <a14:compatExt spid="_x0000_s3220"/>
                </a:ext>
                <a:ext uri="{FF2B5EF4-FFF2-40B4-BE49-F238E27FC236}">
                  <a16:creationId xmlns:a16="http://schemas.microsoft.com/office/drawing/2014/main" id="{00000000-0008-0000-0400-00009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1014</xdr:row>
          <xdr:rowOff>0</xdr:rowOff>
        </xdr:from>
        <xdr:to>
          <xdr:col>36</xdr:col>
          <xdr:colOff>695325</xdr:colOff>
          <xdr:row>1017</xdr:row>
          <xdr:rowOff>0</xdr:rowOff>
        </xdr:to>
        <xdr:sp macro="" textlink="">
          <xdr:nvSpPr>
            <xdr:cNvPr id="3222" name="Object 150" hidden="1">
              <a:extLst>
                <a:ext uri="{63B3BB69-23CF-44E3-9099-C40C66FF867C}">
                  <a14:compatExt spid="_x0000_s3222"/>
                </a:ext>
                <a:ext uri="{FF2B5EF4-FFF2-40B4-BE49-F238E27FC236}">
                  <a16:creationId xmlns:a16="http://schemas.microsoft.com/office/drawing/2014/main" id="{00000000-0008-0000-0400-00009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1020</xdr:row>
          <xdr:rowOff>47625</xdr:rowOff>
        </xdr:from>
        <xdr:to>
          <xdr:col>35</xdr:col>
          <xdr:colOff>142875</xdr:colOff>
          <xdr:row>1023</xdr:row>
          <xdr:rowOff>47625</xdr:rowOff>
        </xdr:to>
        <xdr:sp macro="" textlink="">
          <xdr:nvSpPr>
            <xdr:cNvPr id="3223" name="Object 151" hidden="1">
              <a:extLst>
                <a:ext uri="{63B3BB69-23CF-44E3-9099-C40C66FF867C}">
                  <a14:compatExt spid="_x0000_s3223"/>
                </a:ext>
                <a:ext uri="{FF2B5EF4-FFF2-40B4-BE49-F238E27FC236}">
                  <a16:creationId xmlns:a16="http://schemas.microsoft.com/office/drawing/2014/main" id="{00000000-0008-0000-0400-00009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1023</xdr:row>
          <xdr:rowOff>66675</xdr:rowOff>
        </xdr:from>
        <xdr:to>
          <xdr:col>36</xdr:col>
          <xdr:colOff>47625</xdr:colOff>
          <xdr:row>1026</xdr:row>
          <xdr:rowOff>66675</xdr:rowOff>
        </xdr:to>
        <xdr:sp macro="" textlink="">
          <xdr:nvSpPr>
            <xdr:cNvPr id="3225" name="Object 153" hidden="1">
              <a:extLst>
                <a:ext uri="{63B3BB69-23CF-44E3-9099-C40C66FF867C}">
                  <a14:compatExt spid="_x0000_s3225"/>
                </a:ext>
                <a:ext uri="{FF2B5EF4-FFF2-40B4-BE49-F238E27FC236}">
                  <a16:creationId xmlns:a16="http://schemas.microsoft.com/office/drawing/2014/main" id="{00000000-0008-0000-0400-00009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1048</xdr:row>
          <xdr:rowOff>28575</xdr:rowOff>
        </xdr:from>
        <xdr:to>
          <xdr:col>34</xdr:col>
          <xdr:colOff>352425</xdr:colOff>
          <xdr:row>1051</xdr:row>
          <xdr:rowOff>85725</xdr:rowOff>
        </xdr:to>
        <xdr:sp macro="" textlink="">
          <xdr:nvSpPr>
            <xdr:cNvPr id="3281" name="Object 209" hidden="1">
              <a:extLst>
                <a:ext uri="{63B3BB69-23CF-44E3-9099-C40C66FF867C}">
                  <a14:compatExt spid="_x0000_s3281"/>
                </a:ext>
                <a:ext uri="{FF2B5EF4-FFF2-40B4-BE49-F238E27FC236}">
                  <a16:creationId xmlns:a16="http://schemas.microsoft.com/office/drawing/2014/main" id="{00000000-0008-0000-0400-0000D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984250</xdr:colOff>
      <xdr:row>4</xdr:row>
      <xdr:rowOff>152400</xdr:rowOff>
    </xdr:to>
    <xdr:pic>
      <xdr:nvPicPr>
        <xdr:cNvPr id="2604352" name="Picture 8" descr="logoplasci">
          <a:extLst>
            <a:ext uri="{FF2B5EF4-FFF2-40B4-BE49-F238E27FC236}">
              <a16:creationId xmlns:a16="http://schemas.microsoft.com/office/drawing/2014/main" id="{00000000-0008-0000-0500-000040BD27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2400" y="165100"/>
          <a:ext cx="984250" cy="635000"/>
        </a:xfrm>
        <a:prstGeom prst="rect">
          <a:avLst/>
        </a:prstGeom>
        <a:noFill/>
        <a:ln w="9525">
          <a:noFill/>
          <a:miter lim="800000"/>
          <a:headEnd/>
          <a:tailEnd/>
        </a:ln>
      </xdr:spPr>
    </xdr:pic>
    <xdr:clientData/>
  </xdr:twoCellAnchor>
  <xdr:twoCellAnchor>
    <xdr:from>
      <xdr:col>6</xdr:col>
      <xdr:colOff>450850</xdr:colOff>
      <xdr:row>0</xdr:row>
      <xdr:rowOff>120650</xdr:rowOff>
    </xdr:from>
    <xdr:to>
      <xdr:col>12</xdr:col>
      <xdr:colOff>450850</xdr:colOff>
      <xdr:row>18</xdr:row>
      <xdr:rowOff>25400</xdr:rowOff>
    </xdr:to>
    <xdr:graphicFrame macro="">
      <xdr:nvGraphicFramePr>
        <xdr:cNvPr id="2604353" name="Graphique 2">
          <a:extLst>
            <a:ext uri="{FF2B5EF4-FFF2-40B4-BE49-F238E27FC236}">
              <a16:creationId xmlns:a16="http://schemas.microsoft.com/office/drawing/2014/main" id="{00000000-0008-0000-0500-000041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450850</xdr:colOff>
      <xdr:row>18</xdr:row>
      <xdr:rowOff>25400</xdr:rowOff>
    </xdr:from>
    <xdr:to>
      <xdr:col>12</xdr:col>
      <xdr:colOff>450850</xdr:colOff>
      <xdr:row>36</xdr:row>
      <xdr:rowOff>19050</xdr:rowOff>
    </xdr:to>
    <xdr:graphicFrame macro="">
      <xdr:nvGraphicFramePr>
        <xdr:cNvPr id="2604354" name="Graphique 2">
          <a:extLst>
            <a:ext uri="{FF2B5EF4-FFF2-40B4-BE49-F238E27FC236}">
              <a16:creationId xmlns:a16="http://schemas.microsoft.com/office/drawing/2014/main" id="{00000000-0008-0000-0500-000042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12700</xdr:colOff>
      <xdr:row>18</xdr:row>
      <xdr:rowOff>25400</xdr:rowOff>
    </xdr:from>
    <xdr:to>
      <xdr:col>6</xdr:col>
      <xdr:colOff>450850</xdr:colOff>
      <xdr:row>36</xdr:row>
      <xdr:rowOff>19050</xdr:rowOff>
    </xdr:to>
    <xdr:graphicFrame macro="">
      <xdr:nvGraphicFramePr>
        <xdr:cNvPr id="2604355" name="Graphique 2">
          <a:extLst>
            <a:ext uri="{FF2B5EF4-FFF2-40B4-BE49-F238E27FC236}">
              <a16:creationId xmlns:a16="http://schemas.microsoft.com/office/drawing/2014/main" id="{00000000-0008-0000-0500-000043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xdr:from>
          <xdr:col>3</xdr:col>
          <xdr:colOff>657225</xdr:colOff>
          <xdr:row>9</xdr:row>
          <xdr:rowOff>200025</xdr:rowOff>
        </xdr:from>
        <xdr:to>
          <xdr:col>4</xdr:col>
          <xdr:colOff>0</xdr:colOff>
          <xdr:row>11</xdr:row>
          <xdr:rowOff>0</xdr:rowOff>
        </xdr:to>
        <xdr:sp macro="" textlink="">
          <xdr:nvSpPr>
            <xdr:cNvPr id="2604063" name="Spinner 31" hidden="1">
              <a:extLst>
                <a:ext uri="{63B3BB69-23CF-44E3-9099-C40C66FF867C}">
                  <a14:compatExt spid="_x0000_s2604063"/>
                </a:ext>
                <a:ext uri="{FF2B5EF4-FFF2-40B4-BE49-F238E27FC236}">
                  <a16:creationId xmlns:a16="http://schemas.microsoft.com/office/drawing/2014/main" id="{00000000-0008-0000-0500-00001F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70</xdr:row>
          <xdr:rowOff>28575</xdr:rowOff>
        </xdr:from>
        <xdr:to>
          <xdr:col>12</xdr:col>
          <xdr:colOff>904875</xdr:colOff>
          <xdr:row>87</xdr:row>
          <xdr:rowOff>9525</xdr:rowOff>
        </xdr:to>
        <xdr:sp macro="" textlink="">
          <xdr:nvSpPr>
            <xdr:cNvPr id="2604101" name="Object 69" hidden="1">
              <a:extLst>
                <a:ext uri="{63B3BB69-23CF-44E3-9099-C40C66FF867C}">
                  <a14:compatExt spid="_x0000_s2604101"/>
                </a:ext>
                <a:ext uri="{FF2B5EF4-FFF2-40B4-BE49-F238E27FC236}">
                  <a16:creationId xmlns:a16="http://schemas.microsoft.com/office/drawing/2014/main" id="{00000000-0008-0000-0500-000045BC27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11</xdr:row>
          <xdr:rowOff>0</xdr:rowOff>
        </xdr:from>
        <xdr:to>
          <xdr:col>4</xdr:col>
          <xdr:colOff>0</xdr:colOff>
          <xdr:row>12</xdr:row>
          <xdr:rowOff>0</xdr:rowOff>
        </xdr:to>
        <xdr:sp macro="" textlink="">
          <xdr:nvSpPr>
            <xdr:cNvPr id="2604202" name="Spinner 170" hidden="1">
              <a:extLst>
                <a:ext uri="{63B3BB69-23CF-44E3-9099-C40C66FF867C}">
                  <a14:compatExt spid="_x0000_s2604202"/>
                </a:ext>
                <a:ext uri="{FF2B5EF4-FFF2-40B4-BE49-F238E27FC236}">
                  <a16:creationId xmlns:a16="http://schemas.microsoft.com/office/drawing/2014/main" id="{00000000-0008-0000-0500-0000AA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0</xdr:col>
      <xdr:colOff>69850</xdr:colOff>
      <xdr:row>33</xdr:row>
      <xdr:rowOff>25400</xdr:rowOff>
    </xdr:from>
    <xdr:to>
      <xdr:col>2</xdr:col>
      <xdr:colOff>20320</xdr:colOff>
      <xdr:row>44</xdr:row>
      <xdr:rowOff>19050</xdr:rowOff>
    </xdr:to>
    <xdr:pic>
      <xdr:nvPicPr>
        <xdr:cNvPr id="5938" name="Image 1">
          <a:extLst>
            <a:ext uri="{FF2B5EF4-FFF2-40B4-BE49-F238E27FC236}">
              <a16:creationId xmlns:a16="http://schemas.microsoft.com/office/drawing/2014/main" id="{00000000-0008-0000-0600-000032170000}"/>
            </a:ext>
          </a:extLst>
        </xdr:cNvPr>
        <xdr:cNvPicPr>
          <a:picLocks noChangeAspect="1"/>
        </xdr:cNvPicPr>
      </xdr:nvPicPr>
      <xdr:blipFill>
        <a:blip xmlns:r="http://schemas.openxmlformats.org/officeDocument/2006/relationships" r:embed="rId1" cstate="print"/>
        <a:srcRect/>
        <a:stretch>
          <a:fillRect/>
        </a:stretch>
      </xdr:blipFill>
      <xdr:spPr bwMode="auto">
        <a:xfrm>
          <a:off x="69850" y="5295900"/>
          <a:ext cx="1231900" cy="1739900"/>
        </a:xfrm>
        <a:prstGeom prst="rect">
          <a:avLst/>
        </a:prstGeom>
        <a:noFill/>
        <a:ln w="9525">
          <a:noFill/>
          <a:miter lim="800000"/>
          <a:headEnd/>
          <a:tailEnd/>
        </a:ln>
      </xdr:spPr>
    </xdr:pic>
    <xdr:clientData/>
  </xdr:twoCellAnchor>
  <xdr:twoCellAnchor editAs="oneCell">
    <xdr:from>
      <xdr:col>1</xdr:col>
      <xdr:colOff>1123950</xdr:colOff>
      <xdr:row>55</xdr:row>
      <xdr:rowOff>44450</xdr:rowOff>
    </xdr:from>
    <xdr:to>
      <xdr:col>10</xdr:col>
      <xdr:colOff>609600</xdr:colOff>
      <xdr:row>83</xdr:row>
      <xdr:rowOff>17780</xdr:rowOff>
    </xdr:to>
    <xdr:pic>
      <xdr:nvPicPr>
        <xdr:cNvPr id="5939" name="Image 2">
          <a:extLst>
            <a:ext uri="{FF2B5EF4-FFF2-40B4-BE49-F238E27FC236}">
              <a16:creationId xmlns:a16="http://schemas.microsoft.com/office/drawing/2014/main" id="{00000000-0008-0000-0600-000033170000}"/>
            </a:ext>
          </a:extLst>
        </xdr:cNvPr>
        <xdr:cNvPicPr>
          <a:picLocks noChangeAspect="1"/>
        </xdr:cNvPicPr>
      </xdr:nvPicPr>
      <xdr:blipFill>
        <a:blip xmlns:r="http://schemas.openxmlformats.org/officeDocument/2006/relationships" r:embed="rId2" cstate="print"/>
        <a:srcRect/>
        <a:stretch>
          <a:fillRect/>
        </a:stretch>
      </xdr:blipFill>
      <xdr:spPr bwMode="auto">
        <a:xfrm>
          <a:off x="1276350" y="8331200"/>
          <a:ext cx="7099300" cy="4425950"/>
        </a:xfrm>
        <a:prstGeom prst="rect">
          <a:avLst/>
        </a:prstGeom>
        <a:noFill/>
        <a:ln w="9525">
          <a:noFill/>
          <a:miter lim="800000"/>
          <a:headEnd/>
          <a:tailEnd/>
        </a:ln>
      </xdr:spPr>
    </xdr:pic>
    <xdr:clientData/>
  </xdr:twoCellAnchor>
  <xdr:twoCellAnchor editAs="oneCell">
    <xdr:from>
      <xdr:col>1</xdr:col>
      <xdr:colOff>0</xdr:colOff>
      <xdr:row>1</xdr:row>
      <xdr:rowOff>0</xdr:rowOff>
    </xdr:from>
    <xdr:to>
      <xdr:col>1</xdr:col>
      <xdr:colOff>980440</xdr:colOff>
      <xdr:row>4</xdr:row>
      <xdr:rowOff>152400</xdr:rowOff>
    </xdr:to>
    <xdr:pic>
      <xdr:nvPicPr>
        <xdr:cNvPr id="5940" name="Picture 8" descr="logoplasci">
          <a:extLst>
            <a:ext uri="{FF2B5EF4-FFF2-40B4-BE49-F238E27FC236}">
              <a16:creationId xmlns:a16="http://schemas.microsoft.com/office/drawing/2014/main" id="{00000000-0008-0000-0600-00003417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6</xdr:col>
      <xdr:colOff>69850</xdr:colOff>
      <xdr:row>80</xdr:row>
      <xdr:rowOff>12700</xdr:rowOff>
    </xdr:from>
    <xdr:to>
      <xdr:col>8</xdr:col>
      <xdr:colOff>0</xdr:colOff>
      <xdr:row>102</xdr:row>
      <xdr:rowOff>107950</xdr:rowOff>
    </xdr:to>
    <xdr:grpSp>
      <xdr:nvGrpSpPr>
        <xdr:cNvPr id="5501606" name="Group 232">
          <a:extLst>
            <a:ext uri="{FF2B5EF4-FFF2-40B4-BE49-F238E27FC236}">
              <a16:creationId xmlns:a16="http://schemas.microsoft.com/office/drawing/2014/main" id="{00000000-0008-0000-0700-0000A6F25300}"/>
            </a:ext>
          </a:extLst>
        </xdr:cNvPr>
        <xdr:cNvGrpSpPr>
          <a:grpSpLocks/>
        </xdr:cNvGrpSpPr>
      </xdr:nvGrpSpPr>
      <xdr:grpSpPr bwMode="auto">
        <a:xfrm>
          <a:off x="4137025" y="13214350"/>
          <a:ext cx="2159000" cy="3752850"/>
          <a:chOff x="3421" y="5379"/>
          <a:chExt cx="2289" cy="5759"/>
        </a:xfrm>
      </xdr:grpSpPr>
      <xdr:grpSp>
        <xdr:nvGrpSpPr>
          <xdr:cNvPr id="5501710" name="Group 233">
            <a:extLst>
              <a:ext uri="{FF2B5EF4-FFF2-40B4-BE49-F238E27FC236}">
                <a16:creationId xmlns:a16="http://schemas.microsoft.com/office/drawing/2014/main" id="{00000000-0008-0000-0700-00000EF35300}"/>
              </a:ext>
            </a:extLst>
          </xdr:cNvPr>
          <xdr:cNvGrpSpPr>
            <a:grpSpLocks/>
          </xdr:cNvGrpSpPr>
        </xdr:nvGrpSpPr>
        <xdr:grpSpPr bwMode="auto">
          <a:xfrm>
            <a:off x="4047" y="5379"/>
            <a:ext cx="515" cy="4096"/>
            <a:chOff x="4047" y="5379"/>
            <a:chExt cx="515" cy="4096"/>
          </a:xfrm>
        </xdr:grpSpPr>
        <xdr:sp macro="" textlink="">
          <xdr:nvSpPr>
            <xdr:cNvPr id="5501728" name="Arc 234">
              <a:extLst>
                <a:ext uri="{FF2B5EF4-FFF2-40B4-BE49-F238E27FC236}">
                  <a16:creationId xmlns:a16="http://schemas.microsoft.com/office/drawing/2014/main" id="{00000000-0008-0000-0700-000020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9" name="Group 235">
              <a:extLst>
                <a:ext uri="{FF2B5EF4-FFF2-40B4-BE49-F238E27FC236}">
                  <a16:creationId xmlns:a16="http://schemas.microsoft.com/office/drawing/2014/main" id="{00000000-0008-0000-0700-000021F35300}"/>
                </a:ext>
              </a:extLst>
            </xdr:cNvPr>
            <xdr:cNvGrpSpPr>
              <a:grpSpLocks/>
            </xdr:cNvGrpSpPr>
          </xdr:nvGrpSpPr>
          <xdr:grpSpPr bwMode="auto">
            <a:xfrm>
              <a:off x="4047" y="6306"/>
              <a:ext cx="285" cy="3169"/>
              <a:chOff x="4050" y="6306"/>
              <a:chExt cx="285" cy="3169"/>
            </a:xfrm>
          </xdr:grpSpPr>
          <xdr:sp macro="" textlink="">
            <xdr:nvSpPr>
              <xdr:cNvPr id="5501730" name="Line 236">
                <a:extLst>
                  <a:ext uri="{FF2B5EF4-FFF2-40B4-BE49-F238E27FC236}">
                    <a16:creationId xmlns:a16="http://schemas.microsoft.com/office/drawing/2014/main" id="{00000000-0008-0000-0700-000022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31" name="Line 237">
                <a:extLst>
                  <a:ext uri="{FF2B5EF4-FFF2-40B4-BE49-F238E27FC236}">
                    <a16:creationId xmlns:a16="http://schemas.microsoft.com/office/drawing/2014/main" id="{00000000-0008-0000-0700-000023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32" name="Line 238">
                <a:extLst>
                  <a:ext uri="{FF2B5EF4-FFF2-40B4-BE49-F238E27FC236}">
                    <a16:creationId xmlns:a16="http://schemas.microsoft.com/office/drawing/2014/main" id="{00000000-0008-0000-0700-000024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33" name="Line 239">
                <a:extLst>
                  <a:ext uri="{FF2B5EF4-FFF2-40B4-BE49-F238E27FC236}">
                    <a16:creationId xmlns:a16="http://schemas.microsoft.com/office/drawing/2014/main" id="{00000000-0008-0000-0700-000025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34" name="Line 240">
                <a:extLst>
                  <a:ext uri="{FF2B5EF4-FFF2-40B4-BE49-F238E27FC236}">
                    <a16:creationId xmlns:a16="http://schemas.microsoft.com/office/drawing/2014/main" id="{00000000-0008-0000-0700-000026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711" name="Group 241">
            <a:extLst>
              <a:ext uri="{FF2B5EF4-FFF2-40B4-BE49-F238E27FC236}">
                <a16:creationId xmlns:a16="http://schemas.microsoft.com/office/drawing/2014/main" id="{00000000-0008-0000-0700-00000FF35300}"/>
              </a:ext>
            </a:extLst>
          </xdr:cNvPr>
          <xdr:cNvGrpSpPr>
            <a:grpSpLocks/>
          </xdr:cNvGrpSpPr>
        </xdr:nvGrpSpPr>
        <xdr:grpSpPr bwMode="auto">
          <a:xfrm flipH="1">
            <a:off x="4560" y="5379"/>
            <a:ext cx="515" cy="4096"/>
            <a:chOff x="4047" y="5379"/>
            <a:chExt cx="515" cy="4096"/>
          </a:xfrm>
        </xdr:grpSpPr>
        <xdr:sp macro="" textlink="">
          <xdr:nvSpPr>
            <xdr:cNvPr id="5501721" name="Arc 242">
              <a:extLst>
                <a:ext uri="{FF2B5EF4-FFF2-40B4-BE49-F238E27FC236}">
                  <a16:creationId xmlns:a16="http://schemas.microsoft.com/office/drawing/2014/main" id="{00000000-0008-0000-0700-000019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2" name="Group 243">
              <a:extLst>
                <a:ext uri="{FF2B5EF4-FFF2-40B4-BE49-F238E27FC236}">
                  <a16:creationId xmlns:a16="http://schemas.microsoft.com/office/drawing/2014/main" id="{00000000-0008-0000-0700-00001AF35300}"/>
                </a:ext>
              </a:extLst>
            </xdr:cNvPr>
            <xdr:cNvGrpSpPr>
              <a:grpSpLocks/>
            </xdr:cNvGrpSpPr>
          </xdr:nvGrpSpPr>
          <xdr:grpSpPr bwMode="auto">
            <a:xfrm>
              <a:off x="4047" y="6306"/>
              <a:ext cx="285" cy="3169"/>
              <a:chOff x="4050" y="6306"/>
              <a:chExt cx="285" cy="3169"/>
            </a:xfrm>
          </xdr:grpSpPr>
          <xdr:sp macro="" textlink="">
            <xdr:nvSpPr>
              <xdr:cNvPr id="5501723" name="Line 244">
                <a:extLst>
                  <a:ext uri="{FF2B5EF4-FFF2-40B4-BE49-F238E27FC236}">
                    <a16:creationId xmlns:a16="http://schemas.microsoft.com/office/drawing/2014/main" id="{00000000-0008-0000-0700-00001B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24" name="Line 245">
                <a:extLst>
                  <a:ext uri="{FF2B5EF4-FFF2-40B4-BE49-F238E27FC236}">
                    <a16:creationId xmlns:a16="http://schemas.microsoft.com/office/drawing/2014/main" id="{00000000-0008-0000-0700-00001C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25" name="Line 246">
                <a:extLst>
                  <a:ext uri="{FF2B5EF4-FFF2-40B4-BE49-F238E27FC236}">
                    <a16:creationId xmlns:a16="http://schemas.microsoft.com/office/drawing/2014/main" id="{00000000-0008-0000-0700-00001D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26" name="Line 247">
                <a:extLst>
                  <a:ext uri="{FF2B5EF4-FFF2-40B4-BE49-F238E27FC236}">
                    <a16:creationId xmlns:a16="http://schemas.microsoft.com/office/drawing/2014/main" id="{00000000-0008-0000-0700-00001E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27" name="Line 248">
                <a:extLst>
                  <a:ext uri="{FF2B5EF4-FFF2-40B4-BE49-F238E27FC236}">
                    <a16:creationId xmlns:a16="http://schemas.microsoft.com/office/drawing/2014/main" id="{00000000-0008-0000-0700-00001F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712" name="Line 249">
            <a:extLst>
              <a:ext uri="{FF2B5EF4-FFF2-40B4-BE49-F238E27FC236}">
                <a16:creationId xmlns:a16="http://schemas.microsoft.com/office/drawing/2014/main" id="{00000000-0008-0000-0700-000010F35300}"/>
              </a:ext>
            </a:extLst>
          </xdr:cNvPr>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713" name="Line 250">
            <a:extLst>
              <a:ext uri="{FF2B5EF4-FFF2-40B4-BE49-F238E27FC236}">
                <a16:creationId xmlns:a16="http://schemas.microsoft.com/office/drawing/2014/main" id="{00000000-0008-0000-0700-000011F35300}"/>
              </a:ext>
            </a:extLst>
          </xdr:cNvPr>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714" name="Line 251">
            <a:extLst>
              <a:ext uri="{FF2B5EF4-FFF2-40B4-BE49-F238E27FC236}">
                <a16:creationId xmlns:a16="http://schemas.microsoft.com/office/drawing/2014/main" id="{00000000-0008-0000-0700-000012F35300}"/>
              </a:ext>
            </a:extLst>
          </xdr:cNvPr>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715" name="Line 252">
            <a:extLst>
              <a:ext uri="{FF2B5EF4-FFF2-40B4-BE49-F238E27FC236}">
                <a16:creationId xmlns:a16="http://schemas.microsoft.com/office/drawing/2014/main" id="{00000000-0008-0000-0700-000013F353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716" name="Line 253">
            <a:extLst>
              <a:ext uri="{FF2B5EF4-FFF2-40B4-BE49-F238E27FC236}">
                <a16:creationId xmlns:a16="http://schemas.microsoft.com/office/drawing/2014/main" id="{00000000-0008-0000-0700-000014F35300}"/>
              </a:ext>
            </a:extLst>
          </xdr:cNvPr>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717" name="Line 254">
            <a:extLst>
              <a:ext uri="{FF2B5EF4-FFF2-40B4-BE49-F238E27FC236}">
                <a16:creationId xmlns:a16="http://schemas.microsoft.com/office/drawing/2014/main" id="{00000000-0008-0000-0700-000015F353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718" name="Line 255">
            <a:extLst>
              <a:ext uri="{FF2B5EF4-FFF2-40B4-BE49-F238E27FC236}">
                <a16:creationId xmlns:a16="http://schemas.microsoft.com/office/drawing/2014/main" id="{00000000-0008-0000-0700-000016F353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719" name="Line 256">
            <a:extLst>
              <a:ext uri="{FF2B5EF4-FFF2-40B4-BE49-F238E27FC236}">
                <a16:creationId xmlns:a16="http://schemas.microsoft.com/office/drawing/2014/main" id="{00000000-0008-0000-0700-000017F353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720" name="Line 257">
            <a:extLst>
              <a:ext uri="{FF2B5EF4-FFF2-40B4-BE49-F238E27FC236}">
                <a16:creationId xmlns:a16="http://schemas.microsoft.com/office/drawing/2014/main" id="{00000000-0008-0000-0700-000018F353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6</xdr:col>
      <xdr:colOff>825500</xdr:colOff>
      <xdr:row>84</xdr:row>
      <xdr:rowOff>101600</xdr:rowOff>
    </xdr:from>
    <xdr:to>
      <xdr:col>6</xdr:col>
      <xdr:colOff>1543050</xdr:colOff>
      <xdr:row>84</xdr:row>
      <xdr:rowOff>101600</xdr:rowOff>
    </xdr:to>
    <xdr:sp macro="" textlink="">
      <xdr:nvSpPr>
        <xdr:cNvPr id="5501607" name="Line 268">
          <a:extLst>
            <a:ext uri="{FF2B5EF4-FFF2-40B4-BE49-F238E27FC236}">
              <a16:creationId xmlns:a16="http://schemas.microsoft.com/office/drawing/2014/main" id="{00000000-0008-0000-0700-0000A7F25300}"/>
            </a:ext>
          </a:extLst>
        </xdr:cNvPr>
        <xdr:cNvSpPr>
          <a:spLocks noChangeShapeType="1"/>
        </xdr:cNvSpPr>
      </xdr:nvSpPr>
      <xdr:spPr bwMode="auto">
        <a:xfrm flipV="1">
          <a:off x="5105400" y="14128750"/>
          <a:ext cx="717550" cy="0"/>
        </a:xfrm>
        <a:prstGeom prst="line">
          <a:avLst/>
        </a:prstGeom>
        <a:noFill/>
        <a:ln w="6350">
          <a:solidFill>
            <a:srgbClr val="000000"/>
          </a:solidFill>
          <a:round/>
          <a:headEnd type="triangle" w="sm" len="lg"/>
          <a:tailEnd type="triangle" w="sm" len="lg"/>
        </a:ln>
      </xdr:spPr>
    </xdr:sp>
    <xdr:clientData/>
  </xdr:twoCellAnchor>
  <xdr:twoCellAnchor>
    <xdr:from>
      <xdr:col>6</xdr:col>
      <xdr:colOff>152400</xdr:colOff>
      <xdr:row>80</xdr:row>
      <xdr:rowOff>0</xdr:rowOff>
    </xdr:from>
    <xdr:to>
      <xdr:col>8</xdr:col>
      <xdr:colOff>654050</xdr:colOff>
      <xdr:row>80</xdr:row>
      <xdr:rowOff>0</xdr:rowOff>
    </xdr:to>
    <xdr:sp macro="" textlink="">
      <xdr:nvSpPr>
        <xdr:cNvPr id="5501608" name="Line 269">
          <a:extLst>
            <a:ext uri="{FF2B5EF4-FFF2-40B4-BE49-F238E27FC236}">
              <a16:creationId xmlns:a16="http://schemas.microsoft.com/office/drawing/2014/main" id="{00000000-0008-0000-0700-0000A8F25300}"/>
            </a:ext>
          </a:extLst>
        </xdr:cNvPr>
        <xdr:cNvSpPr>
          <a:spLocks noChangeShapeType="1"/>
        </xdr:cNvSpPr>
      </xdr:nvSpPr>
      <xdr:spPr bwMode="auto">
        <a:xfrm flipV="1">
          <a:off x="4432300" y="13354050"/>
          <a:ext cx="2647950" cy="0"/>
        </a:xfrm>
        <a:prstGeom prst="line">
          <a:avLst/>
        </a:prstGeom>
        <a:noFill/>
        <a:ln w="6350">
          <a:solidFill>
            <a:srgbClr val="000000"/>
          </a:solidFill>
          <a:round/>
          <a:headEnd/>
          <a:tailEnd/>
        </a:ln>
      </xdr:spPr>
    </xdr:sp>
    <xdr:clientData/>
  </xdr:twoCellAnchor>
  <xdr:twoCellAnchor>
    <xdr:from>
      <xdr:col>8</xdr:col>
      <xdr:colOff>228600</xdr:colOff>
      <xdr:row>80</xdr:row>
      <xdr:rowOff>12700</xdr:rowOff>
    </xdr:from>
    <xdr:to>
      <xdr:col>8</xdr:col>
      <xdr:colOff>228600</xdr:colOff>
      <xdr:row>93</xdr:row>
      <xdr:rowOff>82550</xdr:rowOff>
    </xdr:to>
    <xdr:sp macro="" textlink="">
      <xdr:nvSpPr>
        <xdr:cNvPr id="5501609" name="Line 270">
          <a:extLst>
            <a:ext uri="{FF2B5EF4-FFF2-40B4-BE49-F238E27FC236}">
              <a16:creationId xmlns:a16="http://schemas.microsoft.com/office/drawing/2014/main" id="{00000000-0008-0000-0700-0000A9F25300}"/>
            </a:ext>
          </a:extLst>
        </xdr:cNvPr>
        <xdr:cNvSpPr>
          <a:spLocks noChangeShapeType="1"/>
        </xdr:cNvSpPr>
      </xdr:nvSpPr>
      <xdr:spPr bwMode="auto">
        <a:xfrm>
          <a:off x="6838950" y="13366750"/>
          <a:ext cx="0" cy="2209800"/>
        </a:xfrm>
        <a:prstGeom prst="line">
          <a:avLst/>
        </a:prstGeom>
        <a:noFill/>
        <a:ln w="6350">
          <a:solidFill>
            <a:srgbClr val="000000"/>
          </a:solidFill>
          <a:round/>
          <a:headEnd type="triangle" w="sm" len="lg"/>
          <a:tailEnd type="triangle" w="sm" len="lg"/>
        </a:ln>
      </xdr:spPr>
    </xdr:sp>
    <xdr:clientData/>
  </xdr:twoCellAnchor>
  <xdr:twoCellAnchor>
    <xdr:from>
      <xdr:col>6</xdr:col>
      <xdr:colOff>139700</xdr:colOff>
      <xdr:row>83</xdr:row>
      <xdr:rowOff>50800</xdr:rowOff>
    </xdr:from>
    <xdr:to>
      <xdr:col>6</xdr:col>
      <xdr:colOff>838200</xdr:colOff>
      <xdr:row>83</xdr:row>
      <xdr:rowOff>50800</xdr:rowOff>
    </xdr:to>
    <xdr:sp macro="" textlink="">
      <xdr:nvSpPr>
        <xdr:cNvPr id="5501610" name="Line 271">
          <a:extLst>
            <a:ext uri="{FF2B5EF4-FFF2-40B4-BE49-F238E27FC236}">
              <a16:creationId xmlns:a16="http://schemas.microsoft.com/office/drawing/2014/main" id="{00000000-0008-0000-0700-0000AAF25300}"/>
            </a:ext>
          </a:extLst>
        </xdr:cNvPr>
        <xdr:cNvSpPr>
          <a:spLocks noChangeShapeType="1"/>
        </xdr:cNvSpPr>
      </xdr:nvSpPr>
      <xdr:spPr bwMode="auto">
        <a:xfrm>
          <a:off x="4419600" y="13912850"/>
          <a:ext cx="698500" cy="0"/>
        </a:xfrm>
        <a:prstGeom prst="line">
          <a:avLst/>
        </a:prstGeom>
        <a:noFill/>
        <a:ln w="6350">
          <a:solidFill>
            <a:srgbClr val="000000"/>
          </a:solidFill>
          <a:round/>
          <a:headEnd/>
          <a:tailEnd/>
        </a:ln>
      </xdr:spPr>
    </xdr:sp>
    <xdr:clientData/>
  </xdr:twoCellAnchor>
  <xdr:twoCellAnchor>
    <xdr:from>
      <xdr:col>6</xdr:col>
      <xdr:colOff>152400</xdr:colOff>
      <xdr:row>80</xdr:row>
      <xdr:rowOff>0</xdr:rowOff>
    </xdr:from>
    <xdr:to>
      <xdr:col>6</xdr:col>
      <xdr:colOff>152400</xdr:colOff>
      <xdr:row>83</xdr:row>
      <xdr:rowOff>50800</xdr:rowOff>
    </xdr:to>
    <xdr:sp macro="" textlink="">
      <xdr:nvSpPr>
        <xdr:cNvPr id="5501611" name="Line 272">
          <a:extLst>
            <a:ext uri="{FF2B5EF4-FFF2-40B4-BE49-F238E27FC236}">
              <a16:creationId xmlns:a16="http://schemas.microsoft.com/office/drawing/2014/main" id="{00000000-0008-0000-0700-0000ABF25300}"/>
            </a:ext>
          </a:extLst>
        </xdr:cNvPr>
        <xdr:cNvSpPr>
          <a:spLocks noChangeShapeType="1"/>
        </xdr:cNvSpPr>
      </xdr:nvSpPr>
      <xdr:spPr bwMode="auto">
        <a:xfrm>
          <a:off x="4432300" y="13354050"/>
          <a:ext cx="0" cy="558800"/>
        </a:xfrm>
        <a:prstGeom prst="line">
          <a:avLst/>
        </a:prstGeom>
        <a:noFill/>
        <a:ln w="6350">
          <a:solidFill>
            <a:srgbClr val="000000"/>
          </a:solidFill>
          <a:round/>
          <a:headEnd type="triangle" w="sm" len="lg"/>
          <a:tailEnd type="triangle" w="sm" len="lg"/>
        </a:ln>
      </xdr:spPr>
    </xdr:sp>
    <xdr:clientData/>
  </xdr:twoCellAnchor>
  <xdr:twoCellAnchor>
    <xdr:from>
      <xdr:col>7</xdr:col>
      <xdr:colOff>787400</xdr:colOff>
      <xdr:row>102</xdr:row>
      <xdr:rowOff>95250</xdr:rowOff>
    </xdr:from>
    <xdr:to>
      <xdr:col>8</xdr:col>
      <xdr:colOff>552450</xdr:colOff>
      <xdr:row>102</xdr:row>
      <xdr:rowOff>95250</xdr:rowOff>
    </xdr:to>
    <xdr:sp macro="" textlink="">
      <xdr:nvSpPr>
        <xdr:cNvPr id="5501612" name="Line 277">
          <a:extLst>
            <a:ext uri="{FF2B5EF4-FFF2-40B4-BE49-F238E27FC236}">
              <a16:creationId xmlns:a16="http://schemas.microsoft.com/office/drawing/2014/main" id="{00000000-0008-0000-0700-0000ACF25300}"/>
            </a:ext>
          </a:extLst>
        </xdr:cNvPr>
        <xdr:cNvSpPr>
          <a:spLocks noChangeShapeType="1"/>
        </xdr:cNvSpPr>
      </xdr:nvSpPr>
      <xdr:spPr bwMode="auto">
        <a:xfrm>
          <a:off x="6610350" y="17068800"/>
          <a:ext cx="469900" cy="0"/>
        </a:xfrm>
        <a:prstGeom prst="line">
          <a:avLst/>
        </a:prstGeom>
        <a:noFill/>
        <a:ln w="6350">
          <a:solidFill>
            <a:srgbClr val="000000"/>
          </a:solidFill>
          <a:round/>
          <a:headEnd/>
          <a:tailEnd/>
        </a:ln>
      </xdr:spPr>
    </xdr:sp>
    <xdr:clientData/>
  </xdr:twoCellAnchor>
  <xdr:twoCellAnchor>
    <xdr:from>
      <xdr:col>8</xdr:col>
      <xdr:colOff>12700</xdr:colOff>
      <xdr:row>98</xdr:row>
      <xdr:rowOff>133350</xdr:rowOff>
    </xdr:from>
    <xdr:to>
      <xdr:col>8</xdr:col>
      <xdr:colOff>469900</xdr:colOff>
      <xdr:row>98</xdr:row>
      <xdr:rowOff>133350</xdr:rowOff>
    </xdr:to>
    <xdr:sp macro="" textlink="">
      <xdr:nvSpPr>
        <xdr:cNvPr id="5501613" name="Line 278">
          <a:extLst>
            <a:ext uri="{FF2B5EF4-FFF2-40B4-BE49-F238E27FC236}">
              <a16:creationId xmlns:a16="http://schemas.microsoft.com/office/drawing/2014/main" id="{00000000-0008-0000-0700-0000ADF25300}"/>
            </a:ext>
          </a:extLst>
        </xdr:cNvPr>
        <xdr:cNvSpPr>
          <a:spLocks noChangeShapeType="1"/>
        </xdr:cNvSpPr>
      </xdr:nvSpPr>
      <xdr:spPr bwMode="auto">
        <a:xfrm>
          <a:off x="6623050" y="16440150"/>
          <a:ext cx="4572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8</xdr:col>
      <xdr:colOff>552450</xdr:colOff>
      <xdr:row>93</xdr:row>
      <xdr:rowOff>76200</xdr:rowOff>
    </xdr:to>
    <xdr:sp macro="" textlink="">
      <xdr:nvSpPr>
        <xdr:cNvPr id="5501614" name="Line 279">
          <a:extLst>
            <a:ext uri="{FF2B5EF4-FFF2-40B4-BE49-F238E27FC236}">
              <a16:creationId xmlns:a16="http://schemas.microsoft.com/office/drawing/2014/main" id="{00000000-0008-0000-0700-0000AEF25300}"/>
            </a:ext>
          </a:extLst>
        </xdr:cNvPr>
        <xdr:cNvSpPr>
          <a:spLocks noChangeShapeType="1"/>
        </xdr:cNvSpPr>
      </xdr:nvSpPr>
      <xdr:spPr bwMode="auto">
        <a:xfrm flipV="1">
          <a:off x="4756150" y="15570200"/>
          <a:ext cx="2324100" cy="0"/>
        </a:xfrm>
        <a:prstGeom prst="line">
          <a:avLst/>
        </a:prstGeom>
        <a:noFill/>
        <a:ln w="6350">
          <a:solidFill>
            <a:srgbClr val="000000"/>
          </a:solidFill>
          <a:round/>
          <a:headEnd/>
          <a:tailEnd/>
        </a:ln>
      </xdr:spPr>
    </xdr:sp>
    <xdr:clientData/>
  </xdr:twoCellAnchor>
  <xdr:twoCellAnchor>
    <xdr:from>
      <xdr:col>6</xdr:col>
      <xdr:colOff>476250</xdr:colOff>
      <xdr:row>99</xdr:row>
      <xdr:rowOff>152400</xdr:rowOff>
    </xdr:from>
    <xdr:to>
      <xdr:col>6</xdr:col>
      <xdr:colOff>1428750</xdr:colOff>
      <xdr:row>99</xdr:row>
      <xdr:rowOff>152400</xdr:rowOff>
    </xdr:to>
    <xdr:sp macro="" textlink="">
      <xdr:nvSpPr>
        <xdr:cNvPr id="5501615" name="Line 280">
          <a:extLst>
            <a:ext uri="{FF2B5EF4-FFF2-40B4-BE49-F238E27FC236}">
              <a16:creationId xmlns:a16="http://schemas.microsoft.com/office/drawing/2014/main" id="{00000000-0008-0000-0700-0000AFF25300}"/>
            </a:ext>
          </a:extLst>
        </xdr:cNvPr>
        <xdr:cNvSpPr>
          <a:spLocks noChangeShapeType="1"/>
        </xdr:cNvSpPr>
      </xdr:nvSpPr>
      <xdr:spPr bwMode="auto">
        <a:xfrm flipV="1">
          <a:off x="4756150" y="16617950"/>
          <a:ext cx="9525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6</xdr:col>
      <xdr:colOff>476250</xdr:colOff>
      <xdr:row>100</xdr:row>
      <xdr:rowOff>0</xdr:rowOff>
    </xdr:to>
    <xdr:sp macro="" textlink="">
      <xdr:nvSpPr>
        <xdr:cNvPr id="5501616" name="Line 281">
          <a:extLst>
            <a:ext uri="{FF2B5EF4-FFF2-40B4-BE49-F238E27FC236}">
              <a16:creationId xmlns:a16="http://schemas.microsoft.com/office/drawing/2014/main" id="{00000000-0008-0000-0700-0000B0F25300}"/>
            </a:ext>
          </a:extLst>
        </xdr:cNvPr>
        <xdr:cNvSpPr>
          <a:spLocks noChangeShapeType="1"/>
        </xdr:cNvSpPr>
      </xdr:nvSpPr>
      <xdr:spPr bwMode="auto">
        <a:xfrm>
          <a:off x="4756150" y="15570200"/>
          <a:ext cx="0" cy="106680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98</xdr:row>
      <xdr:rowOff>133350</xdr:rowOff>
    </xdr:from>
    <xdr:to>
      <xdr:col>8</xdr:col>
      <xdr:colOff>488950</xdr:colOff>
      <xdr:row>102</xdr:row>
      <xdr:rowOff>95250</xdr:rowOff>
    </xdr:to>
    <xdr:sp macro="" textlink="">
      <xdr:nvSpPr>
        <xdr:cNvPr id="5501617" name="Line 282">
          <a:extLst>
            <a:ext uri="{FF2B5EF4-FFF2-40B4-BE49-F238E27FC236}">
              <a16:creationId xmlns:a16="http://schemas.microsoft.com/office/drawing/2014/main" id="{00000000-0008-0000-0700-0000B1F25300}"/>
            </a:ext>
          </a:extLst>
        </xdr:cNvPr>
        <xdr:cNvSpPr>
          <a:spLocks noChangeShapeType="1"/>
        </xdr:cNvSpPr>
      </xdr:nvSpPr>
      <xdr:spPr bwMode="auto">
        <a:xfrm>
          <a:off x="7080250" y="16440150"/>
          <a:ext cx="0" cy="62865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93</xdr:row>
      <xdr:rowOff>63500</xdr:rowOff>
    </xdr:from>
    <xdr:to>
      <xdr:col>8</xdr:col>
      <xdr:colOff>488950</xdr:colOff>
      <xdr:row>98</xdr:row>
      <xdr:rowOff>133350</xdr:rowOff>
    </xdr:to>
    <xdr:sp macro="" textlink="">
      <xdr:nvSpPr>
        <xdr:cNvPr id="5501618" name="Line 283">
          <a:extLst>
            <a:ext uri="{FF2B5EF4-FFF2-40B4-BE49-F238E27FC236}">
              <a16:creationId xmlns:a16="http://schemas.microsoft.com/office/drawing/2014/main" id="{00000000-0008-0000-0700-0000B2F25300}"/>
            </a:ext>
          </a:extLst>
        </xdr:cNvPr>
        <xdr:cNvSpPr>
          <a:spLocks noChangeShapeType="1"/>
        </xdr:cNvSpPr>
      </xdr:nvSpPr>
      <xdr:spPr bwMode="auto">
        <a:xfrm>
          <a:off x="7080250" y="15557500"/>
          <a:ext cx="0" cy="882650"/>
        </a:xfrm>
        <a:prstGeom prst="line">
          <a:avLst/>
        </a:prstGeom>
        <a:noFill/>
        <a:ln w="6350">
          <a:solidFill>
            <a:srgbClr val="000000"/>
          </a:solidFill>
          <a:round/>
          <a:headEnd type="triangle" w="sm" len="lg"/>
          <a:tailEnd type="triangle" w="sm" len="lg"/>
        </a:ln>
      </xdr:spPr>
    </xdr:sp>
    <xdr:clientData/>
  </xdr:twoCellAnchor>
  <xdr:twoCellAnchor>
    <xdr:from>
      <xdr:col>8</xdr:col>
      <xdr:colOff>0</xdr:colOff>
      <xdr:row>102</xdr:row>
      <xdr:rowOff>95250</xdr:rowOff>
    </xdr:from>
    <xdr:to>
      <xdr:col>8</xdr:col>
      <xdr:colOff>0</xdr:colOff>
      <xdr:row>103</xdr:row>
      <xdr:rowOff>0</xdr:rowOff>
    </xdr:to>
    <xdr:sp macro="" textlink="">
      <xdr:nvSpPr>
        <xdr:cNvPr id="5501619" name="Line 284">
          <a:extLst>
            <a:ext uri="{FF2B5EF4-FFF2-40B4-BE49-F238E27FC236}">
              <a16:creationId xmlns:a16="http://schemas.microsoft.com/office/drawing/2014/main" id="{00000000-0008-0000-0700-0000B3F25300}"/>
            </a:ext>
          </a:extLst>
        </xdr:cNvPr>
        <xdr:cNvSpPr>
          <a:spLocks noChangeShapeType="1"/>
        </xdr:cNvSpPr>
      </xdr:nvSpPr>
      <xdr:spPr bwMode="auto">
        <a:xfrm flipV="1">
          <a:off x="6610350" y="17068800"/>
          <a:ext cx="0" cy="69850"/>
        </a:xfrm>
        <a:prstGeom prst="line">
          <a:avLst/>
        </a:prstGeom>
        <a:noFill/>
        <a:ln w="6350">
          <a:solidFill>
            <a:srgbClr val="000000"/>
          </a:solidFill>
          <a:round/>
          <a:headEnd/>
          <a:tailEnd/>
        </a:ln>
      </xdr:spPr>
    </xdr:sp>
    <xdr:clientData/>
  </xdr:twoCellAnchor>
  <xdr:twoCellAnchor>
    <xdr:from>
      <xdr:col>6</xdr:col>
      <xdr:colOff>1428750</xdr:colOff>
      <xdr:row>99</xdr:row>
      <xdr:rowOff>139700</xdr:rowOff>
    </xdr:from>
    <xdr:to>
      <xdr:col>6</xdr:col>
      <xdr:colOff>1428750</xdr:colOff>
      <xdr:row>103</xdr:row>
      <xdr:rowOff>0</xdr:rowOff>
    </xdr:to>
    <xdr:sp macro="" textlink="">
      <xdr:nvSpPr>
        <xdr:cNvPr id="5501620" name="Line 285">
          <a:extLst>
            <a:ext uri="{FF2B5EF4-FFF2-40B4-BE49-F238E27FC236}">
              <a16:creationId xmlns:a16="http://schemas.microsoft.com/office/drawing/2014/main" id="{00000000-0008-0000-0700-0000B4F25300}"/>
            </a:ext>
          </a:extLst>
        </xdr:cNvPr>
        <xdr:cNvSpPr>
          <a:spLocks noChangeShapeType="1"/>
        </xdr:cNvSpPr>
      </xdr:nvSpPr>
      <xdr:spPr bwMode="auto">
        <a:xfrm flipH="1" flipV="1">
          <a:off x="5708650" y="16605250"/>
          <a:ext cx="0" cy="533400"/>
        </a:xfrm>
        <a:prstGeom prst="line">
          <a:avLst/>
        </a:prstGeom>
        <a:noFill/>
        <a:ln w="6350">
          <a:solidFill>
            <a:srgbClr val="000000"/>
          </a:solidFill>
          <a:round/>
          <a:headEnd/>
          <a:tailEnd/>
        </a:ln>
      </xdr:spPr>
    </xdr:sp>
    <xdr:clientData/>
  </xdr:twoCellAnchor>
  <xdr:twoCellAnchor>
    <xdr:from>
      <xdr:col>6</xdr:col>
      <xdr:colOff>1422400</xdr:colOff>
      <xdr:row>103</xdr:row>
      <xdr:rowOff>0</xdr:rowOff>
    </xdr:from>
    <xdr:to>
      <xdr:col>8</xdr:col>
      <xdr:colOff>0</xdr:colOff>
      <xdr:row>103</xdr:row>
      <xdr:rowOff>0</xdr:rowOff>
    </xdr:to>
    <xdr:sp macro="" textlink="">
      <xdr:nvSpPr>
        <xdr:cNvPr id="5501621" name="Line 286">
          <a:extLst>
            <a:ext uri="{FF2B5EF4-FFF2-40B4-BE49-F238E27FC236}">
              <a16:creationId xmlns:a16="http://schemas.microsoft.com/office/drawing/2014/main" id="{00000000-0008-0000-0700-0000B5F25300}"/>
            </a:ext>
          </a:extLst>
        </xdr:cNvPr>
        <xdr:cNvSpPr>
          <a:spLocks noChangeShapeType="1"/>
        </xdr:cNvSpPr>
      </xdr:nvSpPr>
      <xdr:spPr bwMode="auto">
        <a:xfrm>
          <a:off x="5702300" y="17138650"/>
          <a:ext cx="908050" cy="0"/>
        </a:xfrm>
        <a:prstGeom prst="line">
          <a:avLst/>
        </a:prstGeom>
        <a:noFill/>
        <a:ln w="6350">
          <a:solidFill>
            <a:srgbClr val="000000"/>
          </a:solidFill>
          <a:round/>
          <a:headEnd type="triangle" w="sm" len="lg"/>
          <a:tailEnd type="triangle" w="sm" len="lg"/>
        </a:ln>
      </xdr:spPr>
    </xdr:sp>
    <xdr:clientData/>
  </xdr:twoCellAnchor>
  <xdr:twoCellAnchor>
    <xdr:from>
      <xdr:col>6</xdr:col>
      <xdr:colOff>685800</xdr:colOff>
      <xdr:row>89</xdr:row>
      <xdr:rowOff>69850</xdr:rowOff>
    </xdr:from>
    <xdr:to>
      <xdr:col>6</xdr:col>
      <xdr:colOff>1695450</xdr:colOff>
      <xdr:row>89</xdr:row>
      <xdr:rowOff>69850</xdr:rowOff>
    </xdr:to>
    <xdr:sp macro="" textlink="">
      <xdr:nvSpPr>
        <xdr:cNvPr id="5501622" name="Line 287">
          <a:extLst>
            <a:ext uri="{FF2B5EF4-FFF2-40B4-BE49-F238E27FC236}">
              <a16:creationId xmlns:a16="http://schemas.microsoft.com/office/drawing/2014/main" id="{00000000-0008-0000-0700-0000B6F25300}"/>
            </a:ext>
          </a:extLst>
        </xdr:cNvPr>
        <xdr:cNvSpPr>
          <a:spLocks noChangeShapeType="1"/>
        </xdr:cNvSpPr>
      </xdr:nvSpPr>
      <xdr:spPr bwMode="auto">
        <a:xfrm>
          <a:off x="4965700" y="14916150"/>
          <a:ext cx="100965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990600</xdr:colOff>
      <xdr:row>93</xdr:row>
      <xdr:rowOff>25400</xdr:rowOff>
    </xdr:from>
    <xdr:to>
      <xdr:col>6</xdr:col>
      <xdr:colOff>1397000</xdr:colOff>
      <xdr:row>93</xdr:row>
      <xdr:rowOff>25400</xdr:rowOff>
    </xdr:to>
    <xdr:sp macro="" textlink="">
      <xdr:nvSpPr>
        <xdr:cNvPr id="5501623" name="Line 288">
          <a:extLst>
            <a:ext uri="{FF2B5EF4-FFF2-40B4-BE49-F238E27FC236}">
              <a16:creationId xmlns:a16="http://schemas.microsoft.com/office/drawing/2014/main" id="{00000000-0008-0000-0700-0000B7F25300}"/>
            </a:ext>
          </a:extLst>
        </xdr:cNvPr>
        <xdr:cNvSpPr>
          <a:spLocks noChangeShapeType="1"/>
        </xdr:cNvSpPr>
      </xdr:nvSpPr>
      <xdr:spPr bwMode="auto">
        <a:xfrm>
          <a:off x="5270500" y="15519400"/>
          <a:ext cx="40640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850900</xdr:colOff>
      <xdr:row>87</xdr:row>
      <xdr:rowOff>57150</xdr:rowOff>
    </xdr:from>
    <xdr:to>
      <xdr:col>8</xdr:col>
      <xdr:colOff>44450</xdr:colOff>
      <xdr:row>87</xdr:row>
      <xdr:rowOff>57150</xdr:rowOff>
    </xdr:to>
    <xdr:sp macro="" textlink="">
      <xdr:nvSpPr>
        <xdr:cNvPr id="5501624" name="Line 289">
          <a:extLst>
            <a:ext uri="{FF2B5EF4-FFF2-40B4-BE49-F238E27FC236}">
              <a16:creationId xmlns:a16="http://schemas.microsoft.com/office/drawing/2014/main" id="{00000000-0008-0000-0700-0000B8F25300}"/>
            </a:ext>
          </a:extLst>
        </xdr:cNvPr>
        <xdr:cNvSpPr>
          <a:spLocks noChangeShapeType="1"/>
        </xdr:cNvSpPr>
      </xdr:nvSpPr>
      <xdr:spPr bwMode="auto">
        <a:xfrm>
          <a:off x="5130800" y="14579600"/>
          <a:ext cx="1524000" cy="0"/>
        </a:xfrm>
        <a:prstGeom prst="line">
          <a:avLst/>
        </a:prstGeom>
        <a:noFill/>
        <a:ln w="6350">
          <a:solidFill>
            <a:srgbClr val="92D050"/>
          </a:solidFill>
          <a:round/>
          <a:headEnd/>
          <a:tailEnd/>
        </a:ln>
      </xdr:spPr>
    </xdr:sp>
    <xdr:clientData/>
  </xdr:twoCellAnchor>
  <xdr:twoCellAnchor>
    <xdr:from>
      <xdr:col>6</xdr:col>
      <xdr:colOff>698500</xdr:colOff>
      <xdr:row>88</xdr:row>
      <xdr:rowOff>57150</xdr:rowOff>
    </xdr:from>
    <xdr:to>
      <xdr:col>8</xdr:col>
      <xdr:colOff>57150</xdr:colOff>
      <xdr:row>88</xdr:row>
      <xdr:rowOff>57150</xdr:rowOff>
    </xdr:to>
    <xdr:sp macro="" textlink="">
      <xdr:nvSpPr>
        <xdr:cNvPr id="5501625" name="Line 290">
          <a:extLst>
            <a:ext uri="{FF2B5EF4-FFF2-40B4-BE49-F238E27FC236}">
              <a16:creationId xmlns:a16="http://schemas.microsoft.com/office/drawing/2014/main" id="{00000000-0008-0000-0700-0000B9F25300}"/>
            </a:ext>
          </a:extLst>
        </xdr:cNvPr>
        <xdr:cNvSpPr>
          <a:spLocks noChangeShapeType="1"/>
        </xdr:cNvSpPr>
      </xdr:nvSpPr>
      <xdr:spPr bwMode="auto">
        <a:xfrm>
          <a:off x="4978400" y="14738350"/>
          <a:ext cx="1689100" cy="0"/>
        </a:xfrm>
        <a:prstGeom prst="line">
          <a:avLst/>
        </a:prstGeom>
        <a:noFill/>
        <a:ln w="6350">
          <a:solidFill>
            <a:srgbClr val="92D050"/>
          </a:solidFill>
          <a:round/>
          <a:headEnd/>
          <a:tailEnd/>
        </a:ln>
      </xdr:spPr>
    </xdr:sp>
    <xdr:clientData/>
  </xdr:twoCellAnchor>
  <xdr:twoCellAnchor>
    <xdr:from>
      <xdr:col>6</xdr:col>
      <xdr:colOff>698500</xdr:colOff>
      <xdr:row>90</xdr:row>
      <xdr:rowOff>139700</xdr:rowOff>
    </xdr:from>
    <xdr:to>
      <xdr:col>8</xdr:col>
      <xdr:colOff>69850</xdr:colOff>
      <xdr:row>90</xdr:row>
      <xdr:rowOff>139700</xdr:rowOff>
    </xdr:to>
    <xdr:sp macro="" textlink="">
      <xdr:nvSpPr>
        <xdr:cNvPr id="5501626" name="Line 291">
          <a:extLst>
            <a:ext uri="{FF2B5EF4-FFF2-40B4-BE49-F238E27FC236}">
              <a16:creationId xmlns:a16="http://schemas.microsoft.com/office/drawing/2014/main" id="{00000000-0008-0000-0700-0000BAF25300}"/>
            </a:ext>
          </a:extLst>
        </xdr:cNvPr>
        <xdr:cNvSpPr>
          <a:spLocks noChangeShapeType="1"/>
        </xdr:cNvSpPr>
      </xdr:nvSpPr>
      <xdr:spPr bwMode="auto">
        <a:xfrm>
          <a:off x="4978400" y="15157450"/>
          <a:ext cx="1701800" cy="0"/>
        </a:xfrm>
        <a:prstGeom prst="line">
          <a:avLst/>
        </a:prstGeom>
        <a:noFill/>
        <a:ln w="6350">
          <a:solidFill>
            <a:srgbClr val="92D050"/>
          </a:solidFill>
          <a:round/>
          <a:headEnd/>
          <a:tailEnd/>
        </a:ln>
      </xdr:spPr>
    </xdr:sp>
    <xdr:clientData/>
  </xdr:twoCellAnchor>
  <xdr:twoCellAnchor>
    <xdr:from>
      <xdr:col>6</xdr:col>
      <xdr:colOff>977900</xdr:colOff>
      <xdr:row>92</xdr:row>
      <xdr:rowOff>44450</xdr:rowOff>
    </xdr:from>
    <xdr:to>
      <xdr:col>8</xdr:col>
      <xdr:colOff>44450</xdr:colOff>
      <xdr:row>92</xdr:row>
      <xdr:rowOff>44450</xdr:rowOff>
    </xdr:to>
    <xdr:sp macro="" textlink="">
      <xdr:nvSpPr>
        <xdr:cNvPr id="5501627" name="Line 292">
          <a:extLst>
            <a:ext uri="{FF2B5EF4-FFF2-40B4-BE49-F238E27FC236}">
              <a16:creationId xmlns:a16="http://schemas.microsoft.com/office/drawing/2014/main" id="{00000000-0008-0000-0700-0000BBF25300}"/>
            </a:ext>
          </a:extLst>
        </xdr:cNvPr>
        <xdr:cNvSpPr>
          <a:spLocks noChangeShapeType="1"/>
        </xdr:cNvSpPr>
      </xdr:nvSpPr>
      <xdr:spPr bwMode="auto">
        <a:xfrm>
          <a:off x="5257800" y="15379700"/>
          <a:ext cx="1397000" cy="0"/>
        </a:xfrm>
        <a:prstGeom prst="line">
          <a:avLst/>
        </a:prstGeom>
        <a:noFill/>
        <a:ln w="6350">
          <a:solidFill>
            <a:srgbClr val="92D050"/>
          </a:solidFill>
          <a:round/>
          <a:headEnd/>
          <a:tailEnd/>
        </a:ln>
      </xdr:spPr>
    </xdr:sp>
    <xdr:clientData/>
  </xdr:twoCellAnchor>
  <xdr:twoCellAnchor>
    <xdr:from>
      <xdr:col>6</xdr:col>
      <xdr:colOff>1790700</xdr:colOff>
      <xdr:row>80</xdr:row>
      <xdr:rowOff>0</xdr:rowOff>
    </xdr:from>
    <xdr:to>
      <xdr:col>6</xdr:col>
      <xdr:colOff>1790700</xdr:colOff>
      <xdr:row>87</xdr:row>
      <xdr:rowOff>63500</xdr:rowOff>
    </xdr:to>
    <xdr:sp macro="" textlink="">
      <xdr:nvSpPr>
        <xdr:cNvPr id="5501628" name="Line 293">
          <a:extLst>
            <a:ext uri="{FF2B5EF4-FFF2-40B4-BE49-F238E27FC236}">
              <a16:creationId xmlns:a16="http://schemas.microsoft.com/office/drawing/2014/main" id="{00000000-0008-0000-0700-0000BCF25300}"/>
            </a:ext>
          </a:extLst>
        </xdr:cNvPr>
        <xdr:cNvSpPr>
          <a:spLocks noChangeShapeType="1"/>
        </xdr:cNvSpPr>
      </xdr:nvSpPr>
      <xdr:spPr bwMode="auto">
        <a:xfrm>
          <a:off x="6070600" y="13354050"/>
          <a:ext cx="0" cy="1231900"/>
        </a:xfrm>
        <a:prstGeom prst="line">
          <a:avLst/>
        </a:prstGeom>
        <a:noFill/>
        <a:ln w="9525">
          <a:solidFill>
            <a:srgbClr val="92D050"/>
          </a:solidFill>
          <a:prstDash val="sysDot"/>
          <a:round/>
          <a:headEnd type="triangle" w="sm" len="sm"/>
          <a:tailEnd type="triangle" w="sm" len="sm"/>
        </a:ln>
      </xdr:spPr>
    </xdr:sp>
    <xdr:clientData/>
  </xdr:twoCellAnchor>
  <xdr:twoCellAnchor>
    <xdr:from>
      <xdr:col>7</xdr:col>
      <xdr:colOff>190500</xdr:colOff>
      <xdr:row>80</xdr:row>
      <xdr:rowOff>0</xdr:rowOff>
    </xdr:from>
    <xdr:to>
      <xdr:col>7</xdr:col>
      <xdr:colOff>190500</xdr:colOff>
      <xdr:row>90</xdr:row>
      <xdr:rowOff>133350</xdr:rowOff>
    </xdr:to>
    <xdr:sp macro="" textlink="">
      <xdr:nvSpPr>
        <xdr:cNvPr id="5501629" name="Line 294">
          <a:extLst>
            <a:ext uri="{FF2B5EF4-FFF2-40B4-BE49-F238E27FC236}">
              <a16:creationId xmlns:a16="http://schemas.microsoft.com/office/drawing/2014/main" id="{00000000-0008-0000-0700-0000BDF25300}"/>
            </a:ext>
          </a:extLst>
        </xdr:cNvPr>
        <xdr:cNvSpPr>
          <a:spLocks noChangeShapeType="1"/>
        </xdr:cNvSpPr>
      </xdr:nvSpPr>
      <xdr:spPr bwMode="auto">
        <a:xfrm>
          <a:off x="6330950" y="13354050"/>
          <a:ext cx="0" cy="1797050"/>
        </a:xfrm>
        <a:prstGeom prst="line">
          <a:avLst/>
        </a:prstGeom>
        <a:noFill/>
        <a:ln w="9525">
          <a:solidFill>
            <a:srgbClr val="92D050"/>
          </a:solidFill>
          <a:prstDash val="sysDot"/>
          <a:round/>
          <a:headEnd type="triangle" w="sm" len="sm"/>
          <a:tailEnd type="triangle" w="sm" len="sm"/>
        </a:ln>
      </xdr:spPr>
    </xdr:sp>
    <xdr:clientData/>
  </xdr:twoCellAnchor>
  <xdr:twoCellAnchor>
    <xdr:from>
      <xdr:col>8</xdr:col>
      <xdr:colOff>44450</xdr:colOff>
      <xdr:row>87</xdr:row>
      <xdr:rowOff>57150</xdr:rowOff>
    </xdr:from>
    <xdr:to>
      <xdr:col>8</xdr:col>
      <xdr:colOff>44450</xdr:colOff>
      <xdr:row>88</xdr:row>
      <xdr:rowOff>57150</xdr:rowOff>
    </xdr:to>
    <xdr:sp macro="" textlink="">
      <xdr:nvSpPr>
        <xdr:cNvPr id="5501630" name="Line 295">
          <a:extLst>
            <a:ext uri="{FF2B5EF4-FFF2-40B4-BE49-F238E27FC236}">
              <a16:creationId xmlns:a16="http://schemas.microsoft.com/office/drawing/2014/main" id="{00000000-0008-0000-0700-0000BEF25300}"/>
            </a:ext>
          </a:extLst>
        </xdr:cNvPr>
        <xdr:cNvSpPr>
          <a:spLocks noChangeShapeType="1"/>
        </xdr:cNvSpPr>
      </xdr:nvSpPr>
      <xdr:spPr bwMode="auto">
        <a:xfrm>
          <a:off x="6654800" y="14579600"/>
          <a:ext cx="0" cy="158750"/>
        </a:xfrm>
        <a:prstGeom prst="line">
          <a:avLst/>
        </a:prstGeom>
        <a:noFill/>
        <a:ln w="3175">
          <a:solidFill>
            <a:srgbClr val="92D050"/>
          </a:solidFill>
          <a:prstDash val="sysDot"/>
          <a:round/>
          <a:headEnd type="triangle" w="sm" len="sm"/>
          <a:tailEnd type="triangle" w="sm" len="sm"/>
        </a:ln>
      </xdr:spPr>
    </xdr:sp>
    <xdr:clientData/>
  </xdr:twoCellAnchor>
  <xdr:twoCellAnchor>
    <xdr:from>
      <xdr:col>8</xdr:col>
      <xdr:colOff>44450</xdr:colOff>
      <xdr:row>90</xdr:row>
      <xdr:rowOff>139700</xdr:rowOff>
    </xdr:from>
    <xdr:to>
      <xdr:col>8</xdr:col>
      <xdr:colOff>44450</xdr:colOff>
      <xdr:row>92</xdr:row>
      <xdr:rowOff>44450</xdr:rowOff>
    </xdr:to>
    <xdr:sp macro="" textlink="">
      <xdr:nvSpPr>
        <xdr:cNvPr id="5501631" name="Line 296">
          <a:extLst>
            <a:ext uri="{FF2B5EF4-FFF2-40B4-BE49-F238E27FC236}">
              <a16:creationId xmlns:a16="http://schemas.microsoft.com/office/drawing/2014/main" id="{00000000-0008-0000-0700-0000BFF25300}"/>
            </a:ext>
          </a:extLst>
        </xdr:cNvPr>
        <xdr:cNvSpPr>
          <a:spLocks noChangeShapeType="1"/>
        </xdr:cNvSpPr>
      </xdr:nvSpPr>
      <xdr:spPr bwMode="auto">
        <a:xfrm>
          <a:off x="6654800" y="15157450"/>
          <a:ext cx="0" cy="222250"/>
        </a:xfrm>
        <a:prstGeom prst="line">
          <a:avLst/>
        </a:prstGeom>
        <a:noFill/>
        <a:ln w="9525">
          <a:solidFill>
            <a:srgbClr val="92D050"/>
          </a:solidFill>
          <a:prstDash val="sysDot"/>
          <a:round/>
          <a:headEnd type="triangle" w="sm" len="sm"/>
          <a:tailEnd type="triangle" w="sm" len="sm"/>
        </a:ln>
      </xdr:spPr>
    </xdr:sp>
    <xdr:clientData/>
  </xdr:twoCellAnchor>
  <xdr:twoCellAnchor>
    <xdr:from>
      <xdr:col>6</xdr:col>
      <xdr:colOff>0</xdr:colOff>
      <xdr:row>84</xdr:row>
      <xdr:rowOff>101600</xdr:rowOff>
    </xdr:from>
    <xdr:to>
      <xdr:col>6</xdr:col>
      <xdr:colOff>838200</xdr:colOff>
      <xdr:row>84</xdr:row>
      <xdr:rowOff>101600</xdr:rowOff>
    </xdr:to>
    <xdr:sp macro="" textlink="">
      <xdr:nvSpPr>
        <xdr:cNvPr id="5501632" name="Line 297">
          <a:extLst>
            <a:ext uri="{FF2B5EF4-FFF2-40B4-BE49-F238E27FC236}">
              <a16:creationId xmlns:a16="http://schemas.microsoft.com/office/drawing/2014/main" id="{00000000-0008-0000-0700-0000C0F25300}"/>
            </a:ext>
          </a:extLst>
        </xdr:cNvPr>
        <xdr:cNvSpPr>
          <a:spLocks noChangeShapeType="1"/>
        </xdr:cNvSpPr>
      </xdr:nvSpPr>
      <xdr:spPr bwMode="auto">
        <a:xfrm>
          <a:off x="4279900" y="14128750"/>
          <a:ext cx="838200" cy="0"/>
        </a:xfrm>
        <a:prstGeom prst="line">
          <a:avLst/>
        </a:prstGeom>
        <a:noFill/>
        <a:ln w="9525">
          <a:solidFill>
            <a:srgbClr val="000000"/>
          </a:solidFill>
          <a:round/>
          <a:headEnd/>
          <a:tailEnd/>
        </a:ln>
      </xdr:spPr>
    </xdr:sp>
    <xdr:clientData/>
  </xdr:twoCellAnchor>
  <xdr:twoCellAnchor>
    <xdr:from>
      <xdr:col>6</xdr:col>
      <xdr:colOff>0</xdr:colOff>
      <xdr:row>89</xdr:row>
      <xdr:rowOff>69850</xdr:rowOff>
    </xdr:from>
    <xdr:to>
      <xdr:col>6</xdr:col>
      <xdr:colOff>685800</xdr:colOff>
      <xdr:row>89</xdr:row>
      <xdr:rowOff>69850</xdr:rowOff>
    </xdr:to>
    <xdr:sp macro="" textlink="">
      <xdr:nvSpPr>
        <xdr:cNvPr id="5501633" name="Line 298">
          <a:extLst>
            <a:ext uri="{FF2B5EF4-FFF2-40B4-BE49-F238E27FC236}">
              <a16:creationId xmlns:a16="http://schemas.microsoft.com/office/drawing/2014/main" id="{00000000-0008-0000-0700-0000C1F25300}"/>
            </a:ext>
          </a:extLst>
        </xdr:cNvPr>
        <xdr:cNvSpPr>
          <a:spLocks noChangeShapeType="1"/>
        </xdr:cNvSpPr>
      </xdr:nvSpPr>
      <xdr:spPr bwMode="auto">
        <a:xfrm>
          <a:off x="4279900" y="14916150"/>
          <a:ext cx="685800" cy="0"/>
        </a:xfrm>
        <a:prstGeom prst="line">
          <a:avLst/>
        </a:prstGeom>
        <a:noFill/>
        <a:ln w="9525">
          <a:solidFill>
            <a:srgbClr val="92D050"/>
          </a:solidFill>
          <a:round/>
          <a:headEnd/>
          <a:tailEnd/>
        </a:ln>
      </xdr:spPr>
    </xdr:sp>
    <xdr:clientData/>
  </xdr:twoCellAnchor>
  <xdr:twoCellAnchor>
    <xdr:from>
      <xdr:col>6</xdr:col>
      <xdr:colOff>0</xdr:colOff>
      <xdr:row>93</xdr:row>
      <xdr:rowOff>25400</xdr:rowOff>
    </xdr:from>
    <xdr:to>
      <xdr:col>6</xdr:col>
      <xdr:colOff>971550</xdr:colOff>
      <xdr:row>93</xdr:row>
      <xdr:rowOff>25400</xdr:rowOff>
    </xdr:to>
    <xdr:sp macro="" textlink="">
      <xdr:nvSpPr>
        <xdr:cNvPr id="5501634" name="Line 299">
          <a:extLst>
            <a:ext uri="{FF2B5EF4-FFF2-40B4-BE49-F238E27FC236}">
              <a16:creationId xmlns:a16="http://schemas.microsoft.com/office/drawing/2014/main" id="{00000000-0008-0000-0700-0000C2F25300}"/>
            </a:ext>
          </a:extLst>
        </xdr:cNvPr>
        <xdr:cNvSpPr>
          <a:spLocks noChangeShapeType="1"/>
        </xdr:cNvSpPr>
      </xdr:nvSpPr>
      <xdr:spPr bwMode="auto">
        <a:xfrm>
          <a:off x="4279900" y="15519400"/>
          <a:ext cx="971550" cy="0"/>
        </a:xfrm>
        <a:prstGeom prst="line">
          <a:avLst/>
        </a:prstGeom>
        <a:noFill/>
        <a:ln w="9525">
          <a:solidFill>
            <a:srgbClr val="92D050"/>
          </a:solidFill>
          <a:round/>
          <a:headEnd/>
          <a:tailEnd/>
        </a:ln>
      </xdr:spPr>
    </xdr:sp>
    <xdr:clientData/>
  </xdr:twoCellAnchor>
  <xdr:twoCellAnchor>
    <xdr:from>
      <xdr:col>6</xdr:col>
      <xdr:colOff>0</xdr:colOff>
      <xdr:row>96</xdr:row>
      <xdr:rowOff>76200</xdr:rowOff>
    </xdr:from>
    <xdr:to>
      <xdr:col>6</xdr:col>
      <xdr:colOff>476250</xdr:colOff>
      <xdr:row>96</xdr:row>
      <xdr:rowOff>76200</xdr:rowOff>
    </xdr:to>
    <xdr:sp macro="" textlink="">
      <xdr:nvSpPr>
        <xdr:cNvPr id="5501635" name="Line 300">
          <a:extLst>
            <a:ext uri="{FF2B5EF4-FFF2-40B4-BE49-F238E27FC236}">
              <a16:creationId xmlns:a16="http://schemas.microsoft.com/office/drawing/2014/main" id="{00000000-0008-0000-0700-0000C3F25300}"/>
            </a:ext>
          </a:extLst>
        </xdr:cNvPr>
        <xdr:cNvSpPr>
          <a:spLocks noChangeShapeType="1"/>
        </xdr:cNvSpPr>
      </xdr:nvSpPr>
      <xdr:spPr bwMode="auto">
        <a:xfrm>
          <a:off x="4279900" y="16052800"/>
          <a:ext cx="476250" cy="0"/>
        </a:xfrm>
        <a:prstGeom prst="line">
          <a:avLst/>
        </a:prstGeom>
        <a:noFill/>
        <a:ln w="9525">
          <a:solidFill>
            <a:srgbClr val="000000"/>
          </a:solidFill>
          <a:round/>
          <a:headEnd/>
          <a:tailEnd/>
        </a:ln>
      </xdr:spPr>
    </xdr:sp>
    <xdr:clientData/>
  </xdr:twoCellAnchor>
  <xdr:twoCellAnchor>
    <xdr:from>
      <xdr:col>7</xdr:col>
      <xdr:colOff>152400</xdr:colOff>
      <xdr:row>103</xdr:row>
      <xdr:rowOff>0</xdr:rowOff>
    </xdr:from>
    <xdr:to>
      <xdr:col>7</xdr:col>
      <xdr:colOff>152400</xdr:colOff>
      <xdr:row>104</xdr:row>
      <xdr:rowOff>12700</xdr:rowOff>
    </xdr:to>
    <xdr:sp macro="" textlink="">
      <xdr:nvSpPr>
        <xdr:cNvPr id="5501636" name="Line 301">
          <a:extLst>
            <a:ext uri="{FF2B5EF4-FFF2-40B4-BE49-F238E27FC236}">
              <a16:creationId xmlns:a16="http://schemas.microsoft.com/office/drawing/2014/main" id="{00000000-0008-0000-0700-0000C4F25300}"/>
            </a:ext>
          </a:extLst>
        </xdr:cNvPr>
        <xdr:cNvSpPr>
          <a:spLocks noChangeShapeType="1"/>
        </xdr:cNvSpPr>
      </xdr:nvSpPr>
      <xdr:spPr bwMode="auto">
        <a:xfrm>
          <a:off x="6292850" y="17138650"/>
          <a:ext cx="0" cy="184150"/>
        </a:xfrm>
        <a:prstGeom prst="line">
          <a:avLst/>
        </a:prstGeom>
        <a:noFill/>
        <a:ln w="9525">
          <a:solidFill>
            <a:srgbClr val="000000"/>
          </a:solidFill>
          <a:round/>
          <a:headEnd/>
          <a:tailEnd/>
        </a:ln>
      </xdr:spPr>
    </xdr:sp>
    <xdr:clientData/>
  </xdr:twoCellAnchor>
  <xdr:twoCellAnchor>
    <xdr:from>
      <xdr:col>6</xdr:col>
      <xdr:colOff>0</xdr:colOff>
      <xdr:row>81</xdr:row>
      <xdr:rowOff>76200</xdr:rowOff>
    </xdr:from>
    <xdr:to>
      <xdr:col>6</xdr:col>
      <xdr:colOff>152400</xdr:colOff>
      <xdr:row>81</xdr:row>
      <xdr:rowOff>76200</xdr:rowOff>
    </xdr:to>
    <xdr:sp macro="" textlink="">
      <xdr:nvSpPr>
        <xdr:cNvPr id="5501637" name="Line 302">
          <a:extLst>
            <a:ext uri="{FF2B5EF4-FFF2-40B4-BE49-F238E27FC236}">
              <a16:creationId xmlns:a16="http://schemas.microsoft.com/office/drawing/2014/main" id="{00000000-0008-0000-0700-0000C5F25300}"/>
            </a:ext>
          </a:extLst>
        </xdr:cNvPr>
        <xdr:cNvSpPr>
          <a:spLocks noChangeShapeType="1"/>
        </xdr:cNvSpPr>
      </xdr:nvSpPr>
      <xdr:spPr bwMode="auto">
        <a:xfrm>
          <a:off x="4279900" y="13601700"/>
          <a:ext cx="152400" cy="0"/>
        </a:xfrm>
        <a:prstGeom prst="line">
          <a:avLst/>
        </a:prstGeom>
        <a:noFill/>
        <a:ln w="9525">
          <a:solidFill>
            <a:srgbClr val="000000"/>
          </a:solidFill>
          <a:round/>
          <a:headEnd/>
          <a:tailEnd/>
        </a:ln>
      </xdr:spPr>
    </xdr:sp>
    <xdr:clientData/>
  </xdr:twoCellAnchor>
  <xdr:twoCellAnchor>
    <xdr:from>
      <xdr:col>6</xdr:col>
      <xdr:colOff>1778000</xdr:colOff>
      <xdr:row>83</xdr:row>
      <xdr:rowOff>82550</xdr:rowOff>
    </xdr:from>
    <xdr:to>
      <xdr:col>9</xdr:col>
      <xdr:colOff>0</xdr:colOff>
      <xdr:row>83</xdr:row>
      <xdr:rowOff>82550</xdr:rowOff>
    </xdr:to>
    <xdr:sp macro="" textlink="">
      <xdr:nvSpPr>
        <xdr:cNvPr id="5501638" name="Line 303">
          <a:extLst>
            <a:ext uri="{FF2B5EF4-FFF2-40B4-BE49-F238E27FC236}">
              <a16:creationId xmlns:a16="http://schemas.microsoft.com/office/drawing/2014/main" id="{00000000-0008-0000-0700-0000C6F25300}"/>
            </a:ext>
          </a:extLst>
        </xdr:cNvPr>
        <xdr:cNvSpPr>
          <a:spLocks noChangeShapeType="1"/>
        </xdr:cNvSpPr>
      </xdr:nvSpPr>
      <xdr:spPr bwMode="auto">
        <a:xfrm flipV="1">
          <a:off x="6057900" y="13944600"/>
          <a:ext cx="1022350" cy="0"/>
        </a:xfrm>
        <a:prstGeom prst="line">
          <a:avLst/>
        </a:prstGeom>
        <a:noFill/>
        <a:ln w="9525">
          <a:solidFill>
            <a:srgbClr val="92D050"/>
          </a:solidFill>
          <a:prstDash val="sysDot"/>
          <a:round/>
          <a:headEnd/>
          <a:tailEnd/>
        </a:ln>
      </xdr:spPr>
    </xdr:sp>
    <xdr:clientData/>
  </xdr:twoCellAnchor>
  <xdr:twoCellAnchor>
    <xdr:from>
      <xdr:col>7</xdr:col>
      <xdr:colOff>190500</xdr:colOff>
      <xdr:row>85</xdr:row>
      <xdr:rowOff>76200</xdr:rowOff>
    </xdr:from>
    <xdr:to>
      <xdr:col>9</xdr:col>
      <xdr:colOff>0</xdr:colOff>
      <xdr:row>85</xdr:row>
      <xdr:rowOff>76200</xdr:rowOff>
    </xdr:to>
    <xdr:sp macro="" textlink="">
      <xdr:nvSpPr>
        <xdr:cNvPr id="5501639" name="Line 304">
          <a:extLst>
            <a:ext uri="{FF2B5EF4-FFF2-40B4-BE49-F238E27FC236}">
              <a16:creationId xmlns:a16="http://schemas.microsoft.com/office/drawing/2014/main" id="{00000000-0008-0000-0700-0000C7F25300}"/>
            </a:ext>
          </a:extLst>
        </xdr:cNvPr>
        <xdr:cNvSpPr>
          <a:spLocks noChangeShapeType="1"/>
        </xdr:cNvSpPr>
      </xdr:nvSpPr>
      <xdr:spPr bwMode="auto">
        <a:xfrm flipV="1">
          <a:off x="6330950" y="14274800"/>
          <a:ext cx="749300" cy="0"/>
        </a:xfrm>
        <a:prstGeom prst="line">
          <a:avLst/>
        </a:prstGeom>
        <a:noFill/>
        <a:ln w="9525">
          <a:solidFill>
            <a:srgbClr val="92D050"/>
          </a:solidFill>
          <a:prstDash val="sysDot"/>
          <a:round/>
          <a:headEnd/>
          <a:tailEnd/>
        </a:ln>
      </xdr:spPr>
    </xdr:sp>
    <xdr:clientData/>
  </xdr:twoCellAnchor>
  <xdr:twoCellAnchor>
    <xdr:from>
      <xdr:col>8</xdr:col>
      <xdr:colOff>44450</xdr:colOff>
      <xdr:row>87</xdr:row>
      <xdr:rowOff>133350</xdr:rowOff>
    </xdr:from>
    <xdr:to>
      <xdr:col>9</xdr:col>
      <xdr:colOff>0</xdr:colOff>
      <xdr:row>87</xdr:row>
      <xdr:rowOff>133350</xdr:rowOff>
    </xdr:to>
    <xdr:sp macro="" textlink="">
      <xdr:nvSpPr>
        <xdr:cNvPr id="5501640" name="Line 305">
          <a:extLst>
            <a:ext uri="{FF2B5EF4-FFF2-40B4-BE49-F238E27FC236}">
              <a16:creationId xmlns:a16="http://schemas.microsoft.com/office/drawing/2014/main" id="{00000000-0008-0000-0700-0000C8F25300}"/>
            </a:ext>
          </a:extLst>
        </xdr:cNvPr>
        <xdr:cNvSpPr>
          <a:spLocks noChangeShapeType="1"/>
        </xdr:cNvSpPr>
      </xdr:nvSpPr>
      <xdr:spPr bwMode="auto">
        <a:xfrm flipV="1">
          <a:off x="6654800" y="14655800"/>
          <a:ext cx="425450" cy="0"/>
        </a:xfrm>
        <a:prstGeom prst="line">
          <a:avLst/>
        </a:prstGeom>
        <a:noFill/>
        <a:ln w="9525">
          <a:solidFill>
            <a:srgbClr val="92D050"/>
          </a:solidFill>
          <a:prstDash val="sysDot"/>
          <a:round/>
          <a:headEnd/>
          <a:tailEnd/>
        </a:ln>
      </xdr:spPr>
    </xdr:sp>
    <xdr:clientData/>
  </xdr:twoCellAnchor>
  <xdr:twoCellAnchor>
    <xdr:from>
      <xdr:col>8</xdr:col>
      <xdr:colOff>488950</xdr:colOff>
      <xdr:row>89</xdr:row>
      <xdr:rowOff>88900</xdr:rowOff>
    </xdr:from>
    <xdr:to>
      <xdr:col>9</xdr:col>
      <xdr:colOff>0</xdr:colOff>
      <xdr:row>89</xdr:row>
      <xdr:rowOff>88900</xdr:rowOff>
    </xdr:to>
    <xdr:sp macro="" textlink="">
      <xdr:nvSpPr>
        <xdr:cNvPr id="5501641" name="Line 307">
          <a:extLst>
            <a:ext uri="{FF2B5EF4-FFF2-40B4-BE49-F238E27FC236}">
              <a16:creationId xmlns:a16="http://schemas.microsoft.com/office/drawing/2014/main" id="{00000000-0008-0000-0700-0000C9F25300}"/>
            </a:ext>
          </a:extLst>
        </xdr:cNvPr>
        <xdr:cNvSpPr>
          <a:spLocks noChangeShapeType="1"/>
        </xdr:cNvSpPr>
      </xdr:nvSpPr>
      <xdr:spPr bwMode="auto">
        <a:xfrm flipV="1">
          <a:off x="7080250" y="14935200"/>
          <a:ext cx="0" cy="0"/>
        </a:xfrm>
        <a:prstGeom prst="line">
          <a:avLst/>
        </a:prstGeom>
        <a:noFill/>
        <a:ln w="9525">
          <a:solidFill>
            <a:srgbClr val="000000"/>
          </a:solidFill>
          <a:round/>
          <a:headEnd/>
          <a:tailEnd/>
        </a:ln>
      </xdr:spPr>
    </xdr:sp>
    <xdr:clientData/>
  </xdr:twoCellAnchor>
  <xdr:twoCellAnchor>
    <xdr:from>
      <xdr:col>8</xdr:col>
      <xdr:colOff>44450</xdr:colOff>
      <xdr:row>91</xdr:row>
      <xdr:rowOff>76200</xdr:rowOff>
    </xdr:from>
    <xdr:to>
      <xdr:col>9</xdr:col>
      <xdr:colOff>12700</xdr:colOff>
      <xdr:row>91</xdr:row>
      <xdr:rowOff>76200</xdr:rowOff>
    </xdr:to>
    <xdr:sp macro="" textlink="">
      <xdr:nvSpPr>
        <xdr:cNvPr id="5501642" name="Line 308">
          <a:extLst>
            <a:ext uri="{FF2B5EF4-FFF2-40B4-BE49-F238E27FC236}">
              <a16:creationId xmlns:a16="http://schemas.microsoft.com/office/drawing/2014/main" id="{00000000-0008-0000-0700-0000CAF25300}"/>
            </a:ext>
          </a:extLst>
        </xdr:cNvPr>
        <xdr:cNvSpPr>
          <a:spLocks noChangeShapeType="1"/>
        </xdr:cNvSpPr>
      </xdr:nvSpPr>
      <xdr:spPr bwMode="auto">
        <a:xfrm flipH="1" flipV="1">
          <a:off x="6654800" y="15252700"/>
          <a:ext cx="438150" cy="0"/>
        </a:xfrm>
        <a:prstGeom prst="line">
          <a:avLst/>
        </a:prstGeom>
        <a:noFill/>
        <a:ln w="9525">
          <a:solidFill>
            <a:srgbClr val="92D050"/>
          </a:solidFill>
          <a:prstDash val="sysDot"/>
          <a:round/>
          <a:headEnd type="none" w="sm" len="sm"/>
          <a:tailEnd type="none" w="sm" len="sm"/>
        </a:ln>
      </xdr:spPr>
    </xdr:sp>
    <xdr:clientData/>
  </xdr:twoCellAnchor>
  <xdr:twoCellAnchor>
    <xdr:from>
      <xdr:col>8</xdr:col>
      <xdr:colOff>488950</xdr:colOff>
      <xdr:row>96</xdr:row>
      <xdr:rowOff>76200</xdr:rowOff>
    </xdr:from>
    <xdr:to>
      <xdr:col>9</xdr:col>
      <xdr:colOff>0</xdr:colOff>
      <xdr:row>96</xdr:row>
      <xdr:rowOff>76200</xdr:rowOff>
    </xdr:to>
    <xdr:sp macro="" textlink="">
      <xdr:nvSpPr>
        <xdr:cNvPr id="5501643" name="Line 309">
          <a:extLst>
            <a:ext uri="{FF2B5EF4-FFF2-40B4-BE49-F238E27FC236}">
              <a16:creationId xmlns:a16="http://schemas.microsoft.com/office/drawing/2014/main" id="{00000000-0008-0000-0700-0000CBF25300}"/>
            </a:ext>
          </a:extLst>
        </xdr:cNvPr>
        <xdr:cNvSpPr>
          <a:spLocks noChangeShapeType="1"/>
        </xdr:cNvSpPr>
      </xdr:nvSpPr>
      <xdr:spPr bwMode="auto">
        <a:xfrm>
          <a:off x="7080250" y="16052800"/>
          <a:ext cx="0" cy="0"/>
        </a:xfrm>
        <a:prstGeom prst="line">
          <a:avLst/>
        </a:prstGeom>
        <a:noFill/>
        <a:ln w="9525">
          <a:solidFill>
            <a:srgbClr val="000000"/>
          </a:solidFill>
          <a:round/>
          <a:headEnd/>
          <a:tailEnd/>
        </a:ln>
      </xdr:spPr>
    </xdr:sp>
    <xdr:clientData/>
  </xdr:twoCellAnchor>
  <xdr:twoCellAnchor>
    <xdr:from>
      <xdr:col>8</xdr:col>
      <xdr:colOff>488950</xdr:colOff>
      <xdr:row>100</xdr:row>
      <xdr:rowOff>88900</xdr:rowOff>
    </xdr:from>
    <xdr:to>
      <xdr:col>9</xdr:col>
      <xdr:colOff>0</xdr:colOff>
      <xdr:row>100</xdr:row>
      <xdr:rowOff>88900</xdr:rowOff>
    </xdr:to>
    <xdr:sp macro="" textlink="">
      <xdr:nvSpPr>
        <xdr:cNvPr id="5501644" name="Line 310">
          <a:extLst>
            <a:ext uri="{FF2B5EF4-FFF2-40B4-BE49-F238E27FC236}">
              <a16:creationId xmlns:a16="http://schemas.microsoft.com/office/drawing/2014/main" id="{00000000-0008-0000-0700-0000CCF25300}"/>
            </a:ext>
          </a:extLst>
        </xdr:cNvPr>
        <xdr:cNvSpPr>
          <a:spLocks noChangeShapeType="1"/>
        </xdr:cNvSpPr>
      </xdr:nvSpPr>
      <xdr:spPr bwMode="auto">
        <a:xfrm>
          <a:off x="7080250" y="16725900"/>
          <a:ext cx="0" cy="0"/>
        </a:xfrm>
        <a:prstGeom prst="line">
          <a:avLst/>
        </a:prstGeom>
        <a:noFill/>
        <a:ln w="9525">
          <a:solidFill>
            <a:srgbClr val="000000"/>
          </a:solidFill>
          <a:round/>
          <a:headEnd/>
          <a:tailEnd/>
        </a:ln>
      </xdr:spPr>
    </xdr:sp>
    <xdr:clientData/>
  </xdr:twoCellAnchor>
  <xdr:twoCellAnchor>
    <xdr:from>
      <xdr:col>8</xdr:col>
      <xdr:colOff>222250</xdr:colOff>
      <xdr:row>89</xdr:row>
      <xdr:rowOff>88900</xdr:rowOff>
    </xdr:from>
    <xdr:to>
      <xdr:col>8</xdr:col>
      <xdr:colOff>463550</xdr:colOff>
      <xdr:row>89</xdr:row>
      <xdr:rowOff>88900</xdr:rowOff>
    </xdr:to>
    <xdr:sp macro="" textlink="">
      <xdr:nvSpPr>
        <xdr:cNvPr id="5501645" name="Line 278">
          <a:extLst>
            <a:ext uri="{FF2B5EF4-FFF2-40B4-BE49-F238E27FC236}">
              <a16:creationId xmlns:a16="http://schemas.microsoft.com/office/drawing/2014/main" id="{00000000-0008-0000-0700-0000CDF25300}"/>
            </a:ext>
          </a:extLst>
        </xdr:cNvPr>
        <xdr:cNvSpPr>
          <a:spLocks noChangeShapeType="1"/>
        </xdr:cNvSpPr>
      </xdr:nvSpPr>
      <xdr:spPr bwMode="auto">
        <a:xfrm>
          <a:off x="6832600" y="14935200"/>
          <a:ext cx="241300" cy="0"/>
        </a:xfrm>
        <a:prstGeom prst="line">
          <a:avLst/>
        </a:prstGeom>
        <a:noFill/>
        <a:ln w="6350">
          <a:solidFill>
            <a:srgbClr val="000000"/>
          </a:solidFill>
          <a:round/>
          <a:headEnd/>
          <a:tailEnd/>
        </a:ln>
      </xdr:spPr>
    </xdr:sp>
    <xdr:clientData/>
  </xdr:twoCellAnchor>
  <xdr:twoCellAnchor>
    <xdr:from>
      <xdr:col>17</xdr:col>
      <xdr:colOff>69850</xdr:colOff>
      <xdr:row>1</xdr:row>
      <xdr:rowOff>12700</xdr:rowOff>
    </xdr:from>
    <xdr:to>
      <xdr:col>19</xdr:col>
      <xdr:colOff>0</xdr:colOff>
      <xdr:row>31</xdr:row>
      <xdr:rowOff>101600</xdr:rowOff>
    </xdr:to>
    <xdr:grpSp>
      <xdr:nvGrpSpPr>
        <xdr:cNvPr id="5501646" name="Group 232">
          <a:extLst>
            <a:ext uri="{FF2B5EF4-FFF2-40B4-BE49-F238E27FC236}">
              <a16:creationId xmlns:a16="http://schemas.microsoft.com/office/drawing/2014/main" id="{00000000-0008-0000-0700-0000CEF25300}"/>
            </a:ext>
          </a:extLst>
        </xdr:cNvPr>
        <xdr:cNvGrpSpPr>
          <a:grpSpLocks/>
        </xdr:cNvGrpSpPr>
      </xdr:nvGrpSpPr>
      <xdr:grpSpPr bwMode="auto">
        <a:xfrm>
          <a:off x="12995275" y="184150"/>
          <a:ext cx="2082800" cy="5127625"/>
          <a:chOff x="3421" y="5379"/>
          <a:chExt cx="2289" cy="5759"/>
        </a:xfrm>
      </xdr:grpSpPr>
      <xdr:grpSp>
        <xdr:nvGrpSpPr>
          <xdr:cNvPr id="5501685" name="Group 233">
            <a:extLst>
              <a:ext uri="{FF2B5EF4-FFF2-40B4-BE49-F238E27FC236}">
                <a16:creationId xmlns:a16="http://schemas.microsoft.com/office/drawing/2014/main" id="{00000000-0008-0000-0700-0000F5F25300}"/>
              </a:ext>
            </a:extLst>
          </xdr:cNvPr>
          <xdr:cNvGrpSpPr>
            <a:grpSpLocks/>
          </xdr:cNvGrpSpPr>
        </xdr:nvGrpSpPr>
        <xdr:grpSpPr bwMode="auto">
          <a:xfrm>
            <a:off x="4047" y="5379"/>
            <a:ext cx="515" cy="4096"/>
            <a:chOff x="4047" y="5379"/>
            <a:chExt cx="515" cy="4096"/>
          </a:xfrm>
        </xdr:grpSpPr>
        <xdr:sp macro="" textlink="">
          <xdr:nvSpPr>
            <xdr:cNvPr id="5501703" name="Arc 234">
              <a:extLst>
                <a:ext uri="{FF2B5EF4-FFF2-40B4-BE49-F238E27FC236}">
                  <a16:creationId xmlns:a16="http://schemas.microsoft.com/office/drawing/2014/main" id="{00000000-0008-0000-0700-000007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04" name="Group 235">
              <a:extLst>
                <a:ext uri="{FF2B5EF4-FFF2-40B4-BE49-F238E27FC236}">
                  <a16:creationId xmlns:a16="http://schemas.microsoft.com/office/drawing/2014/main" id="{00000000-0008-0000-0700-000008F35300}"/>
                </a:ext>
              </a:extLst>
            </xdr:cNvPr>
            <xdr:cNvGrpSpPr>
              <a:grpSpLocks/>
            </xdr:cNvGrpSpPr>
          </xdr:nvGrpSpPr>
          <xdr:grpSpPr bwMode="auto">
            <a:xfrm>
              <a:off x="4047" y="6306"/>
              <a:ext cx="285" cy="3169"/>
              <a:chOff x="4050" y="6306"/>
              <a:chExt cx="285" cy="3169"/>
            </a:xfrm>
          </xdr:grpSpPr>
          <xdr:sp macro="" textlink="">
            <xdr:nvSpPr>
              <xdr:cNvPr id="5501705" name="Line 236">
                <a:extLst>
                  <a:ext uri="{FF2B5EF4-FFF2-40B4-BE49-F238E27FC236}">
                    <a16:creationId xmlns:a16="http://schemas.microsoft.com/office/drawing/2014/main" id="{00000000-0008-0000-0700-000009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06" name="Line 237">
                <a:extLst>
                  <a:ext uri="{FF2B5EF4-FFF2-40B4-BE49-F238E27FC236}">
                    <a16:creationId xmlns:a16="http://schemas.microsoft.com/office/drawing/2014/main" id="{00000000-0008-0000-0700-00000A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7" name="Line 238">
                <a:extLst>
                  <a:ext uri="{FF2B5EF4-FFF2-40B4-BE49-F238E27FC236}">
                    <a16:creationId xmlns:a16="http://schemas.microsoft.com/office/drawing/2014/main" id="{00000000-0008-0000-0700-00000B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8" name="Line 239">
                <a:extLst>
                  <a:ext uri="{FF2B5EF4-FFF2-40B4-BE49-F238E27FC236}">
                    <a16:creationId xmlns:a16="http://schemas.microsoft.com/office/drawing/2014/main" id="{00000000-0008-0000-0700-00000C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9" name="Line 240">
                <a:extLst>
                  <a:ext uri="{FF2B5EF4-FFF2-40B4-BE49-F238E27FC236}">
                    <a16:creationId xmlns:a16="http://schemas.microsoft.com/office/drawing/2014/main" id="{00000000-0008-0000-0700-00000D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686" name="Group 241">
            <a:extLst>
              <a:ext uri="{FF2B5EF4-FFF2-40B4-BE49-F238E27FC236}">
                <a16:creationId xmlns:a16="http://schemas.microsoft.com/office/drawing/2014/main" id="{00000000-0008-0000-0700-0000F6F25300}"/>
              </a:ext>
            </a:extLst>
          </xdr:cNvPr>
          <xdr:cNvGrpSpPr>
            <a:grpSpLocks/>
          </xdr:cNvGrpSpPr>
        </xdr:nvGrpSpPr>
        <xdr:grpSpPr bwMode="auto">
          <a:xfrm flipH="1">
            <a:off x="4560" y="5379"/>
            <a:ext cx="515" cy="4096"/>
            <a:chOff x="4047" y="5379"/>
            <a:chExt cx="515" cy="4096"/>
          </a:xfrm>
        </xdr:grpSpPr>
        <xdr:sp macro="" textlink="">
          <xdr:nvSpPr>
            <xdr:cNvPr id="5501696" name="Arc 242">
              <a:extLst>
                <a:ext uri="{FF2B5EF4-FFF2-40B4-BE49-F238E27FC236}">
                  <a16:creationId xmlns:a16="http://schemas.microsoft.com/office/drawing/2014/main" id="{00000000-0008-0000-0700-000000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697" name="Group 243">
              <a:extLst>
                <a:ext uri="{FF2B5EF4-FFF2-40B4-BE49-F238E27FC236}">
                  <a16:creationId xmlns:a16="http://schemas.microsoft.com/office/drawing/2014/main" id="{00000000-0008-0000-0700-000001F35300}"/>
                </a:ext>
              </a:extLst>
            </xdr:cNvPr>
            <xdr:cNvGrpSpPr>
              <a:grpSpLocks/>
            </xdr:cNvGrpSpPr>
          </xdr:nvGrpSpPr>
          <xdr:grpSpPr bwMode="auto">
            <a:xfrm>
              <a:off x="4047" y="6306"/>
              <a:ext cx="285" cy="3169"/>
              <a:chOff x="4050" y="6306"/>
              <a:chExt cx="285" cy="3169"/>
            </a:xfrm>
          </xdr:grpSpPr>
          <xdr:sp macro="" textlink="">
            <xdr:nvSpPr>
              <xdr:cNvPr id="5501698" name="Line 244">
                <a:extLst>
                  <a:ext uri="{FF2B5EF4-FFF2-40B4-BE49-F238E27FC236}">
                    <a16:creationId xmlns:a16="http://schemas.microsoft.com/office/drawing/2014/main" id="{00000000-0008-0000-0700-000002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699" name="Line 245">
                <a:extLst>
                  <a:ext uri="{FF2B5EF4-FFF2-40B4-BE49-F238E27FC236}">
                    <a16:creationId xmlns:a16="http://schemas.microsoft.com/office/drawing/2014/main" id="{00000000-0008-0000-0700-000003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0" name="Line 246">
                <a:extLst>
                  <a:ext uri="{FF2B5EF4-FFF2-40B4-BE49-F238E27FC236}">
                    <a16:creationId xmlns:a16="http://schemas.microsoft.com/office/drawing/2014/main" id="{00000000-0008-0000-0700-000004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1" name="Line 247">
                <a:extLst>
                  <a:ext uri="{FF2B5EF4-FFF2-40B4-BE49-F238E27FC236}">
                    <a16:creationId xmlns:a16="http://schemas.microsoft.com/office/drawing/2014/main" id="{00000000-0008-0000-0700-000005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2" name="Line 248">
                <a:extLst>
                  <a:ext uri="{FF2B5EF4-FFF2-40B4-BE49-F238E27FC236}">
                    <a16:creationId xmlns:a16="http://schemas.microsoft.com/office/drawing/2014/main" id="{00000000-0008-0000-0700-000006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687" name="Line 249">
            <a:extLst>
              <a:ext uri="{FF2B5EF4-FFF2-40B4-BE49-F238E27FC236}">
                <a16:creationId xmlns:a16="http://schemas.microsoft.com/office/drawing/2014/main" id="{00000000-0008-0000-0700-0000F7F25300}"/>
              </a:ext>
            </a:extLst>
          </xdr:cNvPr>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688" name="Line 250">
            <a:extLst>
              <a:ext uri="{FF2B5EF4-FFF2-40B4-BE49-F238E27FC236}">
                <a16:creationId xmlns:a16="http://schemas.microsoft.com/office/drawing/2014/main" id="{00000000-0008-0000-0700-0000F8F25300}"/>
              </a:ext>
            </a:extLst>
          </xdr:cNvPr>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689" name="Line 251">
            <a:extLst>
              <a:ext uri="{FF2B5EF4-FFF2-40B4-BE49-F238E27FC236}">
                <a16:creationId xmlns:a16="http://schemas.microsoft.com/office/drawing/2014/main" id="{00000000-0008-0000-0700-0000F9F25300}"/>
              </a:ext>
            </a:extLst>
          </xdr:cNvPr>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690" name="Line 252">
            <a:extLst>
              <a:ext uri="{FF2B5EF4-FFF2-40B4-BE49-F238E27FC236}">
                <a16:creationId xmlns:a16="http://schemas.microsoft.com/office/drawing/2014/main" id="{00000000-0008-0000-0700-0000FAF253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691" name="Line 253">
            <a:extLst>
              <a:ext uri="{FF2B5EF4-FFF2-40B4-BE49-F238E27FC236}">
                <a16:creationId xmlns:a16="http://schemas.microsoft.com/office/drawing/2014/main" id="{00000000-0008-0000-0700-0000FBF25300}"/>
              </a:ext>
            </a:extLst>
          </xdr:cNvPr>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692" name="Line 254">
            <a:extLst>
              <a:ext uri="{FF2B5EF4-FFF2-40B4-BE49-F238E27FC236}">
                <a16:creationId xmlns:a16="http://schemas.microsoft.com/office/drawing/2014/main" id="{00000000-0008-0000-0700-0000FCF253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693" name="Line 255">
            <a:extLst>
              <a:ext uri="{FF2B5EF4-FFF2-40B4-BE49-F238E27FC236}">
                <a16:creationId xmlns:a16="http://schemas.microsoft.com/office/drawing/2014/main" id="{00000000-0008-0000-0700-0000FDF253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694" name="Line 256">
            <a:extLst>
              <a:ext uri="{FF2B5EF4-FFF2-40B4-BE49-F238E27FC236}">
                <a16:creationId xmlns:a16="http://schemas.microsoft.com/office/drawing/2014/main" id="{00000000-0008-0000-0700-0000FEF253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695" name="Line 257">
            <a:extLst>
              <a:ext uri="{FF2B5EF4-FFF2-40B4-BE49-F238E27FC236}">
                <a16:creationId xmlns:a16="http://schemas.microsoft.com/office/drawing/2014/main" id="{00000000-0008-0000-0700-0000FFF253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17</xdr:col>
      <xdr:colOff>831850</xdr:colOff>
      <xdr:row>11</xdr:row>
      <xdr:rowOff>101600</xdr:rowOff>
    </xdr:from>
    <xdr:to>
      <xdr:col>18</xdr:col>
      <xdr:colOff>368300</xdr:colOff>
      <xdr:row>11</xdr:row>
      <xdr:rowOff>101600</xdr:rowOff>
    </xdr:to>
    <xdr:sp macro="" textlink="">
      <xdr:nvSpPr>
        <xdr:cNvPr id="5501647" name="Line 268">
          <a:extLst>
            <a:ext uri="{FF2B5EF4-FFF2-40B4-BE49-F238E27FC236}">
              <a16:creationId xmlns:a16="http://schemas.microsoft.com/office/drawing/2014/main" id="{00000000-0008-0000-0700-0000CFF25300}"/>
            </a:ext>
          </a:extLst>
        </xdr:cNvPr>
        <xdr:cNvSpPr>
          <a:spLocks noChangeShapeType="1"/>
        </xdr:cNvSpPr>
      </xdr:nvSpPr>
      <xdr:spPr bwMode="auto">
        <a:xfrm flipV="1">
          <a:off x="14408150" y="2032000"/>
          <a:ext cx="673100" cy="0"/>
        </a:xfrm>
        <a:prstGeom prst="line">
          <a:avLst/>
        </a:prstGeom>
        <a:noFill/>
        <a:ln w="6350">
          <a:solidFill>
            <a:srgbClr val="000000"/>
          </a:solidFill>
          <a:round/>
          <a:headEnd type="triangle" w="sm" len="lg"/>
          <a:tailEnd type="triangle" w="sm" len="lg"/>
        </a:ln>
      </xdr:spPr>
    </xdr:sp>
    <xdr:clientData/>
  </xdr:twoCellAnchor>
  <xdr:twoCellAnchor>
    <xdr:from>
      <xdr:col>17</xdr:col>
      <xdr:colOff>88900</xdr:colOff>
      <xdr:row>1</xdr:row>
      <xdr:rowOff>12700</xdr:rowOff>
    </xdr:from>
    <xdr:to>
      <xdr:col>19</xdr:col>
      <xdr:colOff>336550</xdr:colOff>
      <xdr:row>1</xdr:row>
      <xdr:rowOff>12700</xdr:rowOff>
    </xdr:to>
    <xdr:sp macro="" textlink="">
      <xdr:nvSpPr>
        <xdr:cNvPr id="5501648" name="Line 269">
          <a:extLst>
            <a:ext uri="{FF2B5EF4-FFF2-40B4-BE49-F238E27FC236}">
              <a16:creationId xmlns:a16="http://schemas.microsoft.com/office/drawing/2014/main" id="{00000000-0008-0000-0700-0000D0F25300}"/>
            </a:ext>
          </a:extLst>
        </xdr:cNvPr>
        <xdr:cNvSpPr>
          <a:spLocks noChangeShapeType="1"/>
        </xdr:cNvSpPr>
      </xdr:nvSpPr>
      <xdr:spPr bwMode="auto">
        <a:xfrm flipV="1">
          <a:off x="13665200" y="184150"/>
          <a:ext cx="2520950" cy="0"/>
        </a:xfrm>
        <a:prstGeom prst="line">
          <a:avLst/>
        </a:prstGeom>
        <a:noFill/>
        <a:ln w="6350">
          <a:solidFill>
            <a:srgbClr val="000000"/>
          </a:solidFill>
          <a:round/>
          <a:headEnd/>
          <a:tailEnd/>
        </a:ln>
      </xdr:spPr>
    </xdr:sp>
    <xdr:clientData/>
  </xdr:twoCellAnchor>
  <xdr:twoCellAnchor>
    <xdr:from>
      <xdr:col>18</xdr:col>
      <xdr:colOff>1054100</xdr:colOff>
      <xdr:row>1</xdr:row>
      <xdr:rowOff>12700</xdr:rowOff>
    </xdr:from>
    <xdr:to>
      <xdr:col>18</xdr:col>
      <xdr:colOff>1054100</xdr:colOff>
      <xdr:row>28</xdr:row>
      <xdr:rowOff>139700</xdr:rowOff>
    </xdr:to>
    <xdr:sp macro="" textlink="">
      <xdr:nvSpPr>
        <xdr:cNvPr id="5501649" name="Line 270">
          <a:extLst>
            <a:ext uri="{FF2B5EF4-FFF2-40B4-BE49-F238E27FC236}">
              <a16:creationId xmlns:a16="http://schemas.microsoft.com/office/drawing/2014/main" id="{00000000-0008-0000-0700-0000D1F25300}"/>
            </a:ext>
          </a:extLst>
        </xdr:cNvPr>
        <xdr:cNvSpPr>
          <a:spLocks noChangeShapeType="1"/>
        </xdr:cNvSpPr>
      </xdr:nvSpPr>
      <xdr:spPr bwMode="auto">
        <a:xfrm>
          <a:off x="15767050" y="184150"/>
          <a:ext cx="0" cy="4705350"/>
        </a:xfrm>
        <a:prstGeom prst="line">
          <a:avLst/>
        </a:prstGeom>
        <a:noFill/>
        <a:ln w="6350">
          <a:solidFill>
            <a:srgbClr val="000000"/>
          </a:solidFill>
          <a:round/>
          <a:headEnd type="triangle" w="sm" len="lg"/>
          <a:tailEnd type="triangle" w="sm" len="lg"/>
        </a:ln>
      </xdr:spPr>
    </xdr:sp>
    <xdr:clientData/>
  </xdr:twoCellAnchor>
  <xdr:twoCellAnchor>
    <xdr:from>
      <xdr:col>17</xdr:col>
      <xdr:colOff>120650</xdr:colOff>
      <xdr:row>10</xdr:row>
      <xdr:rowOff>152400</xdr:rowOff>
    </xdr:from>
    <xdr:to>
      <xdr:col>18</xdr:col>
      <xdr:colOff>412750</xdr:colOff>
      <xdr:row>10</xdr:row>
      <xdr:rowOff>152400</xdr:rowOff>
    </xdr:to>
    <xdr:sp macro="" textlink="">
      <xdr:nvSpPr>
        <xdr:cNvPr id="5501650" name="Line 271">
          <a:extLst>
            <a:ext uri="{FF2B5EF4-FFF2-40B4-BE49-F238E27FC236}">
              <a16:creationId xmlns:a16="http://schemas.microsoft.com/office/drawing/2014/main" id="{00000000-0008-0000-0700-0000D2F25300}"/>
            </a:ext>
          </a:extLst>
        </xdr:cNvPr>
        <xdr:cNvSpPr>
          <a:spLocks noChangeShapeType="1"/>
        </xdr:cNvSpPr>
      </xdr:nvSpPr>
      <xdr:spPr bwMode="auto">
        <a:xfrm>
          <a:off x="13696950" y="1911350"/>
          <a:ext cx="1428750" cy="0"/>
        </a:xfrm>
        <a:prstGeom prst="line">
          <a:avLst/>
        </a:prstGeom>
        <a:noFill/>
        <a:ln w="6350">
          <a:solidFill>
            <a:srgbClr val="000000"/>
          </a:solidFill>
          <a:round/>
          <a:headEnd/>
          <a:tailEnd/>
        </a:ln>
      </xdr:spPr>
    </xdr:sp>
    <xdr:clientData/>
  </xdr:twoCellAnchor>
  <xdr:twoCellAnchor>
    <xdr:from>
      <xdr:col>17</xdr:col>
      <xdr:colOff>152400</xdr:colOff>
      <xdr:row>0</xdr:row>
      <xdr:rowOff>158750</xdr:rowOff>
    </xdr:from>
    <xdr:to>
      <xdr:col>17</xdr:col>
      <xdr:colOff>152400</xdr:colOff>
      <xdr:row>10</xdr:row>
      <xdr:rowOff>139700</xdr:rowOff>
    </xdr:to>
    <xdr:sp macro="" textlink="">
      <xdr:nvSpPr>
        <xdr:cNvPr id="5501651" name="Line 272">
          <a:extLst>
            <a:ext uri="{FF2B5EF4-FFF2-40B4-BE49-F238E27FC236}">
              <a16:creationId xmlns:a16="http://schemas.microsoft.com/office/drawing/2014/main" id="{00000000-0008-0000-0700-0000D3F25300}"/>
            </a:ext>
          </a:extLst>
        </xdr:cNvPr>
        <xdr:cNvSpPr>
          <a:spLocks noChangeShapeType="1"/>
        </xdr:cNvSpPr>
      </xdr:nvSpPr>
      <xdr:spPr bwMode="auto">
        <a:xfrm flipH="1">
          <a:off x="13728700" y="158750"/>
          <a:ext cx="0" cy="1739900"/>
        </a:xfrm>
        <a:prstGeom prst="line">
          <a:avLst/>
        </a:prstGeom>
        <a:noFill/>
        <a:ln w="6350">
          <a:solidFill>
            <a:srgbClr val="000000"/>
          </a:solidFill>
          <a:round/>
          <a:headEnd type="triangle" w="sm" len="lg"/>
          <a:tailEnd type="triangle" w="sm" len="lg"/>
        </a:ln>
      </xdr:spPr>
    </xdr:sp>
    <xdr:clientData/>
  </xdr:twoCellAnchor>
  <xdr:twoCellAnchor>
    <xdr:from>
      <xdr:col>16</xdr:col>
      <xdr:colOff>234950</xdr:colOff>
      <xdr:row>31</xdr:row>
      <xdr:rowOff>95250</xdr:rowOff>
    </xdr:from>
    <xdr:to>
      <xdr:col>17</xdr:col>
      <xdr:colOff>82550</xdr:colOff>
      <xdr:row>31</xdr:row>
      <xdr:rowOff>95250</xdr:rowOff>
    </xdr:to>
    <xdr:sp macro="" textlink="">
      <xdr:nvSpPr>
        <xdr:cNvPr id="5501652" name="Line 277">
          <a:extLst>
            <a:ext uri="{FF2B5EF4-FFF2-40B4-BE49-F238E27FC236}">
              <a16:creationId xmlns:a16="http://schemas.microsoft.com/office/drawing/2014/main" id="{00000000-0008-0000-0700-0000D4F25300}"/>
            </a:ext>
          </a:extLst>
        </xdr:cNvPr>
        <xdr:cNvSpPr>
          <a:spLocks noChangeShapeType="1"/>
        </xdr:cNvSpPr>
      </xdr:nvSpPr>
      <xdr:spPr bwMode="auto">
        <a:xfrm>
          <a:off x="12998450" y="5359400"/>
          <a:ext cx="660400" cy="0"/>
        </a:xfrm>
        <a:prstGeom prst="line">
          <a:avLst/>
        </a:prstGeom>
        <a:noFill/>
        <a:ln w="6350">
          <a:solidFill>
            <a:srgbClr val="000000"/>
          </a:solidFill>
          <a:round/>
          <a:headEnd/>
          <a:tailEnd/>
        </a:ln>
      </xdr:spPr>
    </xdr:sp>
    <xdr:clientData/>
  </xdr:twoCellAnchor>
  <xdr:twoCellAnchor>
    <xdr:from>
      <xdr:col>18</xdr:col>
      <xdr:colOff>196850</xdr:colOff>
      <xdr:row>29</xdr:row>
      <xdr:rowOff>88900</xdr:rowOff>
    </xdr:from>
    <xdr:to>
      <xdr:col>18</xdr:col>
      <xdr:colOff>1035050</xdr:colOff>
      <xdr:row>29</xdr:row>
      <xdr:rowOff>88900</xdr:rowOff>
    </xdr:to>
    <xdr:sp macro="" textlink="">
      <xdr:nvSpPr>
        <xdr:cNvPr id="5501653" name="Line 280">
          <a:extLst>
            <a:ext uri="{FF2B5EF4-FFF2-40B4-BE49-F238E27FC236}">
              <a16:creationId xmlns:a16="http://schemas.microsoft.com/office/drawing/2014/main" id="{00000000-0008-0000-0700-0000D5F25300}"/>
            </a:ext>
          </a:extLst>
        </xdr:cNvPr>
        <xdr:cNvSpPr>
          <a:spLocks noChangeShapeType="1"/>
        </xdr:cNvSpPr>
      </xdr:nvSpPr>
      <xdr:spPr bwMode="auto">
        <a:xfrm>
          <a:off x="14909800" y="5010150"/>
          <a:ext cx="838200" cy="0"/>
        </a:xfrm>
        <a:prstGeom prst="line">
          <a:avLst/>
        </a:prstGeom>
        <a:noFill/>
        <a:ln w="6350">
          <a:solidFill>
            <a:srgbClr val="000000"/>
          </a:solidFill>
          <a:round/>
          <a:headEnd/>
          <a:tailEnd/>
        </a:ln>
      </xdr:spPr>
    </xdr:sp>
    <xdr:clientData/>
  </xdr:twoCellAnchor>
  <xdr:twoCellAnchor>
    <xdr:from>
      <xdr:col>17</xdr:col>
      <xdr:colOff>508000</xdr:colOff>
      <xdr:row>20</xdr:row>
      <xdr:rowOff>0</xdr:rowOff>
    </xdr:from>
    <xdr:to>
      <xdr:col>17</xdr:col>
      <xdr:colOff>508000</xdr:colOff>
      <xdr:row>28</xdr:row>
      <xdr:rowOff>127000</xdr:rowOff>
    </xdr:to>
    <xdr:sp macro="" textlink="">
      <xdr:nvSpPr>
        <xdr:cNvPr id="5501654" name="Line 281">
          <a:extLst>
            <a:ext uri="{FF2B5EF4-FFF2-40B4-BE49-F238E27FC236}">
              <a16:creationId xmlns:a16="http://schemas.microsoft.com/office/drawing/2014/main" id="{00000000-0008-0000-0700-0000D6F25300}"/>
            </a:ext>
          </a:extLst>
        </xdr:cNvPr>
        <xdr:cNvSpPr>
          <a:spLocks noChangeShapeType="1"/>
        </xdr:cNvSpPr>
      </xdr:nvSpPr>
      <xdr:spPr bwMode="auto">
        <a:xfrm flipH="1">
          <a:off x="14084300" y="3422650"/>
          <a:ext cx="0" cy="1454150"/>
        </a:xfrm>
        <a:prstGeom prst="line">
          <a:avLst/>
        </a:prstGeom>
        <a:noFill/>
        <a:ln w="6350">
          <a:solidFill>
            <a:srgbClr val="000000"/>
          </a:solidFill>
          <a:round/>
          <a:headEnd type="triangle" w="sm" len="lg"/>
          <a:tailEnd type="triangle" w="sm" len="lg"/>
        </a:ln>
      </xdr:spPr>
    </xdr:sp>
    <xdr:clientData/>
  </xdr:twoCellAnchor>
  <xdr:twoCellAnchor>
    <xdr:from>
      <xdr:col>16</xdr:col>
      <xdr:colOff>311150</xdr:colOff>
      <xdr:row>27</xdr:row>
      <xdr:rowOff>133350</xdr:rowOff>
    </xdr:from>
    <xdr:to>
      <xdr:col>16</xdr:col>
      <xdr:colOff>323850</xdr:colOff>
      <xdr:row>31</xdr:row>
      <xdr:rowOff>95250</xdr:rowOff>
    </xdr:to>
    <xdr:sp macro="" textlink="">
      <xdr:nvSpPr>
        <xdr:cNvPr id="5501655" name="Line 282">
          <a:extLst>
            <a:ext uri="{FF2B5EF4-FFF2-40B4-BE49-F238E27FC236}">
              <a16:creationId xmlns:a16="http://schemas.microsoft.com/office/drawing/2014/main" id="{00000000-0008-0000-0700-0000D7F25300}"/>
            </a:ext>
          </a:extLst>
        </xdr:cNvPr>
        <xdr:cNvSpPr>
          <a:spLocks noChangeShapeType="1"/>
        </xdr:cNvSpPr>
      </xdr:nvSpPr>
      <xdr:spPr bwMode="auto">
        <a:xfrm flipH="1">
          <a:off x="13074650" y="4711700"/>
          <a:ext cx="12700" cy="647700"/>
        </a:xfrm>
        <a:prstGeom prst="line">
          <a:avLst/>
        </a:prstGeom>
        <a:noFill/>
        <a:ln w="6350">
          <a:solidFill>
            <a:srgbClr val="000000"/>
          </a:solidFill>
          <a:round/>
          <a:headEnd type="triangle" w="sm" len="lg"/>
          <a:tailEnd type="triangle" w="sm" len="lg"/>
        </a:ln>
      </xdr:spPr>
    </xdr:sp>
    <xdr:clientData/>
  </xdr:twoCellAnchor>
  <xdr:twoCellAnchor>
    <xdr:from>
      <xdr:col>16</xdr:col>
      <xdr:colOff>730250</xdr:colOff>
      <xdr:row>20</xdr:row>
      <xdr:rowOff>0</xdr:rowOff>
    </xdr:from>
    <xdr:to>
      <xdr:col>16</xdr:col>
      <xdr:colOff>730250</xdr:colOff>
      <xdr:row>27</xdr:row>
      <xdr:rowOff>133350</xdr:rowOff>
    </xdr:to>
    <xdr:sp macro="" textlink="">
      <xdr:nvSpPr>
        <xdr:cNvPr id="5501656" name="Line 283">
          <a:extLst>
            <a:ext uri="{FF2B5EF4-FFF2-40B4-BE49-F238E27FC236}">
              <a16:creationId xmlns:a16="http://schemas.microsoft.com/office/drawing/2014/main" id="{00000000-0008-0000-0700-0000D8F25300}"/>
            </a:ext>
          </a:extLst>
        </xdr:cNvPr>
        <xdr:cNvSpPr>
          <a:spLocks noChangeShapeType="1"/>
        </xdr:cNvSpPr>
      </xdr:nvSpPr>
      <xdr:spPr bwMode="auto">
        <a:xfrm>
          <a:off x="13493750" y="3422650"/>
          <a:ext cx="0" cy="1289050"/>
        </a:xfrm>
        <a:prstGeom prst="line">
          <a:avLst/>
        </a:prstGeom>
        <a:noFill/>
        <a:ln w="6350">
          <a:solidFill>
            <a:srgbClr val="000000"/>
          </a:solidFill>
          <a:round/>
          <a:headEnd type="triangle" w="sm" len="lg"/>
          <a:tailEnd type="triangle" w="sm" len="lg"/>
        </a:ln>
      </xdr:spPr>
    </xdr:sp>
    <xdr:clientData/>
  </xdr:twoCellAnchor>
  <xdr:twoCellAnchor>
    <xdr:from>
      <xdr:col>17</xdr:col>
      <xdr:colOff>69850</xdr:colOff>
      <xdr:row>31</xdr:row>
      <xdr:rowOff>95250</xdr:rowOff>
    </xdr:from>
    <xdr:to>
      <xdr:col>17</xdr:col>
      <xdr:colOff>69850</xdr:colOff>
      <xdr:row>32</xdr:row>
      <xdr:rowOff>0</xdr:rowOff>
    </xdr:to>
    <xdr:sp macro="" textlink="">
      <xdr:nvSpPr>
        <xdr:cNvPr id="5501657" name="Line 284">
          <a:extLst>
            <a:ext uri="{FF2B5EF4-FFF2-40B4-BE49-F238E27FC236}">
              <a16:creationId xmlns:a16="http://schemas.microsoft.com/office/drawing/2014/main" id="{00000000-0008-0000-0700-0000D9F25300}"/>
            </a:ext>
          </a:extLst>
        </xdr:cNvPr>
        <xdr:cNvSpPr>
          <a:spLocks noChangeShapeType="1"/>
        </xdr:cNvSpPr>
      </xdr:nvSpPr>
      <xdr:spPr bwMode="auto">
        <a:xfrm flipV="1">
          <a:off x="13646150" y="5359400"/>
          <a:ext cx="0" cy="76200"/>
        </a:xfrm>
        <a:prstGeom prst="line">
          <a:avLst/>
        </a:prstGeom>
        <a:noFill/>
        <a:ln w="6350">
          <a:solidFill>
            <a:srgbClr val="000000"/>
          </a:solidFill>
          <a:round/>
          <a:headEnd/>
          <a:tailEnd/>
        </a:ln>
      </xdr:spPr>
    </xdr:sp>
    <xdr:clientData/>
  </xdr:twoCellAnchor>
  <xdr:twoCellAnchor>
    <xdr:from>
      <xdr:col>17</xdr:col>
      <xdr:colOff>946150</xdr:colOff>
      <xdr:row>29</xdr:row>
      <xdr:rowOff>88900</xdr:rowOff>
    </xdr:from>
    <xdr:to>
      <xdr:col>17</xdr:col>
      <xdr:colOff>946150</xdr:colOff>
      <xdr:row>31</xdr:row>
      <xdr:rowOff>158750</xdr:rowOff>
    </xdr:to>
    <xdr:sp macro="" textlink="">
      <xdr:nvSpPr>
        <xdr:cNvPr id="5501658" name="Line 285">
          <a:extLst>
            <a:ext uri="{FF2B5EF4-FFF2-40B4-BE49-F238E27FC236}">
              <a16:creationId xmlns:a16="http://schemas.microsoft.com/office/drawing/2014/main" id="{00000000-0008-0000-0700-0000DAF25300}"/>
            </a:ext>
          </a:extLst>
        </xdr:cNvPr>
        <xdr:cNvSpPr>
          <a:spLocks noChangeShapeType="1"/>
        </xdr:cNvSpPr>
      </xdr:nvSpPr>
      <xdr:spPr bwMode="auto">
        <a:xfrm flipH="1" flipV="1">
          <a:off x="14522450" y="5010150"/>
          <a:ext cx="0" cy="412750"/>
        </a:xfrm>
        <a:prstGeom prst="line">
          <a:avLst/>
        </a:prstGeom>
        <a:noFill/>
        <a:ln w="6350">
          <a:solidFill>
            <a:srgbClr val="000000"/>
          </a:solidFill>
          <a:round/>
          <a:headEnd/>
          <a:tailEnd/>
        </a:ln>
      </xdr:spPr>
    </xdr:sp>
    <xdr:clientData/>
  </xdr:twoCellAnchor>
  <xdr:twoCellAnchor>
    <xdr:from>
      <xdr:col>17</xdr:col>
      <xdr:colOff>88900</xdr:colOff>
      <xdr:row>31</xdr:row>
      <xdr:rowOff>127000</xdr:rowOff>
    </xdr:from>
    <xdr:to>
      <xdr:col>17</xdr:col>
      <xdr:colOff>958850</xdr:colOff>
      <xdr:row>31</xdr:row>
      <xdr:rowOff>127000</xdr:rowOff>
    </xdr:to>
    <xdr:sp macro="" textlink="">
      <xdr:nvSpPr>
        <xdr:cNvPr id="5501659" name="Line 286">
          <a:extLst>
            <a:ext uri="{FF2B5EF4-FFF2-40B4-BE49-F238E27FC236}">
              <a16:creationId xmlns:a16="http://schemas.microsoft.com/office/drawing/2014/main" id="{00000000-0008-0000-0700-0000DBF25300}"/>
            </a:ext>
          </a:extLst>
        </xdr:cNvPr>
        <xdr:cNvSpPr>
          <a:spLocks noChangeShapeType="1"/>
        </xdr:cNvSpPr>
      </xdr:nvSpPr>
      <xdr:spPr bwMode="auto">
        <a:xfrm flipV="1">
          <a:off x="13665200" y="5391150"/>
          <a:ext cx="869950" cy="0"/>
        </a:xfrm>
        <a:prstGeom prst="line">
          <a:avLst/>
        </a:prstGeom>
        <a:noFill/>
        <a:ln w="6350">
          <a:solidFill>
            <a:srgbClr val="000000"/>
          </a:solidFill>
          <a:round/>
          <a:headEnd type="triangle" w="sm" len="lg"/>
          <a:tailEnd type="triangle" w="sm" len="lg"/>
        </a:ln>
      </xdr:spPr>
    </xdr:sp>
    <xdr:clientData/>
  </xdr:twoCellAnchor>
  <xdr:twoCellAnchor>
    <xdr:from>
      <xdr:col>17</xdr:col>
      <xdr:colOff>666750</xdr:colOff>
      <xdr:row>16</xdr:row>
      <xdr:rowOff>57150</xdr:rowOff>
    </xdr:from>
    <xdr:to>
      <xdr:col>18</xdr:col>
      <xdr:colOff>514350</xdr:colOff>
      <xdr:row>16</xdr:row>
      <xdr:rowOff>57150</xdr:rowOff>
    </xdr:to>
    <xdr:sp macro="" textlink="">
      <xdr:nvSpPr>
        <xdr:cNvPr id="5501660" name="Line 287">
          <a:extLst>
            <a:ext uri="{FF2B5EF4-FFF2-40B4-BE49-F238E27FC236}">
              <a16:creationId xmlns:a16="http://schemas.microsoft.com/office/drawing/2014/main" id="{00000000-0008-0000-0700-0000DCF25300}"/>
            </a:ext>
          </a:extLst>
        </xdr:cNvPr>
        <xdr:cNvSpPr>
          <a:spLocks noChangeShapeType="1"/>
        </xdr:cNvSpPr>
      </xdr:nvSpPr>
      <xdr:spPr bwMode="auto">
        <a:xfrm flipV="1">
          <a:off x="14243050" y="2819400"/>
          <a:ext cx="984250" cy="0"/>
        </a:xfrm>
        <a:prstGeom prst="line">
          <a:avLst/>
        </a:prstGeom>
        <a:noFill/>
        <a:ln w="3175">
          <a:solidFill>
            <a:srgbClr val="92D050"/>
          </a:solidFill>
          <a:prstDash val="sysDot"/>
          <a:round/>
          <a:headEnd type="triangle" w="sm" len="sm"/>
          <a:tailEnd type="triangle" w="sm" len="sm"/>
        </a:ln>
      </xdr:spPr>
    </xdr:sp>
    <xdr:clientData/>
  </xdr:twoCellAnchor>
  <xdr:twoCellAnchor>
    <xdr:from>
      <xdr:col>17</xdr:col>
      <xdr:colOff>831850</xdr:colOff>
      <xdr:row>14</xdr:row>
      <xdr:rowOff>127000</xdr:rowOff>
    </xdr:from>
    <xdr:to>
      <xdr:col>19</xdr:col>
      <xdr:colOff>19050</xdr:colOff>
      <xdr:row>14</xdr:row>
      <xdr:rowOff>127000</xdr:rowOff>
    </xdr:to>
    <xdr:sp macro="" textlink="">
      <xdr:nvSpPr>
        <xdr:cNvPr id="5501661" name="Line 289">
          <a:extLst>
            <a:ext uri="{FF2B5EF4-FFF2-40B4-BE49-F238E27FC236}">
              <a16:creationId xmlns:a16="http://schemas.microsoft.com/office/drawing/2014/main" id="{00000000-0008-0000-0700-0000DDF25300}"/>
            </a:ext>
          </a:extLst>
        </xdr:cNvPr>
        <xdr:cNvSpPr>
          <a:spLocks noChangeShapeType="1"/>
        </xdr:cNvSpPr>
      </xdr:nvSpPr>
      <xdr:spPr bwMode="auto">
        <a:xfrm>
          <a:off x="14408150" y="2559050"/>
          <a:ext cx="1460500" cy="0"/>
        </a:xfrm>
        <a:prstGeom prst="line">
          <a:avLst/>
        </a:prstGeom>
        <a:noFill/>
        <a:ln w="6350">
          <a:solidFill>
            <a:srgbClr val="92D050"/>
          </a:solidFill>
          <a:round/>
          <a:headEnd/>
          <a:tailEnd/>
        </a:ln>
      </xdr:spPr>
    </xdr:sp>
    <xdr:clientData/>
  </xdr:twoCellAnchor>
  <xdr:twoCellAnchor>
    <xdr:from>
      <xdr:col>17</xdr:col>
      <xdr:colOff>679450</xdr:colOff>
      <xdr:row>15</xdr:row>
      <xdr:rowOff>127000</xdr:rowOff>
    </xdr:from>
    <xdr:to>
      <xdr:col>19</xdr:col>
      <xdr:colOff>44450</xdr:colOff>
      <xdr:row>15</xdr:row>
      <xdr:rowOff>127000</xdr:rowOff>
    </xdr:to>
    <xdr:sp macro="" textlink="">
      <xdr:nvSpPr>
        <xdr:cNvPr id="5501662" name="Line 290">
          <a:extLst>
            <a:ext uri="{FF2B5EF4-FFF2-40B4-BE49-F238E27FC236}">
              <a16:creationId xmlns:a16="http://schemas.microsoft.com/office/drawing/2014/main" id="{00000000-0008-0000-0700-0000DEF25300}"/>
            </a:ext>
          </a:extLst>
        </xdr:cNvPr>
        <xdr:cNvSpPr>
          <a:spLocks noChangeShapeType="1"/>
        </xdr:cNvSpPr>
      </xdr:nvSpPr>
      <xdr:spPr bwMode="auto">
        <a:xfrm>
          <a:off x="14255750" y="2724150"/>
          <a:ext cx="1638300" cy="0"/>
        </a:xfrm>
        <a:prstGeom prst="line">
          <a:avLst/>
        </a:prstGeom>
        <a:noFill/>
        <a:ln w="6350">
          <a:solidFill>
            <a:srgbClr val="92D050"/>
          </a:solidFill>
          <a:round/>
          <a:headEnd/>
          <a:tailEnd/>
        </a:ln>
      </xdr:spPr>
    </xdr:sp>
    <xdr:clientData/>
  </xdr:twoCellAnchor>
  <xdr:twoCellAnchor>
    <xdr:from>
      <xdr:col>17</xdr:col>
      <xdr:colOff>666750</xdr:colOff>
      <xdr:row>18</xdr:row>
      <xdr:rowOff>69850</xdr:rowOff>
    </xdr:from>
    <xdr:to>
      <xdr:col>19</xdr:col>
      <xdr:colOff>44450</xdr:colOff>
      <xdr:row>18</xdr:row>
      <xdr:rowOff>69850</xdr:rowOff>
    </xdr:to>
    <xdr:sp macro="" textlink="">
      <xdr:nvSpPr>
        <xdr:cNvPr id="5501663" name="Line 291">
          <a:extLst>
            <a:ext uri="{FF2B5EF4-FFF2-40B4-BE49-F238E27FC236}">
              <a16:creationId xmlns:a16="http://schemas.microsoft.com/office/drawing/2014/main" id="{00000000-0008-0000-0700-0000DFF25300}"/>
            </a:ext>
          </a:extLst>
        </xdr:cNvPr>
        <xdr:cNvSpPr>
          <a:spLocks noChangeShapeType="1"/>
        </xdr:cNvSpPr>
      </xdr:nvSpPr>
      <xdr:spPr bwMode="auto">
        <a:xfrm>
          <a:off x="14243050" y="3162300"/>
          <a:ext cx="1651000" cy="0"/>
        </a:xfrm>
        <a:prstGeom prst="line">
          <a:avLst/>
        </a:prstGeom>
        <a:noFill/>
        <a:ln w="6350">
          <a:solidFill>
            <a:srgbClr val="92D050"/>
          </a:solidFill>
          <a:round/>
          <a:headEnd/>
          <a:tailEnd/>
        </a:ln>
      </xdr:spPr>
    </xdr:sp>
    <xdr:clientData/>
  </xdr:twoCellAnchor>
  <xdr:twoCellAnchor>
    <xdr:from>
      <xdr:col>17</xdr:col>
      <xdr:colOff>946150</xdr:colOff>
      <xdr:row>19</xdr:row>
      <xdr:rowOff>139700</xdr:rowOff>
    </xdr:from>
    <xdr:to>
      <xdr:col>19</xdr:col>
      <xdr:colOff>12700</xdr:colOff>
      <xdr:row>19</xdr:row>
      <xdr:rowOff>139700</xdr:rowOff>
    </xdr:to>
    <xdr:sp macro="" textlink="">
      <xdr:nvSpPr>
        <xdr:cNvPr id="5501664" name="Line 292">
          <a:extLst>
            <a:ext uri="{FF2B5EF4-FFF2-40B4-BE49-F238E27FC236}">
              <a16:creationId xmlns:a16="http://schemas.microsoft.com/office/drawing/2014/main" id="{00000000-0008-0000-0700-0000E0F25300}"/>
            </a:ext>
          </a:extLst>
        </xdr:cNvPr>
        <xdr:cNvSpPr>
          <a:spLocks noChangeShapeType="1"/>
        </xdr:cNvSpPr>
      </xdr:nvSpPr>
      <xdr:spPr bwMode="auto">
        <a:xfrm>
          <a:off x="14522450" y="3397250"/>
          <a:ext cx="1339850" cy="0"/>
        </a:xfrm>
        <a:prstGeom prst="line">
          <a:avLst/>
        </a:prstGeom>
        <a:noFill/>
        <a:ln w="6350">
          <a:solidFill>
            <a:srgbClr val="92D050"/>
          </a:solidFill>
          <a:round/>
          <a:headEnd/>
          <a:tailEnd/>
        </a:ln>
      </xdr:spPr>
    </xdr:sp>
    <xdr:clientData/>
  </xdr:twoCellAnchor>
  <xdr:twoCellAnchor>
    <xdr:from>
      <xdr:col>17</xdr:col>
      <xdr:colOff>1136650</xdr:colOff>
      <xdr:row>1</xdr:row>
      <xdr:rowOff>0</xdr:rowOff>
    </xdr:from>
    <xdr:to>
      <xdr:col>18</xdr:col>
      <xdr:colOff>0</xdr:colOff>
      <xdr:row>14</xdr:row>
      <xdr:rowOff>127000</xdr:rowOff>
    </xdr:to>
    <xdr:sp macro="" textlink="">
      <xdr:nvSpPr>
        <xdr:cNvPr id="5501665" name="Line 293">
          <a:extLst>
            <a:ext uri="{FF2B5EF4-FFF2-40B4-BE49-F238E27FC236}">
              <a16:creationId xmlns:a16="http://schemas.microsoft.com/office/drawing/2014/main" id="{00000000-0008-0000-0700-0000E1F25300}"/>
            </a:ext>
          </a:extLst>
        </xdr:cNvPr>
        <xdr:cNvSpPr>
          <a:spLocks noChangeShapeType="1"/>
        </xdr:cNvSpPr>
      </xdr:nvSpPr>
      <xdr:spPr bwMode="auto">
        <a:xfrm flipH="1">
          <a:off x="14712950" y="171450"/>
          <a:ext cx="0" cy="2387600"/>
        </a:xfrm>
        <a:prstGeom prst="line">
          <a:avLst/>
        </a:prstGeom>
        <a:noFill/>
        <a:ln w="9525">
          <a:solidFill>
            <a:srgbClr val="92D050"/>
          </a:solidFill>
          <a:prstDash val="sysDot"/>
          <a:round/>
          <a:headEnd type="triangle" w="sm" len="sm"/>
          <a:tailEnd type="triangle" w="sm" len="sm"/>
        </a:ln>
      </xdr:spPr>
    </xdr:sp>
    <xdr:clientData/>
  </xdr:twoCellAnchor>
  <xdr:twoCellAnchor>
    <xdr:from>
      <xdr:col>18</xdr:col>
      <xdr:colOff>190500</xdr:colOff>
      <xdr:row>1</xdr:row>
      <xdr:rowOff>0</xdr:rowOff>
    </xdr:from>
    <xdr:to>
      <xdr:col>18</xdr:col>
      <xdr:colOff>190500</xdr:colOff>
      <xdr:row>18</xdr:row>
      <xdr:rowOff>69850</xdr:rowOff>
    </xdr:to>
    <xdr:sp macro="" textlink="">
      <xdr:nvSpPr>
        <xdr:cNvPr id="5501666" name="Line 294">
          <a:extLst>
            <a:ext uri="{FF2B5EF4-FFF2-40B4-BE49-F238E27FC236}">
              <a16:creationId xmlns:a16="http://schemas.microsoft.com/office/drawing/2014/main" id="{00000000-0008-0000-0700-0000E2F25300}"/>
            </a:ext>
          </a:extLst>
        </xdr:cNvPr>
        <xdr:cNvSpPr>
          <a:spLocks noChangeShapeType="1"/>
        </xdr:cNvSpPr>
      </xdr:nvSpPr>
      <xdr:spPr bwMode="auto">
        <a:xfrm>
          <a:off x="14903450" y="171450"/>
          <a:ext cx="0" cy="2990850"/>
        </a:xfrm>
        <a:prstGeom prst="line">
          <a:avLst/>
        </a:prstGeom>
        <a:noFill/>
        <a:ln w="9525">
          <a:solidFill>
            <a:srgbClr val="92D050"/>
          </a:solidFill>
          <a:prstDash val="sysDot"/>
          <a:round/>
          <a:headEnd type="triangle" w="sm" len="sm"/>
          <a:tailEnd type="triangle" w="sm" len="sm"/>
        </a:ln>
      </xdr:spPr>
    </xdr:sp>
    <xdr:clientData/>
  </xdr:twoCellAnchor>
  <xdr:twoCellAnchor>
    <xdr:from>
      <xdr:col>19</xdr:col>
      <xdr:colOff>19050</xdr:colOff>
      <xdr:row>14</xdr:row>
      <xdr:rowOff>127000</xdr:rowOff>
    </xdr:from>
    <xdr:to>
      <xdr:col>19</xdr:col>
      <xdr:colOff>19050</xdr:colOff>
      <xdr:row>15</xdr:row>
      <xdr:rowOff>127000</xdr:rowOff>
    </xdr:to>
    <xdr:sp macro="" textlink="">
      <xdr:nvSpPr>
        <xdr:cNvPr id="5501667" name="Line 295">
          <a:extLst>
            <a:ext uri="{FF2B5EF4-FFF2-40B4-BE49-F238E27FC236}">
              <a16:creationId xmlns:a16="http://schemas.microsoft.com/office/drawing/2014/main" id="{00000000-0008-0000-0700-0000E3F25300}"/>
            </a:ext>
          </a:extLst>
        </xdr:cNvPr>
        <xdr:cNvSpPr>
          <a:spLocks noChangeShapeType="1"/>
        </xdr:cNvSpPr>
      </xdr:nvSpPr>
      <xdr:spPr bwMode="auto">
        <a:xfrm>
          <a:off x="15868650" y="2559050"/>
          <a:ext cx="0" cy="165100"/>
        </a:xfrm>
        <a:prstGeom prst="line">
          <a:avLst/>
        </a:prstGeom>
        <a:noFill/>
        <a:ln w="3175">
          <a:solidFill>
            <a:srgbClr val="92D050"/>
          </a:solidFill>
          <a:prstDash val="sysDot"/>
          <a:round/>
          <a:headEnd type="triangle" w="sm" len="sm"/>
          <a:tailEnd type="triangle" w="sm" len="sm"/>
        </a:ln>
      </xdr:spPr>
    </xdr:sp>
    <xdr:clientData/>
  </xdr:twoCellAnchor>
  <xdr:twoCellAnchor>
    <xdr:from>
      <xdr:col>19</xdr:col>
      <xdr:colOff>12700</xdr:colOff>
      <xdr:row>18</xdr:row>
      <xdr:rowOff>69850</xdr:rowOff>
    </xdr:from>
    <xdr:to>
      <xdr:col>19</xdr:col>
      <xdr:colOff>12700</xdr:colOff>
      <xdr:row>19</xdr:row>
      <xdr:rowOff>139700</xdr:rowOff>
    </xdr:to>
    <xdr:sp macro="" textlink="">
      <xdr:nvSpPr>
        <xdr:cNvPr id="5501668" name="Line 296">
          <a:extLst>
            <a:ext uri="{FF2B5EF4-FFF2-40B4-BE49-F238E27FC236}">
              <a16:creationId xmlns:a16="http://schemas.microsoft.com/office/drawing/2014/main" id="{00000000-0008-0000-0700-0000E4F25300}"/>
            </a:ext>
          </a:extLst>
        </xdr:cNvPr>
        <xdr:cNvSpPr>
          <a:spLocks noChangeShapeType="1"/>
        </xdr:cNvSpPr>
      </xdr:nvSpPr>
      <xdr:spPr bwMode="auto">
        <a:xfrm>
          <a:off x="15862300" y="3162300"/>
          <a:ext cx="0" cy="234950"/>
        </a:xfrm>
        <a:prstGeom prst="line">
          <a:avLst/>
        </a:prstGeom>
        <a:noFill/>
        <a:ln w="9525">
          <a:solidFill>
            <a:srgbClr val="92D050"/>
          </a:solidFill>
          <a:prstDash val="sysDot"/>
          <a:round/>
          <a:headEnd type="triangle" w="sm" len="sm"/>
          <a:tailEnd type="triangle" w="sm" len="sm"/>
        </a:ln>
      </xdr:spPr>
    </xdr:sp>
    <xdr:clientData/>
  </xdr:twoCellAnchor>
  <xdr:twoCellAnchor>
    <xdr:from>
      <xdr:col>17</xdr:col>
      <xdr:colOff>0</xdr:colOff>
      <xdr:row>11</xdr:row>
      <xdr:rowOff>101600</xdr:rowOff>
    </xdr:from>
    <xdr:to>
      <xdr:col>17</xdr:col>
      <xdr:colOff>838200</xdr:colOff>
      <xdr:row>11</xdr:row>
      <xdr:rowOff>101600</xdr:rowOff>
    </xdr:to>
    <xdr:sp macro="" textlink="">
      <xdr:nvSpPr>
        <xdr:cNvPr id="5501669" name="Line 297">
          <a:extLst>
            <a:ext uri="{FF2B5EF4-FFF2-40B4-BE49-F238E27FC236}">
              <a16:creationId xmlns:a16="http://schemas.microsoft.com/office/drawing/2014/main" id="{00000000-0008-0000-0700-0000E5F25300}"/>
            </a:ext>
          </a:extLst>
        </xdr:cNvPr>
        <xdr:cNvSpPr>
          <a:spLocks noChangeShapeType="1"/>
        </xdr:cNvSpPr>
      </xdr:nvSpPr>
      <xdr:spPr bwMode="auto">
        <a:xfrm>
          <a:off x="13576300" y="2032000"/>
          <a:ext cx="838200" cy="0"/>
        </a:xfrm>
        <a:prstGeom prst="line">
          <a:avLst/>
        </a:prstGeom>
        <a:noFill/>
        <a:ln w="9525">
          <a:solidFill>
            <a:srgbClr val="000000"/>
          </a:solidFill>
          <a:round/>
          <a:headEnd/>
          <a:tailEnd/>
        </a:ln>
      </xdr:spPr>
    </xdr:sp>
    <xdr:clientData/>
  </xdr:twoCellAnchor>
  <xdr:twoCellAnchor>
    <xdr:from>
      <xdr:col>17</xdr:col>
      <xdr:colOff>0</xdr:colOff>
      <xdr:row>16</xdr:row>
      <xdr:rowOff>69850</xdr:rowOff>
    </xdr:from>
    <xdr:to>
      <xdr:col>17</xdr:col>
      <xdr:colOff>679450</xdr:colOff>
      <xdr:row>16</xdr:row>
      <xdr:rowOff>69850</xdr:rowOff>
    </xdr:to>
    <xdr:sp macro="" textlink="">
      <xdr:nvSpPr>
        <xdr:cNvPr id="5501670" name="Line 298">
          <a:extLst>
            <a:ext uri="{FF2B5EF4-FFF2-40B4-BE49-F238E27FC236}">
              <a16:creationId xmlns:a16="http://schemas.microsoft.com/office/drawing/2014/main" id="{00000000-0008-0000-0700-0000E6F25300}"/>
            </a:ext>
          </a:extLst>
        </xdr:cNvPr>
        <xdr:cNvSpPr>
          <a:spLocks noChangeShapeType="1"/>
        </xdr:cNvSpPr>
      </xdr:nvSpPr>
      <xdr:spPr bwMode="auto">
        <a:xfrm>
          <a:off x="13576300" y="2832100"/>
          <a:ext cx="679450" cy="0"/>
        </a:xfrm>
        <a:prstGeom prst="line">
          <a:avLst/>
        </a:prstGeom>
        <a:noFill/>
        <a:ln w="9525">
          <a:solidFill>
            <a:srgbClr val="92D050"/>
          </a:solidFill>
          <a:round/>
          <a:headEnd/>
          <a:tailEnd/>
        </a:ln>
      </xdr:spPr>
    </xdr:sp>
    <xdr:clientData/>
  </xdr:twoCellAnchor>
  <xdr:twoCellAnchor>
    <xdr:from>
      <xdr:col>17</xdr:col>
      <xdr:colOff>514350</xdr:colOff>
      <xdr:row>31</xdr:row>
      <xdr:rowOff>127000</xdr:rowOff>
    </xdr:from>
    <xdr:to>
      <xdr:col>17</xdr:col>
      <xdr:colOff>514350</xdr:colOff>
      <xdr:row>33</xdr:row>
      <xdr:rowOff>95250</xdr:rowOff>
    </xdr:to>
    <xdr:sp macro="" textlink="">
      <xdr:nvSpPr>
        <xdr:cNvPr id="5501671" name="Line 301">
          <a:extLst>
            <a:ext uri="{FF2B5EF4-FFF2-40B4-BE49-F238E27FC236}">
              <a16:creationId xmlns:a16="http://schemas.microsoft.com/office/drawing/2014/main" id="{00000000-0008-0000-0700-0000E7F25300}"/>
            </a:ext>
          </a:extLst>
        </xdr:cNvPr>
        <xdr:cNvSpPr>
          <a:spLocks noChangeShapeType="1"/>
        </xdr:cNvSpPr>
      </xdr:nvSpPr>
      <xdr:spPr bwMode="auto">
        <a:xfrm flipH="1">
          <a:off x="14090650" y="5391150"/>
          <a:ext cx="0" cy="311150"/>
        </a:xfrm>
        <a:prstGeom prst="line">
          <a:avLst/>
        </a:prstGeom>
        <a:noFill/>
        <a:ln w="9525">
          <a:solidFill>
            <a:srgbClr val="000000"/>
          </a:solidFill>
          <a:round/>
          <a:headEnd/>
          <a:tailEnd/>
        </a:ln>
      </xdr:spPr>
    </xdr:sp>
    <xdr:clientData/>
  </xdr:twoCellAnchor>
  <xdr:twoCellAnchor>
    <xdr:from>
      <xdr:col>17</xdr:col>
      <xdr:colOff>0</xdr:colOff>
      <xdr:row>2</xdr:row>
      <xdr:rowOff>76200</xdr:rowOff>
    </xdr:from>
    <xdr:to>
      <xdr:col>17</xdr:col>
      <xdr:colOff>152400</xdr:colOff>
      <xdr:row>2</xdr:row>
      <xdr:rowOff>76200</xdr:rowOff>
    </xdr:to>
    <xdr:sp macro="" textlink="">
      <xdr:nvSpPr>
        <xdr:cNvPr id="5501672" name="Line 302">
          <a:extLst>
            <a:ext uri="{FF2B5EF4-FFF2-40B4-BE49-F238E27FC236}">
              <a16:creationId xmlns:a16="http://schemas.microsoft.com/office/drawing/2014/main" id="{00000000-0008-0000-0700-0000E8F25300}"/>
            </a:ext>
          </a:extLst>
        </xdr:cNvPr>
        <xdr:cNvSpPr>
          <a:spLocks noChangeShapeType="1"/>
        </xdr:cNvSpPr>
      </xdr:nvSpPr>
      <xdr:spPr bwMode="auto">
        <a:xfrm>
          <a:off x="13576300" y="419100"/>
          <a:ext cx="152400" cy="0"/>
        </a:xfrm>
        <a:prstGeom prst="line">
          <a:avLst/>
        </a:prstGeom>
        <a:noFill/>
        <a:ln w="9525">
          <a:solidFill>
            <a:srgbClr val="000000"/>
          </a:solidFill>
          <a:round/>
          <a:headEnd/>
          <a:tailEnd/>
        </a:ln>
      </xdr:spPr>
    </xdr:sp>
    <xdr:clientData/>
  </xdr:twoCellAnchor>
  <xdr:twoCellAnchor>
    <xdr:from>
      <xdr:col>17</xdr:col>
      <xdr:colOff>1771650</xdr:colOff>
      <xdr:row>10</xdr:row>
      <xdr:rowOff>88900</xdr:rowOff>
    </xdr:from>
    <xdr:to>
      <xdr:col>20</xdr:col>
      <xdr:colOff>0</xdr:colOff>
      <xdr:row>10</xdr:row>
      <xdr:rowOff>88900</xdr:rowOff>
    </xdr:to>
    <xdr:sp macro="" textlink="">
      <xdr:nvSpPr>
        <xdr:cNvPr id="5501673" name="Line 303">
          <a:extLst>
            <a:ext uri="{FF2B5EF4-FFF2-40B4-BE49-F238E27FC236}">
              <a16:creationId xmlns:a16="http://schemas.microsoft.com/office/drawing/2014/main" id="{00000000-0008-0000-0700-0000E9F25300}"/>
            </a:ext>
          </a:extLst>
        </xdr:cNvPr>
        <xdr:cNvSpPr>
          <a:spLocks noChangeShapeType="1"/>
        </xdr:cNvSpPr>
      </xdr:nvSpPr>
      <xdr:spPr bwMode="auto">
        <a:xfrm flipV="1">
          <a:off x="14712950" y="1847850"/>
          <a:ext cx="1949450" cy="0"/>
        </a:xfrm>
        <a:prstGeom prst="line">
          <a:avLst/>
        </a:prstGeom>
        <a:noFill/>
        <a:ln w="9525">
          <a:solidFill>
            <a:srgbClr val="92D050"/>
          </a:solidFill>
          <a:prstDash val="sysDot"/>
          <a:round/>
          <a:headEnd/>
          <a:tailEnd/>
        </a:ln>
      </xdr:spPr>
    </xdr:sp>
    <xdr:clientData/>
  </xdr:twoCellAnchor>
  <xdr:twoCellAnchor>
    <xdr:from>
      <xdr:col>18</xdr:col>
      <xdr:colOff>190500</xdr:colOff>
      <xdr:row>12</xdr:row>
      <xdr:rowOff>76200</xdr:rowOff>
    </xdr:from>
    <xdr:to>
      <xdr:col>20</xdr:col>
      <xdr:colOff>0</xdr:colOff>
      <xdr:row>12</xdr:row>
      <xdr:rowOff>76200</xdr:rowOff>
    </xdr:to>
    <xdr:sp macro="" textlink="">
      <xdr:nvSpPr>
        <xdr:cNvPr id="5501674" name="Line 304">
          <a:extLst>
            <a:ext uri="{FF2B5EF4-FFF2-40B4-BE49-F238E27FC236}">
              <a16:creationId xmlns:a16="http://schemas.microsoft.com/office/drawing/2014/main" id="{00000000-0008-0000-0700-0000EAF25300}"/>
            </a:ext>
          </a:extLst>
        </xdr:cNvPr>
        <xdr:cNvSpPr>
          <a:spLocks noChangeShapeType="1"/>
        </xdr:cNvSpPr>
      </xdr:nvSpPr>
      <xdr:spPr bwMode="auto">
        <a:xfrm flipV="1">
          <a:off x="14903450" y="2178050"/>
          <a:ext cx="1758950" cy="0"/>
        </a:xfrm>
        <a:prstGeom prst="line">
          <a:avLst/>
        </a:prstGeom>
        <a:noFill/>
        <a:ln w="9525">
          <a:solidFill>
            <a:srgbClr val="92D050"/>
          </a:solidFill>
          <a:prstDash val="sysDot"/>
          <a:round/>
          <a:headEnd/>
          <a:tailEnd/>
        </a:ln>
      </xdr:spPr>
    </xdr:sp>
    <xdr:clientData/>
  </xdr:twoCellAnchor>
  <xdr:twoCellAnchor>
    <xdr:from>
      <xdr:col>19</xdr:col>
      <xdr:colOff>19050</xdr:colOff>
      <xdr:row>15</xdr:row>
      <xdr:rowOff>44450</xdr:rowOff>
    </xdr:from>
    <xdr:to>
      <xdr:col>19</xdr:col>
      <xdr:colOff>787400</xdr:colOff>
      <xdr:row>15</xdr:row>
      <xdr:rowOff>44450</xdr:rowOff>
    </xdr:to>
    <xdr:sp macro="" textlink="">
      <xdr:nvSpPr>
        <xdr:cNvPr id="5501675" name="Line 305">
          <a:extLst>
            <a:ext uri="{FF2B5EF4-FFF2-40B4-BE49-F238E27FC236}">
              <a16:creationId xmlns:a16="http://schemas.microsoft.com/office/drawing/2014/main" id="{00000000-0008-0000-0700-0000EBF25300}"/>
            </a:ext>
          </a:extLst>
        </xdr:cNvPr>
        <xdr:cNvSpPr>
          <a:spLocks noChangeShapeType="1"/>
        </xdr:cNvSpPr>
      </xdr:nvSpPr>
      <xdr:spPr bwMode="auto">
        <a:xfrm flipV="1">
          <a:off x="15868650" y="2641600"/>
          <a:ext cx="768350" cy="0"/>
        </a:xfrm>
        <a:prstGeom prst="line">
          <a:avLst/>
        </a:prstGeom>
        <a:noFill/>
        <a:ln w="9525">
          <a:solidFill>
            <a:srgbClr val="92D050"/>
          </a:solidFill>
          <a:prstDash val="sysDot"/>
          <a:round/>
          <a:headEnd/>
          <a:tailEnd/>
        </a:ln>
      </xdr:spPr>
    </xdr:sp>
    <xdr:clientData/>
  </xdr:twoCellAnchor>
  <xdr:twoCellAnchor>
    <xdr:from>
      <xdr:col>19</xdr:col>
      <xdr:colOff>19050</xdr:colOff>
      <xdr:row>19</xdr:row>
      <xdr:rowOff>25400</xdr:rowOff>
    </xdr:from>
    <xdr:to>
      <xdr:col>19</xdr:col>
      <xdr:colOff>806450</xdr:colOff>
      <xdr:row>19</xdr:row>
      <xdr:rowOff>25400</xdr:rowOff>
    </xdr:to>
    <xdr:sp macro="" textlink="">
      <xdr:nvSpPr>
        <xdr:cNvPr id="5501676" name="Line 308">
          <a:extLst>
            <a:ext uri="{FF2B5EF4-FFF2-40B4-BE49-F238E27FC236}">
              <a16:creationId xmlns:a16="http://schemas.microsoft.com/office/drawing/2014/main" id="{00000000-0008-0000-0700-0000ECF25300}"/>
            </a:ext>
          </a:extLst>
        </xdr:cNvPr>
        <xdr:cNvSpPr>
          <a:spLocks noChangeShapeType="1"/>
        </xdr:cNvSpPr>
      </xdr:nvSpPr>
      <xdr:spPr bwMode="auto">
        <a:xfrm flipH="1" flipV="1">
          <a:off x="15868650" y="3282950"/>
          <a:ext cx="787400" cy="0"/>
        </a:xfrm>
        <a:prstGeom prst="line">
          <a:avLst/>
        </a:prstGeom>
        <a:noFill/>
        <a:ln w="9525">
          <a:solidFill>
            <a:srgbClr val="92D050"/>
          </a:solidFill>
          <a:prstDash val="sysDot"/>
          <a:round/>
          <a:headEnd type="none" w="sm" len="sm"/>
          <a:tailEnd type="none" w="sm" len="sm"/>
        </a:ln>
      </xdr:spPr>
    </xdr:sp>
    <xdr:clientData/>
  </xdr:twoCellAnchor>
  <xdr:twoCellAnchor>
    <xdr:from>
      <xdr:col>15</xdr:col>
      <xdr:colOff>812800</xdr:colOff>
      <xdr:row>28</xdr:row>
      <xdr:rowOff>88900</xdr:rowOff>
    </xdr:from>
    <xdr:to>
      <xdr:col>16</xdr:col>
      <xdr:colOff>323850</xdr:colOff>
      <xdr:row>28</xdr:row>
      <xdr:rowOff>88900</xdr:rowOff>
    </xdr:to>
    <xdr:sp macro="" textlink="">
      <xdr:nvSpPr>
        <xdr:cNvPr id="5501677" name="Line 310">
          <a:extLst>
            <a:ext uri="{FF2B5EF4-FFF2-40B4-BE49-F238E27FC236}">
              <a16:creationId xmlns:a16="http://schemas.microsoft.com/office/drawing/2014/main" id="{00000000-0008-0000-0700-0000EDF25300}"/>
            </a:ext>
          </a:extLst>
        </xdr:cNvPr>
        <xdr:cNvSpPr>
          <a:spLocks noChangeShapeType="1"/>
        </xdr:cNvSpPr>
      </xdr:nvSpPr>
      <xdr:spPr bwMode="auto">
        <a:xfrm>
          <a:off x="12763500" y="4838700"/>
          <a:ext cx="323850" cy="0"/>
        </a:xfrm>
        <a:prstGeom prst="line">
          <a:avLst/>
        </a:prstGeom>
        <a:noFill/>
        <a:ln w="9525">
          <a:solidFill>
            <a:srgbClr val="000000"/>
          </a:solidFill>
          <a:round/>
          <a:headEnd/>
          <a:tailEnd/>
        </a:ln>
      </xdr:spPr>
    </xdr:sp>
    <xdr:clientData/>
  </xdr:twoCellAnchor>
  <xdr:twoCellAnchor>
    <xdr:from>
      <xdr:col>16</xdr:col>
      <xdr:colOff>234950</xdr:colOff>
      <xdr:row>27</xdr:row>
      <xdr:rowOff>127000</xdr:rowOff>
    </xdr:from>
    <xdr:to>
      <xdr:col>17</xdr:col>
      <xdr:colOff>69850</xdr:colOff>
      <xdr:row>27</xdr:row>
      <xdr:rowOff>127000</xdr:rowOff>
    </xdr:to>
    <xdr:sp macro="" textlink="">
      <xdr:nvSpPr>
        <xdr:cNvPr id="5501678" name="Line 277">
          <a:extLst>
            <a:ext uri="{FF2B5EF4-FFF2-40B4-BE49-F238E27FC236}">
              <a16:creationId xmlns:a16="http://schemas.microsoft.com/office/drawing/2014/main" id="{00000000-0008-0000-0700-0000EEF25300}"/>
            </a:ext>
          </a:extLst>
        </xdr:cNvPr>
        <xdr:cNvSpPr>
          <a:spLocks noChangeShapeType="1"/>
        </xdr:cNvSpPr>
      </xdr:nvSpPr>
      <xdr:spPr bwMode="auto">
        <a:xfrm>
          <a:off x="12998450" y="4705350"/>
          <a:ext cx="647700" cy="0"/>
        </a:xfrm>
        <a:prstGeom prst="line">
          <a:avLst/>
        </a:prstGeom>
        <a:noFill/>
        <a:ln w="6350">
          <a:solidFill>
            <a:srgbClr val="000000"/>
          </a:solidFill>
          <a:round/>
          <a:headEnd/>
          <a:tailEnd/>
        </a:ln>
      </xdr:spPr>
    </xdr:sp>
    <xdr:clientData/>
  </xdr:twoCellAnchor>
  <xdr:twoCellAnchor>
    <xdr:from>
      <xdr:col>17</xdr:col>
      <xdr:colOff>412750</xdr:colOff>
      <xdr:row>28</xdr:row>
      <xdr:rowOff>127000</xdr:rowOff>
    </xdr:from>
    <xdr:to>
      <xdr:col>19</xdr:col>
      <xdr:colOff>82550</xdr:colOff>
      <xdr:row>28</xdr:row>
      <xdr:rowOff>127000</xdr:rowOff>
    </xdr:to>
    <xdr:sp macro="" textlink="">
      <xdr:nvSpPr>
        <xdr:cNvPr id="5501679" name="Line 280">
          <a:extLst>
            <a:ext uri="{FF2B5EF4-FFF2-40B4-BE49-F238E27FC236}">
              <a16:creationId xmlns:a16="http://schemas.microsoft.com/office/drawing/2014/main" id="{00000000-0008-0000-0700-0000EFF25300}"/>
            </a:ext>
          </a:extLst>
        </xdr:cNvPr>
        <xdr:cNvSpPr>
          <a:spLocks noChangeShapeType="1"/>
        </xdr:cNvSpPr>
      </xdr:nvSpPr>
      <xdr:spPr bwMode="auto">
        <a:xfrm flipV="1">
          <a:off x="13989050" y="4876800"/>
          <a:ext cx="1943100" cy="0"/>
        </a:xfrm>
        <a:prstGeom prst="line">
          <a:avLst/>
        </a:prstGeom>
        <a:noFill/>
        <a:ln w="6350">
          <a:solidFill>
            <a:srgbClr val="000000"/>
          </a:solidFill>
          <a:round/>
          <a:headEnd/>
          <a:tailEnd/>
        </a:ln>
      </xdr:spPr>
    </xdr:sp>
    <xdr:clientData/>
  </xdr:twoCellAnchor>
  <xdr:twoCellAnchor>
    <xdr:from>
      <xdr:col>18</xdr:col>
      <xdr:colOff>165100</xdr:colOff>
      <xdr:row>30</xdr:row>
      <xdr:rowOff>44450</xdr:rowOff>
    </xdr:from>
    <xdr:to>
      <xdr:col>18</xdr:col>
      <xdr:colOff>927100</xdr:colOff>
      <xdr:row>30</xdr:row>
      <xdr:rowOff>44450</xdr:rowOff>
    </xdr:to>
    <xdr:sp macro="" textlink="">
      <xdr:nvSpPr>
        <xdr:cNvPr id="5501680" name="Line 280">
          <a:extLst>
            <a:ext uri="{FF2B5EF4-FFF2-40B4-BE49-F238E27FC236}">
              <a16:creationId xmlns:a16="http://schemas.microsoft.com/office/drawing/2014/main" id="{00000000-0008-0000-0700-0000F0F25300}"/>
            </a:ext>
          </a:extLst>
        </xdr:cNvPr>
        <xdr:cNvSpPr>
          <a:spLocks noChangeShapeType="1"/>
        </xdr:cNvSpPr>
      </xdr:nvSpPr>
      <xdr:spPr bwMode="auto">
        <a:xfrm>
          <a:off x="14878050" y="5137150"/>
          <a:ext cx="762000" cy="0"/>
        </a:xfrm>
        <a:prstGeom prst="line">
          <a:avLst/>
        </a:prstGeom>
        <a:noFill/>
        <a:ln w="6350">
          <a:solidFill>
            <a:srgbClr val="000000"/>
          </a:solidFill>
          <a:round/>
          <a:headEnd/>
          <a:tailEnd/>
        </a:ln>
      </xdr:spPr>
    </xdr:sp>
    <xdr:clientData/>
  </xdr:twoCellAnchor>
  <xdr:twoCellAnchor>
    <xdr:from>
      <xdr:col>17</xdr:col>
      <xdr:colOff>1047750</xdr:colOff>
      <xdr:row>20</xdr:row>
      <xdr:rowOff>0</xdr:rowOff>
    </xdr:from>
    <xdr:to>
      <xdr:col>18</xdr:col>
      <xdr:colOff>158750</xdr:colOff>
      <xdr:row>30</xdr:row>
      <xdr:rowOff>44450</xdr:rowOff>
    </xdr:to>
    <xdr:sp macro="" textlink="">
      <xdr:nvSpPr>
        <xdr:cNvPr id="5501681" name="Rectangle 139">
          <a:extLst>
            <a:ext uri="{FF2B5EF4-FFF2-40B4-BE49-F238E27FC236}">
              <a16:creationId xmlns:a16="http://schemas.microsoft.com/office/drawing/2014/main" id="{00000000-0008-0000-0700-0000F1F25300}"/>
            </a:ext>
          </a:extLst>
        </xdr:cNvPr>
        <xdr:cNvSpPr>
          <a:spLocks noChangeArrowheads="1"/>
        </xdr:cNvSpPr>
      </xdr:nvSpPr>
      <xdr:spPr bwMode="auto">
        <a:xfrm>
          <a:off x="14624050" y="3422650"/>
          <a:ext cx="247650" cy="1714500"/>
        </a:xfrm>
        <a:prstGeom prst="rect">
          <a:avLst/>
        </a:prstGeom>
        <a:noFill/>
        <a:ln w="9525" algn="ctr">
          <a:solidFill>
            <a:srgbClr val="00B0F0"/>
          </a:solidFill>
          <a:prstDash val="sysDash"/>
          <a:round/>
          <a:headEnd/>
          <a:tailEnd/>
        </a:ln>
      </xdr:spPr>
    </xdr:sp>
    <xdr:clientData/>
  </xdr:twoCellAnchor>
  <xdr:twoCellAnchor>
    <xdr:from>
      <xdr:col>18</xdr:col>
      <xdr:colOff>927100</xdr:colOff>
      <xdr:row>1</xdr:row>
      <xdr:rowOff>12700</xdr:rowOff>
    </xdr:from>
    <xdr:to>
      <xdr:col>18</xdr:col>
      <xdr:colOff>927100</xdr:colOff>
      <xdr:row>29</xdr:row>
      <xdr:rowOff>69850</xdr:rowOff>
    </xdr:to>
    <xdr:sp macro="" textlink="">
      <xdr:nvSpPr>
        <xdr:cNvPr id="5501682" name="Line 270">
          <a:extLst>
            <a:ext uri="{FF2B5EF4-FFF2-40B4-BE49-F238E27FC236}">
              <a16:creationId xmlns:a16="http://schemas.microsoft.com/office/drawing/2014/main" id="{00000000-0008-0000-0700-0000F2F25300}"/>
            </a:ext>
          </a:extLst>
        </xdr:cNvPr>
        <xdr:cNvSpPr>
          <a:spLocks noChangeShapeType="1"/>
        </xdr:cNvSpPr>
      </xdr:nvSpPr>
      <xdr:spPr bwMode="auto">
        <a:xfrm flipH="1">
          <a:off x="15640050" y="184150"/>
          <a:ext cx="0" cy="4806950"/>
        </a:xfrm>
        <a:prstGeom prst="line">
          <a:avLst/>
        </a:prstGeom>
        <a:noFill/>
        <a:ln w="6350">
          <a:solidFill>
            <a:srgbClr val="000000"/>
          </a:solidFill>
          <a:round/>
          <a:headEnd type="triangle" w="sm" len="lg"/>
          <a:tailEnd type="triangle" w="sm" len="lg"/>
        </a:ln>
      </xdr:spPr>
    </xdr:sp>
    <xdr:clientData/>
  </xdr:twoCellAnchor>
  <xdr:twoCellAnchor>
    <xdr:from>
      <xdr:col>17</xdr:col>
      <xdr:colOff>12700</xdr:colOff>
      <xdr:row>33</xdr:row>
      <xdr:rowOff>95250</xdr:rowOff>
    </xdr:from>
    <xdr:to>
      <xdr:col>17</xdr:col>
      <xdr:colOff>520700</xdr:colOff>
      <xdr:row>33</xdr:row>
      <xdr:rowOff>95250</xdr:rowOff>
    </xdr:to>
    <xdr:sp macro="" textlink="">
      <xdr:nvSpPr>
        <xdr:cNvPr id="5501683" name="Line 301">
          <a:extLst>
            <a:ext uri="{FF2B5EF4-FFF2-40B4-BE49-F238E27FC236}">
              <a16:creationId xmlns:a16="http://schemas.microsoft.com/office/drawing/2014/main" id="{00000000-0008-0000-0700-0000F3F25300}"/>
            </a:ext>
          </a:extLst>
        </xdr:cNvPr>
        <xdr:cNvSpPr>
          <a:spLocks noChangeShapeType="1"/>
        </xdr:cNvSpPr>
      </xdr:nvSpPr>
      <xdr:spPr bwMode="auto">
        <a:xfrm>
          <a:off x="13589000" y="5702300"/>
          <a:ext cx="508000" cy="0"/>
        </a:xfrm>
        <a:prstGeom prst="line">
          <a:avLst/>
        </a:prstGeom>
        <a:noFill/>
        <a:ln w="9525">
          <a:solidFill>
            <a:srgbClr val="000000"/>
          </a:solidFill>
          <a:round/>
          <a:headEnd/>
          <a:tailEnd/>
        </a:ln>
      </xdr:spPr>
    </xdr:sp>
    <xdr:clientData/>
  </xdr:twoCellAnchor>
  <xdr:twoCellAnchor>
    <xdr:from>
      <xdr:col>18</xdr:col>
      <xdr:colOff>787400</xdr:colOff>
      <xdr:row>1</xdr:row>
      <xdr:rowOff>19050</xdr:rowOff>
    </xdr:from>
    <xdr:to>
      <xdr:col>18</xdr:col>
      <xdr:colOff>787400</xdr:colOff>
      <xdr:row>30</xdr:row>
      <xdr:rowOff>38100</xdr:rowOff>
    </xdr:to>
    <xdr:sp macro="" textlink="">
      <xdr:nvSpPr>
        <xdr:cNvPr id="5501684" name="Line 270">
          <a:extLst>
            <a:ext uri="{FF2B5EF4-FFF2-40B4-BE49-F238E27FC236}">
              <a16:creationId xmlns:a16="http://schemas.microsoft.com/office/drawing/2014/main" id="{00000000-0008-0000-0700-0000F4F25300}"/>
            </a:ext>
          </a:extLst>
        </xdr:cNvPr>
        <xdr:cNvSpPr>
          <a:spLocks noChangeShapeType="1"/>
        </xdr:cNvSpPr>
      </xdr:nvSpPr>
      <xdr:spPr bwMode="auto">
        <a:xfrm>
          <a:off x="15500350" y="190500"/>
          <a:ext cx="0" cy="4940300"/>
        </a:xfrm>
        <a:prstGeom prst="line">
          <a:avLst/>
        </a:prstGeom>
        <a:noFill/>
        <a:ln w="6350">
          <a:solidFill>
            <a:srgbClr val="000000"/>
          </a:solidFill>
          <a:round/>
          <a:headEnd type="triangle" w="sm" len="lg"/>
          <a:tailEnd type="triangle" w="sm" len="lg"/>
        </a:ln>
      </xdr:spPr>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omments" Target="../comments1.xml"/><Relationship Id="rId2" Type="http://schemas.openxmlformats.org/officeDocument/2006/relationships/drawing" Target="../drawings/drawing1.xml"/><Relationship Id="rId16" Type="http://schemas.openxmlformats.org/officeDocument/2006/relationships/ctrlProp" Target="../ctrlProps/ctrlProp1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6.xml"/><Relationship Id="rId3" Type="http://schemas.openxmlformats.org/officeDocument/2006/relationships/vmlDrawing" Target="../drawings/vmlDrawing2.vml"/><Relationship Id="rId7" Type="http://schemas.openxmlformats.org/officeDocument/2006/relationships/ctrlProp" Target="../ctrlProps/ctrlProp15.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14.xml"/><Relationship Id="rId11" Type="http://schemas.openxmlformats.org/officeDocument/2006/relationships/comments" Target="../comments2.xml"/><Relationship Id="rId5" Type="http://schemas.openxmlformats.org/officeDocument/2006/relationships/image" Target="../media/image6.emf"/><Relationship Id="rId10" Type="http://schemas.openxmlformats.org/officeDocument/2006/relationships/ctrlProp" Target="../ctrlProps/ctrlProp18.xml"/><Relationship Id="rId4" Type="http://schemas.openxmlformats.org/officeDocument/2006/relationships/oleObject" Target="../embeddings/oleObject1.bin"/><Relationship Id="rId9" Type="http://schemas.openxmlformats.org/officeDocument/2006/relationships/ctrlProp" Target="../ctrlProps/ctrlProp17.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oleObject" Target="../embeddings/oleObject12.bin"/><Relationship Id="rId21" Type="http://schemas.openxmlformats.org/officeDocument/2006/relationships/image" Target="../media/image14.emf"/><Relationship Id="rId42" Type="http://schemas.openxmlformats.org/officeDocument/2006/relationships/oleObject" Target="../embeddings/oleObject20.bin"/><Relationship Id="rId47" Type="http://schemas.openxmlformats.org/officeDocument/2006/relationships/image" Target="../media/image27.emf"/><Relationship Id="rId63" Type="http://schemas.openxmlformats.org/officeDocument/2006/relationships/image" Target="../media/image35.emf"/><Relationship Id="rId68" Type="http://schemas.openxmlformats.org/officeDocument/2006/relationships/oleObject" Target="../embeddings/oleObject33.bin"/><Relationship Id="rId16" Type="http://schemas.openxmlformats.org/officeDocument/2006/relationships/oleObject" Target="../embeddings/oleObject7.bin"/><Relationship Id="rId11" Type="http://schemas.openxmlformats.org/officeDocument/2006/relationships/image" Target="../media/image9.emf"/><Relationship Id="rId24" Type="http://schemas.openxmlformats.org/officeDocument/2006/relationships/oleObject" Target="../embeddings/oleObject11.bin"/><Relationship Id="rId32" Type="http://schemas.openxmlformats.org/officeDocument/2006/relationships/oleObject" Target="../embeddings/oleObject15.bin"/><Relationship Id="rId37" Type="http://schemas.openxmlformats.org/officeDocument/2006/relationships/image" Target="../media/image22.emf"/><Relationship Id="rId40" Type="http://schemas.openxmlformats.org/officeDocument/2006/relationships/oleObject" Target="../embeddings/oleObject19.bin"/><Relationship Id="rId45" Type="http://schemas.openxmlformats.org/officeDocument/2006/relationships/image" Target="../media/image26.emf"/><Relationship Id="rId53" Type="http://schemas.openxmlformats.org/officeDocument/2006/relationships/image" Target="../media/image30.emf"/><Relationship Id="rId58" Type="http://schemas.openxmlformats.org/officeDocument/2006/relationships/oleObject" Target="../embeddings/oleObject28.bin"/><Relationship Id="rId66" Type="http://schemas.openxmlformats.org/officeDocument/2006/relationships/oleObject" Target="../embeddings/oleObject32.bin"/><Relationship Id="rId74" Type="http://schemas.openxmlformats.org/officeDocument/2006/relationships/oleObject" Target="../embeddings/oleObject36.bin"/><Relationship Id="rId5" Type="http://schemas.openxmlformats.org/officeDocument/2006/relationships/vmlDrawing" Target="../drawings/vmlDrawing3.vml"/><Relationship Id="rId61" Type="http://schemas.openxmlformats.org/officeDocument/2006/relationships/image" Target="../media/image34.emf"/><Relationship Id="rId19" Type="http://schemas.openxmlformats.org/officeDocument/2006/relationships/image" Target="../media/image13.emf"/><Relationship Id="rId14" Type="http://schemas.openxmlformats.org/officeDocument/2006/relationships/oleObject" Target="../embeddings/oleObject6.bin"/><Relationship Id="rId22" Type="http://schemas.openxmlformats.org/officeDocument/2006/relationships/oleObject" Target="../embeddings/oleObject10.bin"/><Relationship Id="rId27" Type="http://schemas.openxmlformats.org/officeDocument/2006/relationships/image" Target="../media/image17.emf"/><Relationship Id="rId30" Type="http://schemas.openxmlformats.org/officeDocument/2006/relationships/oleObject" Target="../embeddings/oleObject14.bin"/><Relationship Id="rId35" Type="http://schemas.openxmlformats.org/officeDocument/2006/relationships/image" Target="../media/image21.emf"/><Relationship Id="rId43" Type="http://schemas.openxmlformats.org/officeDocument/2006/relationships/image" Target="../media/image25.emf"/><Relationship Id="rId48" Type="http://schemas.openxmlformats.org/officeDocument/2006/relationships/oleObject" Target="../embeddings/oleObject23.bin"/><Relationship Id="rId56" Type="http://schemas.openxmlformats.org/officeDocument/2006/relationships/oleObject" Target="../embeddings/oleObject27.bin"/><Relationship Id="rId64" Type="http://schemas.openxmlformats.org/officeDocument/2006/relationships/oleObject" Target="../embeddings/oleObject31.bin"/><Relationship Id="rId69" Type="http://schemas.openxmlformats.org/officeDocument/2006/relationships/image" Target="../media/image38.emf"/><Relationship Id="rId77" Type="http://schemas.openxmlformats.org/officeDocument/2006/relationships/image" Target="../media/image42.emf"/><Relationship Id="rId8" Type="http://schemas.openxmlformats.org/officeDocument/2006/relationships/oleObject" Target="../embeddings/oleObject3.bin"/><Relationship Id="rId51" Type="http://schemas.openxmlformats.org/officeDocument/2006/relationships/image" Target="../media/image29.emf"/><Relationship Id="rId72" Type="http://schemas.openxmlformats.org/officeDocument/2006/relationships/oleObject" Target="../embeddings/oleObject35.bin"/><Relationship Id="rId3" Type="http://schemas.openxmlformats.org/officeDocument/2006/relationships/printerSettings" Target="../printerSettings/printerSettings5.bin"/><Relationship Id="rId12" Type="http://schemas.openxmlformats.org/officeDocument/2006/relationships/oleObject" Target="../embeddings/oleObject5.bin"/><Relationship Id="rId17" Type="http://schemas.openxmlformats.org/officeDocument/2006/relationships/image" Target="../media/image12.emf"/><Relationship Id="rId25" Type="http://schemas.openxmlformats.org/officeDocument/2006/relationships/image" Target="../media/image16.emf"/><Relationship Id="rId33" Type="http://schemas.openxmlformats.org/officeDocument/2006/relationships/image" Target="../media/image20.emf"/><Relationship Id="rId38" Type="http://schemas.openxmlformats.org/officeDocument/2006/relationships/oleObject" Target="../embeddings/oleObject18.bin"/><Relationship Id="rId46" Type="http://schemas.openxmlformats.org/officeDocument/2006/relationships/oleObject" Target="../embeddings/oleObject22.bin"/><Relationship Id="rId59" Type="http://schemas.openxmlformats.org/officeDocument/2006/relationships/image" Target="../media/image33.emf"/><Relationship Id="rId67" Type="http://schemas.openxmlformats.org/officeDocument/2006/relationships/image" Target="../media/image37.emf"/><Relationship Id="rId20" Type="http://schemas.openxmlformats.org/officeDocument/2006/relationships/oleObject" Target="../embeddings/oleObject9.bin"/><Relationship Id="rId41" Type="http://schemas.openxmlformats.org/officeDocument/2006/relationships/image" Target="../media/image24.emf"/><Relationship Id="rId54" Type="http://schemas.openxmlformats.org/officeDocument/2006/relationships/oleObject" Target="../embeddings/oleObject26.bin"/><Relationship Id="rId62" Type="http://schemas.openxmlformats.org/officeDocument/2006/relationships/oleObject" Target="../embeddings/oleObject30.bin"/><Relationship Id="rId70" Type="http://schemas.openxmlformats.org/officeDocument/2006/relationships/oleObject" Target="../embeddings/oleObject34.bin"/><Relationship Id="rId75" Type="http://schemas.openxmlformats.org/officeDocument/2006/relationships/image" Target="../media/image41.emf"/><Relationship Id="rId1" Type="http://schemas.openxmlformats.org/officeDocument/2006/relationships/hyperlink" Target="http://en.wikipedia.org/wiki/Template:Numerical_integrators" TargetMode="External"/><Relationship Id="rId6" Type="http://schemas.openxmlformats.org/officeDocument/2006/relationships/oleObject" Target="../embeddings/oleObject2.bin"/><Relationship Id="rId15" Type="http://schemas.openxmlformats.org/officeDocument/2006/relationships/image" Target="../media/image11.emf"/><Relationship Id="rId23" Type="http://schemas.openxmlformats.org/officeDocument/2006/relationships/image" Target="../media/image15.emf"/><Relationship Id="rId28" Type="http://schemas.openxmlformats.org/officeDocument/2006/relationships/oleObject" Target="../embeddings/oleObject13.bin"/><Relationship Id="rId36" Type="http://schemas.openxmlformats.org/officeDocument/2006/relationships/oleObject" Target="../embeddings/oleObject17.bin"/><Relationship Id="rId49" Type="http://schemas.openxmlformats.org/officeDocument/2006/relationships/image" Target="../media/image28.emf"/><Relationship Id="rId57" Type="http://schemas.openxmlformats.org/officeDocument/2006/relationships/image" Target="../media/image32.emf"/><Relationship Id="rId10" Type="http://schemas.openxmlformats.org/officeDocument/2006/relationships/oleObject" Target="../embeddings/oleObject4.bin"/><Relationship Id="rId31" Type="http://schemas.openxmlformats.org/officeDocument/2006/relationships/image" Target="../media/image19.emf"/><Relationship Id="rId44" Type="http://schemas.openxmlformats.org/officeDocument/2006/relationships/oleObject" Target="../embeddings/oleObject21.bin"/><Relationship Id="rId52" Type="http://schemas.openxmlformats.org/officeDocument/2006/relationships/oleObject" Target="../embeddings/oleObject25.bin"/><Relationship Id="rId60" Type="http://schemas.openxmlformats.org/officeDocument/2006/relationships/oleObject" Target="../embeddings/oleObject29.bin"/><Relationship Id="rId65" Type="http://schemas.openxmlformats.org/officeDocument/2006/relationships/image" Target="../media/image36.emf"/><Relationship Id="rId73" Type="http://schemas.openxmlformats.org/officeDocument/2006/relationships/image" Target="../media/image40.emf"/><Relationship Id="rId4" Type="http://schemas.openxmlformats.org/officeDocument/2006/relationships/drawing" Target="../drawings/drawing5.xml"/><Relationship Id="rId9" Type="http://schemas.openxmlformats.org/officeDocument/2006/relationships/image" Target="../media/image8.emf"/><Relationship Id="rId13" Type="http://schemas.openxmlformats.org/officeDocument/2006/relationships/image" Target="../media/image10.emf"/><Relationship Id="rId18" Type="http://schemas.openxmlformats.org/officeDocument/2006/relationships/oleObject" Target="../embeddings/oleObject8.bin"/><Relationship Id="rId39" Type="http://schemas.openxmlformats.org/officeDocument/2006/relationships/image" Target="../media/image23.emf"/><Relationship Id="rId34" Type="http://schemas.openxmlformats.org/officeDocument/2006/relationships/oleObject" Target="../embeddings/oleObject16.bin"/><Relationship Id="rId50" Type="http://schemas.openxmlformats.org/officeDocument/2006/relationships/oleObject" Target="../embeddings/oleObject24.bin"/><Relationship Id="rId55" Type="http://schemas.openxmlformats.org/officeDocument/2006/relationships/image" Target="../media/image31.emf"/><Relationship Id="rId76" Type="http://schemas.openxmlformats.org/officeDocument/2006/relationships/oleObject" Target="../embeddings/oleObject37.bin"/><Relationship Id="rId7" Type="http://schemas.openxmlformats.org/officeDocument/2006/relationships/image" Target="../media/image7.emf"/><Relationship Id="rId71" Type="http://schemas.openxmlformats.org/officeDocument/2006/relationships/image" Target="../media/image39.emf"/><Relationship Id="rId2" Type="http://schemas.openxmlformats.org/officeDocument/2006/relationships/hyperlink" Target="http://www.planete-sciences.org/espace/basedoc/" TargetMode="External"/><Relationship Id="rId29" Type="http://schemas.openxmlformats.org/officeDocument/2006/relationships/image" Target="../media/image18.emf"/></Relationships>
</file>

<file path=xl/worksheets/_rels/sheet6.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vmlDrawing" Target="../drawings/vmlDrawing4.vml"/><Relationship Id="rId7" Type="http://schemas.openxmlformats.org/officeDocument/2006/relationships/ctrlProp" Target="../ctrlProps/ctrlProp20.xml"/><Relationship Id="rId2" Type="http://schemas.openxmlformats.org/officeDocument/2006/relationships/drawing" Target="../drawings/drawing6.xml"/><Relationship Id="rId1" Type="http://schemas.openxmlformats.org/officeDocument/2006/relationships/printerSettings" Target="../printerSettings/printerSettings6.bin"/><Relationship Id="rId6" Type="http://schemas.openxmlformats.org/officeDocument/2006/relationships/ctrlProp" Target="../ctrlProps/ctrlProp19.xml"/><Relationship Id="rId5" Type="http://schemas.openxmlformats.org/officeDocument/2006/relationships/image" Target="../media/image43.emf"/><Relationship Id="rId4" Type="http://schemas.openxmlformats.org/officeDocument/2006/relationships/oleObject" Target="../embeddings/oleObject38.bin"/></Relationships>
</file>

<file path=xl/worksheets/_rels/sheet7.xml.rels><?xml version="1.0" encoding="UTF-8" standalone="yes"?>
<Relationships xmlns="http://schemas.openxmlformats.org/package/2006/relationships"><Relationship Id="rId3" Type="http://schemas.openxmlformats.org/officeDocument/2006/relationships/hyperlink" Target="http://creativecommons.org/licenses/by-sa/3.0/" TargetMode="External"/><Relationship Id="rId7" Type="http://schemas.openxmlformats.org/officeDocument/2006/relationships/comments" Target="../comments4.xml"/><Relationship Id="rId2" Type="http://schemas.openxmlformats.org/officeDocument/2006/relationships/hyperlink" Target="mailto:espace@planete-sciences.org" TargetMode="External"/><Relationship Id="rId1" Type="http://schemas.openxmlformats.org/officeDocument/2006/relationships/hyperlink" Target="http://www.planete-sciences.org/espace/basedoc/" TargetMode="External"/><Relationship Id="rId6" Type="http://schemas.openxmlformats.org/officeDocument/2006/relationships/vmlDrawing" Target="../drawings/vmlDrawing5.v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
    <pageSetUpPr fitToPage="1"/>
  </sheetPr>
  <dimension ref="A1:W361"/>
  <sheetViews>
    <sheetView showGridLines="0" zoomScale="115" zoomScaleNormal="115" zoomScaleSheetLayoutView="100" workbookViewId="0">
      <selection activeCell="W19" sqref="W19"/>
    </sheetView>
  </sheetViews>
  <sheetFormatPr baseColWidth="10" defaultColWidth="11.42578125" defaultRowHeight="12.75" x14ac:dyDescent="0.2"/>
  <cols>
    <col min="1" max="1" width="2.140625" style="24" customWidth="1"/>
    <col min="2" max="2" width="16.140625" style="24" customWidth="1"/>
    <col min="3" max="3" width="12.85546875" style="31" customWidth="1"/>
    <col min="4" max="4" width="12.85546875" style="24" customWidth="1"/>
    <col min="5" max="5" width="4.140625" style="89" customWidth="1"/>
    <col min="6" max="6" width="10.140625" style="26" bestFit="1" customWidth="1"/>
    <col min="7" max="7" width="10" style="26" bestFit="1" customWidth="1"/>
    <col min="8" max="9" width="8.5703125" style="26" customWidth="1"/>
    <col min="10" max="10" width="5.42578125" style="24" customWidth="1"/>
    <col min="11" max="11" width="2.140625" style="24" customWidth="1"/>
    <col min="12" max="12" width="17" style="24" customWidth="1"/>
    <col min="13" max="13" width="8.5703125" style="24" customWidth="1"/>
    <col min="14" max="15" width="4.140625" style="24" customWidth="1"/>
    <col min="16" max="16" width="8.5703125" style="24" customWidth="1"/>
    <col min="17" max="18" width="2.140625" style="24" customWidth="1"/>
    <col min="19" max="16384" width="11.42578125" style="24"/>
  </cols>
  <sheetData>
    <row r="1" spans="1:20" ht="12.75" customHeight="1" x14ac:dyDescent="0.2">
      <c r="A1" s="19"/>
      <c r="B1" s="20"/>
      <c r="C1" s="21"/>
      <c r="D1" s="20"/>
      <c r="E1" s="88"/>
      <c r="F1" s="22"/>
      <c r="G1" s="22"/>
      <c r="H1" s="22"/>
      <c r="I1" s="22"/>
      <c r="J1" s="20"/>
      <c r="K1" s="20"/>
      <c r="L1" s="20"/>
      <c r="M1" s="20"/>
      <c r="N1" s="20"/>
      <c r="O1" s="20"/>
      <c r="P1" s="20"/>
      <c r="Q1" s="23"/>
    </row>
    <row r="2" spans="1:20" ht="12.75" customHeight="1" x14ac:dyDescent="0.2">
      <c r="A2" s="25"/>
      <c r="C2" s="568" t="s">
        <v>53</v>
      </c>
      <c r="D2" s="568"/>
      <c r="L2" s="147" t="str">
        <f>"Language/Langue"</f>
        <v>Language/Langue</v>
      </c>
      <c r="M2" s="544" t="s">
        <v>1</v>
      </c>
      <c r="N2" s="544"/>
      <c r="O2" s="544"/>
      <c r="P2" s="545"/>
      <c r="Q2" s="27"/>
    </row>
    <row r="3" spans="1:20" ht="12.75" customHeight="1" x14ac:dyDescent="0.2">
      <c r="A3" s="25"/>
      <c r="C3" s="568"/>
      <c r="D3" s="568"/>
      <c r="L3" s="555"/>
      <c r="M3" s="555"/>
      <c r="N3" s="45"/>
      <c r="Q3" s="27"/>
    </row>
    <row r="4" spans="1:20" ht="12.75" customHeight="1" x14ac:dyDescent="0.2">
      <c r="A4" s="25"/>
      <c r="C4" s="569" t="str">
        <f>IF(Lang="Français","Stabilité de fusée à ailerons",IF(Lang="English","Stability for rocket with fins",""))</f>
        <v>Stabilité de fusée à ailerons</v>
      </c>
      <c r="D4" s="569"/>
      <c r="L4" s="33"/>
      <c r="M4" s="544" t="s">
        <v>571</v>
      </c>
      <c r="N4" s="544"/>
      <c r="O4" s="544"/>
      <c r="P4" s="545"/>
      <c r="Q4" s="27"/>
    </row>
    <row r="5" spans="1:20" ht="12.75" customHeight="1" x14ac:dyDescent="0.25">
      <c r="A5" s="25"/>
      <c r="B5" s="28"/>
      <c r="C5" s="583"/>
      <c r="D5" s="583"/>
      <c r="L5" s="33"/>
      <c r="M5" s="575" t="s">
        <v>156</v>
      </c>
      <c r="N5" s="576"/>
      <c r="O5" s="558" t="s">
        <v>157</v>
      </c>
      <c r="P5" s="558"/>
      <c r="Q5" s="29"/>
    </row>
    <row r="6" spans="1:20" ht="12.75" customHeight="1" thickBot="1" x14ac:dyDescent="0.25">
      <c r="A6" s="25"/>
      <c r="B6" s="87"/>
      <c r="C6" s="593" t="str">
        <f>IF(Lang="Français","Remplir les cases jaunes",IF(Lang="English","Fill-in yellow cells only",""))</f>
        <v>Remplir les cases jaunes</v>
      </c>
      <c r="D6" s="593"/>
      <c r="L6" s="139" t="str">
        <f>IF(Lang="Français","Longueur      'L'",IF(Lang="English","Length      'L'",""))</f>
        <v>Longueur      'L'</v>
      </c>
      <c r="M6" s="564">
        <v>60</v>
      </c>
      <c r="N6" s="565"/>
      <c r="O6" s="550">
        <v>40</v>
      </c>
      <c r="P6" s="550"/>
      <c r="Q6" s="29"/>
    </row>
    <row r="7" spans="1:20" ht="12.75" customHeight="1" thickTop="1" thickBot="1" x14ac:dyDescent="0.25">
      <c r="A7" s="25"/>
      <c r="B7" s="31"/>
      <c r="C7" s="571" t="str">
        <f>IF(Lang="Français","Fusée",IF(Lang="English","Rocket",""))</f>
        <v>Fusée</v>
      </c>
      <c r="D7" s="572"/>
      <c r="L7" s="139" t="str">
        <f>IF(Lang="Français","Diamètre     'D1'",IF(Lang="English","Diameter 'D1'",""))</f>
        <v>Diamètre     'D1'</v>
      </c>
      <c r="M7" s="564">
        <v>84</v>
      </c>
      <c r="N7" s="565"/>
      <c r="O7" s="550">
        <v>104</v>
      </c>
      <c r="P7" s="550"/>
      <c r="Q7" s="29"/>
    </row>
    <row r="8" spans="1:20" ht="12.75" customHeight="1" thickTop="1" x14ac:dyDescent="0.2">
      <c r="A8" s="25"/>
      <c r="B8" s="138" t="str">
        <f>IF(Lang="Français","Nom",IF(Lang="English","Name",""))</f>
        <v>Nom</v>
      </c>
      <c r="C8" s="594" t="s">
        <v>572</v>
      </c>
      <c r="D8" s="594"/>
      <c r="E8" s="90"/>
      <c r="K8" s="33"/>
      <c r="L8" s="139" t="str">
        <f>IF(Lang="Français","Diamètre     'D2'",IF(Lang="English","Diameter 'D2'",""))</f>
        <v>Diamètre     'D2'</v>
      </c>
      <c r="M8" s="564">
        <v>104</v>
      </c>
      <c r="N8" s="565"/>
      <c r="O8" s="550">
        <v>84</v>
      </c>
      <c r="P8" s="550"/>
      <c r="Q8" s="29"/>
    </row>
    <row r="9" spans="1:20" ht="12.75" customHeight="1" x14ac:dyDescent="0.2">
      <c r="A9" s="25"/>
      <c r="B9" s="138" t="s">
        <v>4</v>
      </c>
      <c r="C9" s="595" t="s">
        <v>569</v>
      </c>
      <c r="D9" s="595"/>
      <c r="E9" s="90"/>
      <c r="K9" s="33"/>
      <c r="L9" s="139" t="str">
        <f>IF(Lang="Français","Implantation 'x'",IF(Lang="English","Basement 'x'",""))</f>
        <v>Implantation 'x'</v>
      </c>
      <c r="M9" s="564">
        <v>942</v>
      </c>
      <c r="N9" s="565"/>
      <c r="O9" s="550">
        <v>2002</v>
      </c>
      <c r="P9" s="550"/>
      <c r="Q9" s="29"/>
    </row>
    <row r="10" spans="1:20" ht="12.75" customHeight="1" x14ac:dyDescent="0.2">
      <c r="A10" s="25"/>
      <c r="B10" s="138" t="s">
        <v>563</v>
      </c>
      <c r="C10" s="537" t="str">
        <f>IF((LEFT(Type_fusee,4)="Mini"),"MF",(IF((RIGHT(Type_fusee,1)="."),"FX","")))</f>
        <v>FX</v>
      </c>
      <c r="D10" s="538">
        <v>0</v>
      </c>
      <c r="E10" s="539" t="str">
        <f>IF(C10="","",C10&amp;D10)</f>
        <v>FX0</v>
      </c>
      <c r="K10" s="33"/>
      <c r="Q10" s="29"/>
    </row>
    <row r="11" spans="1:20" ht="12.75" customHeight="1" x14ac:dyDescent="0.2">
      <c r="A11" s="25"/>
      <c r="B11" s="139" t="s">
        <v>54</v>
      </c>
      <c r="C11" s="573" t="s">
        <v>568</v>
      </c>
      <c r="D11" s="574"/>
      <c r="E11" s="90"/>
      <c r="K11" s="33"/>
      <c r="L11" s="107"/>
      <c r="M11" s="224" t="str">
        <f>IF(Lang="Français","Propu plein",IF(Lang="English","Loaded Motor",""))</f>
        <v>Propu plein</v>
      </c>
      <c r="N11" s="556" t="str">
        <f>IF(Lang="Français","Propu vide",IF(Lang="English","Empty Motor",""))</f>
        <v>Propu vide</v>
      </c>
      <c r="O11" s="557"/>
      <c r="P11" s="224" t="str">
        <f>IF(Lang="Français","Sans propu",IF(Lang="English","Without M",""))</f>
        <v>Sans propu</v>
      </c>
      <c r="Q11" s="29"/>
      <c r="S11" s="385"/>
      <c r="T11" s="386" t="str">
        <f>IF(Lang="Français","Propulseur",IF(Lang="English","Motor",""))</f>
        <v>Propulseur</v>
      </c>
    </row>
    <row r="12" spans="1:20" ht="12.75" customHeight="1" x14ac:dyDescent="0.2">
      <c r="A12" s="25"/>
      <c r="B12" s="139" t="str">
        <f>IF(Lang="Français","Masse",IF(Lang="English","Weight",""))</f>
        <v>Masse</v>
      </c>
      <c r="C12" s="222">
        <v>6800</v>
      </c>
      <c r="D12" s="34" t="s">
        <v>423</v>
      </c>
      <c r="L12" s="108" t="str">
        <f>IF(Lang="Français","Masse propu",IF(Lang="English","Motor Mass",""))</f>
        <v>Masse propu</v>
      </c>
      <c r="M12" s="109">
        <f ca="1">MpropuPlein</f>
        <v>1.6319999999999999</v>
      </c>
      <c r="N12" s="548">
        <f ca="1">MpropuVide</f>
        <v>0.65</v>
      </c>
      <c r="O12" s="549"/>
      <c r="P12" s="110" t="s">
        <v>14</v>
      </c>
      <c r="Q12" s="29"/>
      <c r="S12" s="386" t="str">
        <f>IF(Lang="Français","Haut",IF(Lang="English","Top",""))</f>
        <v>Haut</v>
      </c>
      <c r="T12" s="387">
        <f ca="1">XpropuRef-Long_propu</f>
        <v>1564</v>
      </c>
    </row>
    <row r="13" spans="1:20" ht="12.75" customHeight="1" x14ac:dyDescent="0.2">
      <c r="A13" s="25"/>
      <c r="B13" s="139" t="str">
        <f>IF(Lang="Français","Centre de Masse",IF(Lang="English","Center of Mass",""))</f>
        <v>Centre de Masse</v>
      </c>
      <c r="C13" s="35">
        <v>1016</v>
      </c>
      <c r="D13" s="34" t="s">
        <v>423</v>
      </c>
      <c r="L13" s="108" t="str">
        <f>IF(Lang="Français","CdM propu",IF(Lang="English","Motor CoM",""))</f>
        <v>CdM propu</v>
      </c>
      <c r="M13" s="111">
        <f ca="1">XpropuPlein</f>
        <v>250</v>
      </c>
      <c r="N13" s="546">
        <f ca="1">XpropuVide</f>
        <v>240</v>
      </c>
      <c r="O13" s="547"/>
      <c r="P13" s="110" t="s">
        <v>14</v>
      </c>
      <c r="Q13" s="29"/>
      <c r="S13" s="386" t="str">
        <f>IF(Lang="Français","Longueur",IF(Lang="English","Length",""))</f>
        <v>Longueur</v>
      </c>
      <c r="T13" s="387">
        <f ca="1">Long_propu</f>
        <v>488</v>
      </c>
    </row>
    <row r="14" spans="1:20" ht="12.6" customHeight="1" x14ac:dyDescent="0.2">
      <c r="A14" s="25"/>
      <c r="B14" s="139" t="str">
        <f>IF(Lang="Français","Longueur totale",IF(Lang="English","Total length",""))</f>
        <v>Longueur totale</v>
      </c>
      <c r="C14" s="564">
        <v>2052</v>
      </c>
      <c r="D14" s="565"/>
      <c r="L14" s="108" t="str">
        <f>IF(Lang="Français","Masse fusée",IF(Lang="English","Rocket Mass",""))</f>
        <v>Masse fusée</v>
      </c>
      <c r="M14" s="112">
        <f ca="1">MasseSans+MpropuPlein</f>
        <v>8.4320000000000004</v>
      </c>
      <c r="N14" s="577">
        <f ca="1">MasseSans+MpropuVide</f>
        <v>7.45</v>
      </c>
      <c r="O14" s="578"/>
      <c r="P14" s="109">
        <f>IF(OR(D12="sans propu",D12="without motor"),C12/1000,IF(OR(D12="avec propu vide",D12="with empty motor"),C12/1000-MpropuVide,IF(OR(D12="avec propu plein",D12="with loaded motor"),C12/1000-MpropuPlein,"Erreur")))</f>
        <v>6.8</v>
      </c>
      <c r="Q14" s="29"/>
      <c r="S14" s="386" t="str">
        <f>IF(Lang="Français","Bas",IF(Lang="English","Base",""))</f>
        <v>Bas</v>
      </c>
      <c r="T14" s="387">
        <f>XpropuRef</f>
        <v>2052</v>
      </c>
    </row>
    <row r="15" spans="1:20" ht="12.75" customHeight="1" x14ac:dyDescent="0.2">
      <c r="A15" s="25"/>
      <c r="B15" s="139" t="str">
        <f>IF(Lang="Français","Diamètre Réf.",IF(Lang="English","Ref. Diameter",""))</f>
        <v>Diamètre Réf.</v>
      </c>
      <c r="C15" s="564">
        <f>((3/4)*104+(1/4)*84)</f>
        <v>99</v>
      </c>
      <c r="D15" s="565"/>
      <c r="L15" s="175" t="str">
        <f>IF(Lang="Français","CdM fusée",IF(Lang="English","Rocket CoM",""))</f>
        <v>CdM fusée</v>
      </c>
      <c r="M15" s="176">
        <f ca="1">(XcgSans*MasseSans+(XpropuRef-Long_propu+XpropuPlein)*MpropuPlein)/MassePlein</f>
        <v>1170.4516129032256</v>
      </c>
      <c r="N15" s="579">
        <f ca="1">(XcgSans*MasseSans+(XpropuRef-Long_propu+XpropuVide)*MpropuVide)/MasseVide</f>
        <v>1084.7516778523491</v>
      </c>
      <c r="O15" s="580"/>
      <c r="P15" s="113">
        <f>IF(OR(D13="sans propu",D13="without motor"),C13,IF(OR(D13="avec propu vide",D13="with empty motor"),(C13*MasseVide-(XpropuRef-Long_propu+XpropuVide)*MpropuVide)/MasseSans,IF(OR(D13="avec propu plein",D13="with loaded motor"),(C13*MassePlein-(XpropuRef-Long_propu+XpropuPlein)*MpropuPlein)/MasseSans,"Erreur")))</f>
        <v>1016</v>
      </c>
      <c r="Q15" s="29"/>
    </row>
    <row r="16" spans="1:20" ht="12.75" customHeight="1" thickBot="1" x14ac:dyDescent="0.25">
      <c r="A16" s="25"/>
      <c r="D16" s="31"/>
      <c r="L16" s="94"/>
      <c r="M16" s="94"/>
      <c r="N16" s="94"/>
      <c r="O16" s="94"/>
      <c r="P16" s="94"/>
      <c r="Q16" s="29"/>
      <c r="S16" s="385"/>
      <c r="T16" s="386" t="str">
        <f>IF(RIGHT(Type_masquage,1)=",",IF(Lang="Français","Ailerons","Fins"),IF(Lang="Français","Ailerons bas","Lower Fins"))</f>
        <v>Ailerons bas</v>
      </c>
    </row>
    <row r="17" spans="1:22" ht="12.75" customHeight="1" thickTop="1" thickBot="1" x14ac:dyDescent="0.25">
      <c r="A17" s="25"/>
      <c r="C17" s="585" t="str">
        <f>IF(Lang="Français","Propulseur",IF(Lang="English","Motor",""))</f>
        <v>Propulseur</v>
      </c>
      <c r="D17" s="586"/>
      <c r="L17" s="114"/>
      <c r="M17" s="581" t="s">
        <v>55</v>
      </c>
      <c r="N17" s="582"/>
      <c r="O17" s="559" t="s">
        <v>65</v>
      </c>
      <c r="P17" s="559"/>
      <c r="Q17" s="29"/>
      <c r="S17" s="386" t="str">
        <f>IF(Lang="Français","Haut","Top")</f>
        <v>Haut</v>
      </c>
      <c r="T17" s="387">
        <f>X_ail-m_ail</f>
        <v>1812</v>
      </c>
    </row>
    <row r="18" spans="1:22" ht="12.75" customHeight="1" thickTop="1" x14ac:dyDescent="0.2">
      <c r="A18" s="25"/>
      <c r="B18" s="139" t="s">
        <v>54</v>
      </c>
      <c r="C18" s="587" t="s">
        <v>552</v>
      </c>
      <c r="D18" s="588"/>
      <c r="K18" s="37"/>
      <c r="L18" s="108" t="str">
        <f>IF(Lang="Français","Coiffe",IF(Lang="English","Nose Cone",""))</f>
        <v>Coiffe</v>
      </c>
      <c r="M18" s="553">
        <f>IF(LEFT(Forme_ogive,5)="Parab",1/2*Long_ogive,IF(LEFT(Forme_ogive,4)="Ogiv",7/15*Long_ogive,IF(LEFT(Forme_ogive,3)="Con",2/3*Long_ogive)))</f>
        <v>168</v>
      </c>
      <c r="N18" s="554"/>
      <c r="O18" s="560">
        <f>2*POWER(D_og/D_ref, 2)</f>
        <v>1.4398530762167128</v>
      </c>
      <c r="P18" s="560"/>
      <c r="Q18" s="29"/>
      <c r="S18" s="386" t="str">
        <f>IF(Lang="Français","Emplanture","Root edge")</f>
        <v>Emplanture</v>
      </c>
      <c r="T18" s="387">
        <f>m_ail</f>
        <v>190</v>
      </c>
    </row>
    <row r="19" spans="1:22" ht="12.75" customHeight="1" x14ac:dyDescent="0.2">
      <c r="A19" s="25"/>
      <c r="B19" s="139" t="str">
        <f>IF(Lang="Français","Position du bas",IF(Lang="English","Basement",""))</f>
        <v>Position du bas</v>
      </c>
      <c r="C19" s="550">
        <v>2052</v>
      </c>
      <c r="D19" s="550"/>
      <c r="L19" s="108" t="str">
        <f>IF(Lang="Français","Ailerons",IF(Lang="English","Fins",""))</f>
        <v>Ailerons</v>
      </c>
      <c r="M19" s="553">
        <f>(XCpa*Cnail-0.5*XCpi*Cni)/Cnai</f>
        <v>1932.829261419236</v>
      </c>
      <c r="N19" s="554"/>
      <c r="O19" s="589">
        <f>Cnail-Cni/2</f>
        <v>10.518007420980556</v>
      </c>
      <c r="P19" s="590"/>
      <c r="Q19" s="29"/>
      <c r="S19" s="386" t="str">
        <f>IF(Lang="Français","Bas","Base")</f>
        <v>Bas</v>
      </c>
      <c r="T19" s="387">
        <f>X_ail</f>
        <v>2002</v>
      </c>
    </row>
    <row r="20" spans="1:22" ht="12.75" customHeight="1" thickBot="1" x14ac:dyDescent="0.25">
      <c r="A20" s="25"/>
      <c r="B20" s="428" t="str">
        <f>IF(Propu="Cariacou","Cariacou :"," ")</f>
        <v xml:space="preserve"> </v>
      </c>
      <c r="C20" s="563" t="str">
        <f>IF(Propu="Pandora (Pro24-6G)",IF(Lang="Français","C'Space Seulement",IF(Lang="English","C'Space only","")),"")</f>
        <v/>
      </c>
      <c r="D20" s="563"/>
      <c r="L20" s="108" t="str">
        <f>IF(Lang="Français","Ail bas entier",IF(Lang="English","Total Lower Fins",""))</f>
        <v>Ail bas entier</v>
      </c>
      <c r="M20" s="553">
        <f>X_ail-m_ail+p_ail*(m_ail+2*n_ail)/(3*(m_ail+n_ail))+(m_ail+n_ail-m_ail*n_ail/(m_ail+n_ail))/6</f>
        <v>1925.3950617283951</v>
      </c>
      <c r="N20" s="554"/>
      <c r="O20" s="560">
        <f>4*Q_ail*POWER((E_ail/D_ref),2)*(1+D_ail/(2*E_ail+D_ail))/(1+SQRT(1+POWER(2*f_ail/(m_ail+n_ail),2)))</f>
        <v>14.990582677515992</v>
      </c>
      <c r="P20" s="560"/>
      <c r="Q20" s="29"/>
    </row>
    <row r="21" spans="1:22" ht="12.75" customHeight="1" thickTop="1" thickBot="1" x14ac:dyDescent="0.25">
      <c r="A21" s="25"/>
      <c r="B21" s="30"/>
      <c r="C21" s="591" t="str">
        <f>IF(Lang="Français","Coiffe",IF(Lang="English","Nose Cone",""))</f>
        <v>Coiffe</v>
      </c>
      <c r="D21" s="592"/>
      <c r="L21" s="108" t="str">
        <f>IF(Lang="Français","Ailerons haut",IF(Lang="English","Upper Fins",""))</f>
        <v>Ailerons haut</v>
      </c>
      <c r="M21" s="553">
        <f>IF(LEFT(Type_masquage,1)="M",0, X_can-m_can+p_can*(m_can+2*n_can)/(3*(m_can+n_can))+(m_can+n_can-m_can*n_can/(m_can+n_can))/6)</f>
        <v>857.4</v>
      </c>
      <c r="N21" s="554"/>
      <c r="O21" s="560">
        <f>IF(LEFT(Type_masquage,1)="M",0, 4*Q_can*POWER((E_can/D_ref),2)*(1+D_can/(2*E_can+D_can))/(1+SQRT(1+POWER(2*f_can/(m_can+n_can),2))))</f>
        <v>9.7925567175680541</v>
      </c>
      <c r="P21" s="560"/>
      <c r="Q21" s="29"/>
    </row>
    <row r="22" spans="1:22" ht="12.75" customHeight="1" thickTop="1" x14ac:dyDescent="0.2">
      <c r="A22" s="25"/>
      <c r="B22" s="139" t="str">
        <f>IF(Lang="Français","Forme",IF(Lang="English","Shape",""))</f>
        <v>Forme</v>
      </c>
      <c r="C22" s="566" t="s">
        <v>570</v>
      </c>
      <c r="D22" s="567"/>
      <c r="L22" s="108" t="str">
        <f>IF(Lang="Français","Partie masquée",IF(Lang="English","Interation zone",""))</f>
        <v>Partie masquée</v>
      </c>
      <c r="M22" s="570">
        <f>IF(LEFT(Type_masquage,1)="B", X_int-m_int+p_int*(m_int+2*n_int)/(3*(m_int+n_int))+(m_int+n_int-m_int*n_int/(m_int+n_int))/6, 0 )</f>
        <v>1907.9123000011195</v>
      </c>
      <c r="N22" s="570"/>
      <c r="O22" s="589">
        <f>IF(LEFT(Type_masquage,1)="B", 4*Q_int*POWER((E_int/D_ref),2)*(1+D_int/(2*E_int+D_int))/(1+SQRT(1+POWER(2*f_int/(m_int+n_int),2))), 0 )</f>
        <v>8.9451505130708711</v>
      </c>
      <c r="P22" s="590"/>
      <c r="Q22" s="29"/>
    </row>
    <row r="23" spans="1:22" ht="12.75" customHeight="1" x14ac:dyDescent="0.2">
      <c r="A23" s="25"/>
      <c r="B23" s="139" t="str">
        <f>IF(Lang="Français","Hauteur",IF(Lang="English","Heigth",""))</f>
        <v>Hauteur</v>
      </c>
      <c r="C23" s="564">
        <v>252</v>
      </c>
      <c r="D23" s="565"/>
      <c r="L23" s="108" t="s">
        <v>156</v>
      </c>
      <c r="M23" s="553">
        <f>IF(OR(RIGHT(Nb_diam,1)=",",D2j=0),0, X_j+l_j/3*(1+1/(1+D1j/D2j)) )</f>
        <v>973.063829787234</v>
      </c>
      <c r="N23" s="554"/>
      <c r="O23" s="560">
        <f>IF(OR(RIGHT(Nb_diam,1)=",",D2j=0),0,2*(POWER(D2j/D_ref,2)-POWER(D1j/D_ref,2)))</f>
        <v>0.76726864605652523</v>
      </c>
      <c r="P23" s="560"/>
      <c r="Q23" s="29"/>
    </row>
    <row r="24" spans="1:22" ht="12.75" customHeight="1" thickBot="1" x14ac:dyDescent="0.25">
      <c r="A24" s="25"/>
      <c r="B24" s="139" t="str">
        <f>IF(Lang="Français","Diamètre",IF(Lang="English","Diameter",""))</f>
        <v>Diamètre</v>
      </c>
      <c r="C24" s="564">
        <v>84</v>
      </c>
      <c r="D24" s="565"/>
      <c r="L24" s="108" t="s">
        <v>157</v>
      </c>
      <c r="M24" s="553">
        <f>IF( OR(RIGHT(Nb_diam,1)=",",D2r=0), 0, X_r+l_r/3*(1+1/(1+D1r/D2r)) )</f>
        <v>2021.2907801418439</v>
      </c>
      <c r="N24" s="554"/>
      <c r="O24" s="560">
        <f>IF( OR(RIGHT(Nb_diam,1)=",",D2r=0), 0, 2*(POWER(D2r/D_ref,2)-POWER(D1r/D_ref,2)) )</f>
        <v>-0.76726864605652523</v>
      </c>
      <c r="P24" s="560"/>
      <c r="Q24" s="29"/>
    </row>
    <row r="25" spans="1:22" ht="12.75" customHeight="1" thickBot="1" x14ac:dyDescent="0.25">
      <c r="A25" s="25"/>
      <c r="E25" s="180" t="s">
        <v>151</v>
      </c>
      <c r="L25" s="38"/>
      <c r="M25" s="38"/>
      <c r="N25" s="38"/>
      <c r="Q25" s="29"/>
      <c r="R25" s="38"/>
      <c r="S25" s="388" t="str">
        <f ca="1">IF(AND(Portee_balistique&gt;200,LEFT(Type_propu,3)="Min"),IF(Lang="Français","Fusée trop lègère !","Rocket too light"),"")</f>
        <v/>
      </c>
    </row>
    <row r="26" spans="1:22" ht="12.75" customHeight="1" thickTop="1" thickBot="1" x14ac:dyDescent="0.25">
      <c r="A26" s="25"/>
      <c r="B26" s="30"/>
      <c r="C26" s="178" t="str">
        <f>IF(LEFT(Type_masquage,1)="M",IF(Lang="Français","Ailerons","Fins"),IF(Lang="Français","Ailerons bas","Lower Fins"))</f>
        <v>Ailerons bas</v>
      </c>
      <c r="D26" s="179" t="str">
        <f>IF(Lang="Français","Ailerons haut",IF(Lang="English","Upper Fins",""))</f>
        <v>Ailerons haut</v>
      </c>
      <c r="F26" s="39">
        <f ca="1">TODAY()</f>
        <v>45931</v>
      </c>
      <c r="G26" s="137" t="s">
        <v>62</v>
      </c>
      <c r="H26" s="584" t="str">
        <f>IF(Lang="Français","Résultats",IF(Lang="English","Results",""))</f>
        <v>Résultats</v>
      </c>
      <c r="I26" s="584"/>
      <c r="J26" s="137" t="s">
        <v>63</v>
      </c>
      <c r="K26" s="32"/>
      <c r="L26" s="38"/>
      <c r="M26" s="38"/>
      <c r="N26" s="38"/>
      <c r="Q26" s="29"/>
      <c r="R26" s="38"/>
      <c r="S26" s="388" t="str">
        <f ca="1">IF(AND(Vsortie_de_rampe&lt;18, OR(LEFT(Type_fusee,1)=",",LEFT(Type_fusee,4)="Mini",LEFT(Type_fusee,1)="R")),IF(Lang="Français","Fusée trop lourde ou rampe trop courte !","Rocket too heavy or launch pad too small!"),"")</f>
        <v/>
      </c>
    </row>
    <row r="27" spans="1:22" ht="12.75" customHeight="1" thickTop="1" x14ac:dyDescent="0.2">
      <c r="A27" s="25"/>
      <c r="B27" s="30"/>
      <c r="C27" s="561" t="s">
        <v>425</v>
      </c>
      <c r="D27" s="562"/>
      <c r="E27" s="146">
        <f>m_ail</f>
        <v>190</v>
      </c>
      <c r="F27" s="105" t="s">
        <v>64</v>
      </c>
      <c r="G27" s="104">
        <f>IF(RIGHT(Type_fusee,1)=".",10, IF(OR(LEFT(Type_fusee,1)="R",LEFT(Type_fusee,1)=",",LEFT(Type_fusee,4)="Mini"),10, IF(LEFT(Type_fusee,5)="Micro",10, IF(RIGHT(Type_fusee,1)=" ",1))))</f>
        <v>10</v>
      </c>
      <c r="H27" s="551">
        <f>Long_tot/D_ref</f>
        <v>20.727272727272727</v>
      </c>
      <c r="I27" s="552"/>
      <c r="J27" s="104">
        <f>IF(RIGHT(Type_fusee,1)=".",35, IF(OR(LEFT(Type_fusee,1)="R",LEFT(Type_fusee,1)=",",LEFT(Type_fusee,4)="Mini"),20, IF(LEFT(Type_fusee,5)="Micro",30, IF(RIGHT(Type_fusee,1)=" ",100))))</f>
        <v>35</v>
      </c>
      <c r="K27" s="32"/>
      <c r="L27" s="38"/>
      <c r="M27" s="38"/>
      <c r="N27" s="38"/>
      <c r="Q27" s="29"/>
      <c r="R27" s="38"/>
      <c r="S27" s="388" t="str">
        <f>IF(Finesse&lt;CritFinessemin, IF(Lang="Français","Fusée trop courte !","Rocket too short!"), "" ) &amp; IF(Finesse&gt;CritFinessemax, IF(Lang="Français","Fusée trop longue !","Rocket too long!"), "" )</f>
        <v/>
      </c>
    </row>
    <row r="28" spans="1:22" ht="12.75" customHeight="1" x14ac:dyDescent="0.2">
      <c r="A28" s="25"/>
      <c r="B28" s="524" t="str">
        <f>IF(Lang="Français"," Emplanture  'm'",IF(Lang="English"," Root edge  'm'",""))</f>
        <v xml:space="preserve"> Emplanture  'm'</v>
      </c>
      <c r="C28" s="177">
        <v>190</v>
      </c>
      <c r="D28" s="177">
        <v>170</v>
      </c>
      <c r="E28" s="146">
        <f>n_ail+(m_ail-n_ail)*(1-E_int/E_ail)</f>
        <v>113.78571428571428</v>
      </c>
      <c r="F28" s="105" t="str">
        <f>IF(Lang="Français","Portance","Lift")</f>
        <v>Portance</v>
      </c>
      <c r="G28" s="104">
        <f>IF(RIGHT(Type_fusee,1)=".",15,IF(OR(LEFT(Type_fusee,1)="R",LEFT(Type_fusee,1)=",",LEFT(Type_fusee,4)="Mini"),15, IF(LEFT(Type_fusee,5)="Micro",15, IF(RIGHT(Type_fusee,1)=" ",15))))</f>
        <v>15</v>
      </c>
      <c r="H28" s="508">
        <f>Cnai+Cnc+Cno+Cnj+Cnr</f>
        <v>21.750417214765324</v>
      </c>
      <c r="I28" s="508">
        <f>Cnail+Cnc+Cno+Cnj+Cnr</f>
        <v>26.22299247130076</v>
      </c>
      <c r="J28" s="104">
        <f>IF(RIGHT(Type_fusee,1)=".",40, IF(OR(LEFT(Type_fusee,1)="R",LEFT(Type_fusee,1)=",",LEFT(Type_fusee,4)="Mini"),30, IF(LEFT(Type_fusee,5)="Micro",30, IF(RIGHT(Type_fusee,1)=" ",30))))</f>
        <v>40</v>
      </c>
      <c r="K28" s="32"/>
      <c r="L28" s="38"/>
      <c r="M28" s="38"/>
      <c r="N28" s="38"/>
      <c r="Q28" s="29"/>
      <c r="R28" s="38"/>
      <c r="S28" s="388" t="str">
        <f>IF(Cn&lt;CritCnmin, IF(Lang="Français","Ailerons trop petits !","Fins too small!"), "" ) &amp; IF(Cn&gt;CritCnmax, IF(Lang="Français","Ailerons trop grands !","Fins too big!"), "" )</f>
        <v/>
      </c>
    </row>
    <row r="29" spans="1:22" ht="12.75" customHeight="1" x14ac:dyDescent="0.2">
      <c r="A29" s="25"/>
      <c r="B29" s="524" t="str">
        <f>IF(Lang="Français"," Saumon       'n'",IF(Lang="English"," Tip edge    'n'",""))</f>
        <v xml:space="preserve"> Saumon       'n'</v>
      </c>
      <c r="C29" s="35">
        <v>80</v>
      </c>
      <c r="D29" s="35">
        <v>80</v>
      </c>
      <c r="E29" s="146">
        <f>p_ail*E_int/E_ail</f>
        <v>124.71428571428571</v>
      </c>
      <c r="F29" s="515" t="str">
        <f>IF(Lang="Français","MargeStat.","StatMargin")</f>
        <v>MargeStat.</v>
      </c>
      <c r="G29" s="510">
        <f>IF(RIGHT(Type_fusee,1)=".",2, IF(OR(LEFT(Type_fusee,1)="R",LEFT(Type_fusee,1)=",",LEFT(Type_fusee,4)="Mini"),1.5, IF(LEFT(Type_fusee,5)="Micro",1, IF(RIGHT(Type_fusee,1)=" ",1))))</f>
        <v>2</v>
      </c>
      <c r="H29" s="97">
        <f ca="1">(XCp-XcgPlein)/D_ref</f>
        <v>1.2201184324328413</v>
      </c>
      <c r="I29" s="98">
        <f ca="1">(XCp0-XcgVide)/D_ref</f>
        <v>3.1783043879582542</v>
      </c>
      <c r="J29" s="510">
        <f>IF(RIGHT(Type_fusee,1)=".",6, IF(OR(LEFT(Type_fusee,1)="R",LEFT(Type_fusee,1)=",",LEFT(Type_fusee,4)="Mini"),6, IF(LEFT(Type_fusee,5)="Micro",3, IF(RIGHT(Type_fusee,1)=" ",3))))</f>
        <v>6</v>
      </c>
      <c r="K29" s="32"/>
      <c r="Q29" s="29"/>
      <c r="R29" s="38"/>
      <c r="S29" s="388" t="str">
        <f ca="1">IF(MS_min&lt;CritMsmin, IF(Lang="Français","Abaisser les ailerons ou rehausser le CdM !","Lower the fins or move up the center of mass!"), "" ) &amp; IF(MS_max&gt;CritMsmax, IF(Lang="Français","Rehausser les ailerons ou abaisser le CdM !","Move up the fins or lower the center of mass!"), "" )</f>
        <v>Abaisser les ailerons ou rehausser le CdM !</v>
      </c>
      <c r="U29" s="24" t="s">
        <v>573</v>
      </c>
    </row>
    <row r="30" spans="1:22" ht="12.75" customHeight="1" x14ac:dyDescent="0.2">
      <c r="A30" s="25"/>
      <c r="B30" s="524" t="str">
        <f>IF(Lang="Français"," Flèche          'p'"," Offset         'p'")</f>
        <v xml:space="preserve"> Flèche          'p'</v>
      </c>
      <c r="C30" s="35">
        <v>180</v>
      </c>
      <c r="D30" s="35">
        <v>120</v>
      </c>
      <c r="E30" s="146">
        <f>IF(D_can/2+E_can&lt;=D_ail/2,0, IF(D_can/2+E_can&gt;=D_ail/2+E_ail,E_ail,  D_can/2+E_can - D_ail/2  ) )</f>
        <v>97</v>
      </c>
      <c r="F30" s="516" t="str">
        <f>IF(Lang="Français","Couple","Torque")</f>
        <v>Couple</v>
      </c>
      <c r="G30" s="511">
        <f>IF(RIGHT(Type_fusee,1)=".",40, IF(OR(LEFT(Type_fusee,1)="R",LEFT(Type_fusee,1)=",",LEFT(Type_fusee,4)="Mini"),30, IF(LEFT(Type_fusee,5)="Micro",15, IF(RIGHT(Type_fusee,1)=" ",15))))</f>
        <v>40</v>
      </c>
      <c r="H30" s="99">
        <f ca="1">MS_min*Cn</f>
        <v>26.538084956839754</v>
      </c>
      <c r="I30" s="96">
        <f ca="1">MS_max*Cn0</f>
        <v>83.344652036931464</v>
      </c>
      <c r="J30" s="511">
        <f>IF(RIGHT(Type_fusee,1)=".",100, IF(OR(LEFT(Type_fusee,1)="R",LEFT(Type_fusee,1)=",",LEFT(Type_fusee,4)="Mini"),100, IF(LEFT(Type_fusee,5)="Micro",100, IF(RIGHT(Type_fusee,1)=" ",90))))</f>
        <v>100</v>
      </c>
      <c r="K30" s="32"/>
      <c r="Q30" s="29"/>
      <c r="R30" s="38"/>
      <c r="S30" s="388" t="str">
        <f ca="1">IF(MS_Cn_min&lt;CritMsCnmin, IF(Lang="Français","Ailerons trop petits ou trop haut /CdM !","Fins too small or too high /CoM!"), "" ) &amp; IF(MS_Cn_max&gt;CritMsCnmax, IF(Lang="Français","Ailerons trop grands ou trop bas  /CdM !","Fins too big or too low / CoM!"), "" )</f>
        <v>Ailerons trop petits ou trop haut /CdM !</v>
      </c>
      <c r="U30" s="24" t="s">
        <v>574</v>
      </c>
      <c r="V30" s="24" t="s">
        <v>575</v>
      </c>
    </row>
    <row r="31" spans="1:22" ht="12.75" customHeight="1" x14ac:dyDescent="0.2">
      <c r="A31" s="25"/>
      <c r="B31" s="524" t="str">
        <f>IF(Lang="Français"," Envergure     'E'",IF(Lang="English"," Span          'E'",""))</f>
        <v xml:space="preserve"> Envergure     'E'</v>
      </c>
      <c r="C31" s="35">
        <v>140</v>
      </c>
      <c r="D31" s="35">
        <v>107</v>
      </c>
      <c r="E31" s="146">
        <f>ep_ail</f>
        <v>3</v>
      </c>
      <c r="F31" s="106" t="s">
        <v>55</v>
      </c>
      <c r="G31" s="103"/>
      <c r="H31" s="509">
        <f>(Cnai*XCpa+Cnc*XCpc+Cnj*XCpj+Cnr*XCpr+Cno*XCpo)/(Cnai+Cnc+Cnr+Cnj+Cno)</f>
        <v>1291.2433377140769</v>
      </c>
      <c r="I31" s="509">
        <f>(Cnail*XCpa+Cnc*XCpc+Cnj*XCpj+Cnr*XCpr+Cno*XCpo)/(Cnail+Cnc+Cnr+Cnj+Cno)</f>
        <v>1399.4038122602162</v>
      </c>
      <c r="J31" s="102"/>
      <c r="K31" s="32"/>
      <c r="Q31" s="29"/>
      <c r="R31" s="38"/>
      <c r="S31" s="388"/>
      <c r="U31" s="24">
        <v>2.1</v>
      </c>
      <c r="V31" s="24">
        <v>24.152000000000001</v>
      </c>
    </row>
    <row r="32" spans="1:22" ht="12.75" customHeight="1" x14ac:dyDescent="0.2">
      <c r="A32" s="25"/>
      <c r="B32" s="525" t="str">
        <f>IF(Lang="Français"," Epaisseur     'ep'",IF(Lang="English"," Thickness  'ep'",""))</f>
        <v xml:space="preserve"> Epaisseur     'ep'</v>
      </c>
      <c r="C32" s="35">
        <v>3</v>
      </c>
      <c r="D32" s="35">
        <v>3</v>
      </c>
      <c r="E32" s="146">
        <f>IF(Q_ail=Q_can,Q_ail,FALSE)</f>
        <v>4</v>
      </c>
      <c r="F32" s="106" t="s">
        <v>66</v>
      </c>
      <c r="G32" s="103"/>
      <c r="H32" s="100">
        <f ca="1">(XCp-XcgPlein)/Long_tot*100</f>
        <v>5.8865362968251116</v>
      </c>
      <c r="I32" s="101">
        <f ca="1">(XCp-XcgVide)/Long_tot*100</f>
        <v>10.062946387023775</v>
      </c>
      <c r="J32" s="102"/>
      <c r="K32" s="32"/>
      <c r="Q32" s="29"/>
      <c r="R32" s="38"/>
      <c r="U32" s="24">
        <v>3.06</v>
      </c>
      <c r="V32" s="24">
        <v>24.152000000000001</v>
      </c>
    </row>
    <row r="33" spans="1:23" ht="12.75" customHeight="1" x14ac:dyDescent="0.2">
      <c r="A33" s="25"/>
      <c r="B33" s="524" t="str">
        <f>IF(Lang="Français"," Nombre            ",IF(Lang="English"," Number of fins",""))</f>
        <v xml:space="preserve"> Nombre            </v>
      </c>
      <c r="C33" s="36">
        <v>4</v>
      </c>
      <c r="D33" s="36">
        <v>4</v>
      </c>
      <c r="E33" s="146">
        <f>X_ail</f>
        <v>2002</v>
      </c>
      <c r="G33" s="24"/>
      <c r="H33" s="540" t="str">
        <f ca="1">IF(AND(CritCnmin&lt;Cn,Cn0&lt;CritCnmax,CritMsmin&lt;MS_min,MS_max&lt;CritMsmax,CritMsCnmin&lt;MS_Cn_min,MS_Cn_max&lt;CritMsCnmax),"STABLE",IF(OR(Cn&lt;CritCnmin,MS_min&lt;CritMsmin,MS_Cn_min&lt;CritMsCnmin),"INSTABLE",IF(Lang="Français","SURSTABLE","OVERSTABLE")))</f>
        <v>INSTABLE</v>
      </c>
      <c r="I33" s="541"/>
      <c r="J33" s="31"/>
      <c r="K33" s="32"/>
      <c r="Q33" s="29"/>
      <c r="R33" s="38"/>
    </row>
    <row r="34" spans="1:23" ht="12.75" customHeight="1" x14ac:dyDescent="0.2">
      <c r="A34" s="25"/>
      <c r="B34" s="524" t="str">
        <f>IF(Lang="Français"," Position du bas",IF(Lang="English"," Basement",""))</f>
        <v xml:space="preserve"> Position du bas</v>
      </c>
      <c r="C34" s="35">
        <v>2002</v>
      </c>
      <c r="D34" s="35">
        <v>942</v>
      </c>
      <c r="E34" s="146">
        <f>D_ail</f>
        <v>104</v>
      </c>
      <c r="G34" s="24"/>
      <c r="H34" s="542"/>
      <c r="I34" s="543"/>
      <c r="K34" s="32"/>
      <c r="Q34" s="29"/>
      <c r="R34" s="38"/>
    </row>
    <row r="35" spans="1:23" ht="12.75" customHeight="1" x14ac:dyDescent="0.2">
      <c r="A35" s="25"/>
      <c r="B35" s="524" t="str">
        <f>IF(Lang="Français"," Diamètre         ",IF(Lang="English"," Diameter at Fins",""))</f>
        <v xml:space="preserve"> Diamètre         </v>
      </c>
      <c r="C35" s="35">
        <v>104</v>
      </c>
      <c r="D35" s="35">
        <v>84</v>
      </c>
      <c r="E35" s="146">
        <f>SQRT(POWER(p_int+n_int/2-m_int/2,2)+POWER(E_int,2))</f>
        <v>130.03767605535538</v>
      </c>
      <c r="K35" s="32"/>
      <c r="Q35" s="29"/>
      <c r="R35" s="38"/>
      <c r="W35" s="24" t="str">
        <f>RIGHT(Type_fusee,1="R")</f>
        <v/>
      </c>
    </row>
    <row r="36" spans="1:23" ht="12.75" customHeight="1" x14ac:dyDescent="0.2">
      <c r="A36" s="25"/>
      <c r="B36" s="524" t="str">
        <f>IF(Lang="Français"," Ligne mi-corde f",IF(Lang="English"," Mid-chord line f",""))</f>
        <v xml:space="preserve"> Ligne mi-corde f</v>
      </c>
      <c r="C36" s="145">
        <f>SQRT(POWER(p_ail+n_ail/2-m_ail/2,2)+POWER(E_ail,2))</f>
        <v>187.68324379123459</v>
      </c>
      <c r="D36" s="145">
        <f>SQRT(POWER(p_can+n_can/2-m_can/2,2)+POWER(E_can,2))</f>
        <v>130.66751700403586</v>
      </c>
      <c r="E36" s="536"/>
      <c r="K36" s="32"/>
      <c r="Q36" s="29"/>
      <c r="R36" s="38"/>
    </row>
    <row r="37" spans="1:23" ht="12.75" customHeight="1" thickBot="1" x14ac:dyDescent="0.25">
      <c r="A37" s="40"/>
      <c r="B37" s="182" t="str">
        <f>IF(Lang="Français","Commentaire libre :",IF(Lang="English","Free comment:",""))</f>
        <v>Commentaire libre :</v>
      </c>
      <c r="C37" s="41"/>
      <c r="D37" s="42"/>
      <c r="E37" s="91"/>
      <c r="F37" s="67"/>
      <c r="G37" s="67"/>
      <c r="H37" s="67"/>
      <c r="I37" s="67"/>
      <c r="J37" s="42"/>
      <c r="K37" s="42"/>
      <c r="L37" s="389" t="s">
        <v>270</v>
      </c>
      <c r="M37" s="392" t="str">
        <f>IF(ROUND(SUM(Propu!5:1228),0)=437735,"propu OK","propu NOK")</f>
        <v>propu OK</v>
      </c>
      <c r="N37" s="391" t="str">
        <f>IF(Lang="Français","fichier initial","Initial file")</f>
        <v>fichier initial</v>
      </c>
      <c r="O37" s="392"/>
      <c r="P37" s="390"/>
      <c r="Q37" s="291" t="s">
        <v>567</v>
      </c>
      <c r="R37" s="43"/>
    </row>
    <row r="39" spans="1:23" x14ac:dyDescent="0.2">
      <c r="L39" s="226" t="str">
        <f>IF(Lang="Français","Maintenant que votre fusée est stable, vérifiez sa trajectoire via la feuille","Now your rocket is stable, check its trajectory on sheet")</f>
        <v>Maintenant que votre fusée est stable, vérifiez sa trajectoire via la feuille</v>
      </c>
      <c r="M39" s="481" t="s">
        <v>180</v>
      </c>
    </row>
    <row r="40" spans="1:23" x14ac:dyDescent="0.2">
      <c r="H40" s="87"/>
      <c r="O40" s="26"/>
      <c r="P40" s="26"/>
      <c r="S40" s="506"/>
    </row>
    <row r="41" spans="1:23" x14ac:dyDescent="0.2">
      <c r="F41" s="24"/>
      <c r="H41" s="43"/>
      <c r="I41" s="44"/>
      <c r="J41" s="43"/>
      <c r="N41" s="43"/>
      <c r="Q41" s="43"/>
      <c r="R41" s="43"/>
    </row>
    <row r="42" spans="1:23" x14ac:dyDescent="0.2">
      <c r="F42" s="24"/>
      <c r="G42" s="503"/>
      <c r="H42" s="504"/>
      <c r="I42" s="44"/>
      <c r="J42" s="43"/>
      <c r="N42" s="43"/>
      <c r="Q42" s="43"/>
      <c r="R42" s="43"/>
    </row>
    <row r="43" spans="1:23" x14ac:dyDescent="0.2">
      <c r="F43" s="24"/>
      <c r="H43" s="43"/>
      <c r="I43" s="44"/>
      <c r="J43" s="43"/>
      <c r="N43" s="43"/>
      <c r="Q43" s="43"/>
      <c r="R43" s="43"/>
    </row>
    <row r="44" spans="1:23" x14ac:dyDescent="0.2">
      <c r="F44" s="24"/>
      <c r="H44" s="43"/>
      <c r="I44" s="44"/>
      <c r="J44" s="43"/>
      <c r="N44" s="43"/>
      <c r="Q44" s="43"/>
      <c r="R44" s="43"/>
    </row>
    <row r="45" spans="1:23" x14ac:dyDescent="0.2">
      <c r="F45" s="24"/>
      <c r="H45" s="43"/>
      <c r="I45" s="44"/>
      <c r="J45" s="43"/>
      <c r="N45" s="43"/>
      <c r="Q45" s="43"/>
      <c r="R45" s="43"/>
    </row>
    <row r="46" spans="1:23" x14ac:dyDescent="0.2">
      <c r="F46" s="24"/>
      <c r="H46" s="43"/>
      <c r="I46" s="44"/>
      <c r="J46" s="43"/>
      <c r="N46" s="43"/>
      <c r="Q46" s="43"/>
      <c r="R46" s="43"/>
    </row>
    <row r="47" spans="1:23" x14ac:dyDescent="0.2">
      <c r="F47" s="24"/>
      <c r="H47" s="43"/>
      <c r="I47" s="44"/>
      <c r="J47" s="43"/>
      <c r="L47" s="43"/>
      <c r="M47" s="43"/>
      <c r="N47" s="43"/>
      <c r="Q47" s="43"/>
      <c r="R47" s="43"/>
    </row>
    <row r="48" spans="1:23" x14ac:dyDescent="0.2">
      <c r="F48" s="24"/>
      <c r="H48" s="43"/>
      <c r="I48" s="44"/>
      <c r="J48" s="43"/>
      <c r="L48" s="43"/>
      <c r="M48" s="43"/>
      <c r="N48" s="43"/>
      <c r="Q48" s="43"/>
      <c r="R48" s="43"/>
    </row>
    <row r="49" spans="2:18" x14ac:dyDescent="0.2">
      <c r="F49" s="24"/>
      <c r="H49" s="43"/>
      <c r="I49" s="44"/>
      <c r="J49" s="43"/>
      <c r="L49" s="43"/>
      <c r="M49" s="43"/>
      <c r="N49" s="43"/>
      <c r="Q49" s="43"/>
      <c r="R49" s="43"/>
    </row>
    <row r="50" spans="2:18" x14ac:dyDescent="0.2">
      <c r="F50" s="24"/>
      <c r="H50" s="43"/>
      <c r="I50" s="44"/>
      <c r="J50" s="43"/>
      <c r="L50" s="43"/>
      <c r="M50" s="43"/>
      <c r="N50" s="43"/>
      <c r="Q50" s="43"/>
      <c r="R50" s="43"/>
    </row>
    <row r="51" spans="2:18" x14ac:dyDescent="0.2">
      <c r="F51" s="24"/>
      <c r="H51" s="43"/>
      <c r="I51" s="44"/>
      <c r="J51" s="43"/>
      <c r="L51" s="43"/>
      <c r="M51" s="43"/>
      <c r="N51" s="43"/>
      <c r="Q51" s="43"/>
      <c r="R51" s="43"/>
    </row>
    <row r="52" spans="2:18" x14ac:dyDescent="0.2">
      <c r="F52" s="24"/>
      <c r="H52" s="43"/>
      <c r="I52" s="44"/>
      <c r="J52" s="43"/>
      <c r="L52" s="43"/>
      <c r="M52" s="43"/>
      <c r="N52" s="43"/>
      <c r="Q52" s="43"/>
      <c r="R52" s="43"/>
    </row>
    <row r="53" spans="2:18" x14ac:dyDescent="0.2">
      <c r="H53" s="43"/>
      <c r="I53" s="44"/>
      <c r="J53" s="43"/>
      <c r="L53" s="43"/>
      <c r="M53" s="43"/>
      <c r="N53" s="43"/>
      <c r="Q53" s="43"/>
      <c r="R53" s="43"/>
    </row>
    <row r="54" spans="2:18" x14ac:dyDescent="0.2">
      <c r="H54" s="43"/>
      <c r="I54" s="44"/>
      <c r="J54" s="43"/>
      <c r="L54" s="43"/>
      <c r="M54" s="43"/>
      <c r="N54" s="43"/>
      <c r="Q54" s="43"/>
      <c r="R54" s="43"/>
    </row>
    <row r="55" spans="2:18" x14ac:dyDescent="0.2">
      <c r="H55" s="43"/>
      <c r="I55" s="44"/>
      <c r="J55" s="43"/>
      <c r="L55" s="43"/>
      <c r="M55" s="43"/>
      <c r="N55" s="43"/>
      <c r="Q55" s="43"/>
      <c r="R55" s="43"/>
    </row>
    <row r="56" spans="2:18" x14ac:dyDescent="0.2">
      <c r="H56" s="43"/>
      <c r="I56" s="44"/>
      <c r="J56" s="43"/>
      <c r="L56" s="43"/>
      <c r="M56" s="43"/>
      <c r="N56" s="43"/>
      <c r="Q56" s="43"/>
      <c r="R56" s="43"/>
    </row>
    <row r="57" spans="2:18" x14ac:dyDescent="0.2">
      <c r="C57" s="24"/>
      <c r="H57" s="43"/>
      <c r="I57" s="44"/>
      <c r="J57" s="43"/>
      <c r="L57" s="43"/>
      <c r="M57" s="43"/>
      <c r="N57" s="43"/>
      <c r="Q57" s="43"/>
      <c r="R57" s="43"/>
    </row>
    <row r="58" spans="2:18" x14ac:dyDescent="0.2">
      <c r="H58" s="43"/>
      <c r="I58" s="44"/>
      <c r="J58" s="43"/>
      <c r="L58" s="43"/>
      <c r="M58" s="43"/>
      <c r="N58" s="43"/>
      <c r="Q58" s="43"/>
      <c r="R58" s="43"/>
    </row>
    <row r="59" spans="2:18" x14ac:dyDescent="0.2">
      <c r="B59" s="31"/>
      <c r="H59" s="43"/>
      <c r="I59" s="44"/>
      <c r="J59" s="43"/>
      <c r="L59" s="43"/>
      <c r="M59" s="43"/>
      <c r="N59" s="43"/>
      <c r="Q59" s="43"/>
      <c r="R59" s="43"/>
    </row>
    <row r="60" spans="2:18" x14ac:dyDescent="0.2">
      <c r="B60" s="31"/>
      <c r="H60" s="43"/>
      <c r="I60" s="44"/>
      <c r="J60" s="43"/>
      <c r="L60" s="43"/>
      <c r="M60" s="43"/>
      <c r="N60" s="43"/>
      <c r="Q60" s="43"/>
      <c r="R60" s="43"/>
    </row>
    <row r="61" spans="2:18" x14ac:dyDescent="0.2">
      <c r="B61" s="31"/>
      <c r="H61" s="43"/>
      <c r="I61" s="44"/>
      <c r="J61" s="43"/>
      <c r="L61" s="43"/>
      <c r="M61" s="43"/>
      <c r="N61" s="43"/>
      <c r="Q61" s="43"/>
      <c r="R61" s="43"/>
    </row>
    <row r="62" spans="2:18" x14ac:dyDescent="0.2">
      <c r="B62" s="31"/>
      <c r="H62" s="43"/>
      <c r="I62" s="44"/>
      <c r="J62" s="43"/>
      <c r="L62" s="43"/>
      <c r="M62" s="43"/>
      <c r="N62" s="43"/>
      <c r="Q62" s="43"/>
      <c r="R62" s="43"/>
    </row>
    <row r="63" spans="2:18" x14ac:dyDescent="0.2">
      <c r="B63" s="31"/>
      <c r="H63" s="43"/>
      <c r="I63" s="44"/>
      <c r="J63" s="43"/>
      <c r="L63" s="43"/>
      <c r="M63" s="43"/>
      <c r="N63" s="43"/>
      <c r="Q63" s="43"/>
      <c r="R63" s="43"/>
    </row>
    <row r="64" spans="2:18" x14ac:dyDescent="0.2">
      <c r="B64" s="31"/>
      <c r="H64" s="43"/>
      <c r="I64" s="44"/>
      <c r="J64" s="43"/>
      <c r="L64" s="43"/>
      <c r="M64" s="43"/>
      <c r="N64" s="43"/>
      <c r="Q64" s="43"/>
      <c r="R64" s="43"/>
    </row>
    <row r="65" spans="2:18" x14ac:dyDescent="0.2">
      <c r="B65" s="31"/>
      <c r="H65" s="43"/>
      <c r="I65" s="44"/>
      <c r="J65" s="43"/>
      <c r="L65" s="43"/>
      <c r="M65" s="43"/>
      <c r="N65" s="43"/>
      <c r="Q65" s="43"/>
      <c r="R65" s="43"/>
    </row>
    <row r="66" spans="2:18" x14ac:dyDescent="0.2">
      <c r="B66" s="31"/>
      <c r="H66" s="43"/>
      <c r="I66" s="44"/>
      <c r="J66" s="43"/>
      <c r="L66" s="43"/>
      <c r="M66" s="43"/>
      <c r="N66" s="43"/>
      <c r="Q66" s="43"/>
      <c r="R66" s="43"/>
    </row>
    <row r="67" spans="2:18" x14ac:dyDescent="0.2">
      <c r="B67" s="31"/>
      <c r="H67" s="43"/>
      <c r="I67" s="44"/>
      <c r="J67" s="43"/>
      <c r="L67" s="43"/>
      <c r="M67" s="43"/>
      <c r="N67" s="43"/>
      <c r="Q67" s="43"/>
      <c r="R67" s="43"/>
    </row>
    <row r="68" spans="2:18" x14ac:dyDescent="0.2">
      <c r="C68" s="24"/>
      <c r="H68" s="43"/>
      <c r="I68" s="44"/>
      <c r="J68" s="43"/>
      <c r="L68" s="43"/>
      <c r="M68" s="43"/>
      <c r="N68" s="43"/>
      <c r="Q68" s="43"/>
      <c r="R68" s="43"/>
    </row>
    <row r="69" spans="2:18" x14ac:dyDescent="0.2">
      <c r="C69" s="24"/>
      <c r="H69" s="43"/>
      <c r="I69" s="44"/>
      <c r="J69" s="43"/>
      <c r="L69" s="43"/>
      <c r="M69" s="43"/>
      <c r="N69" s="43"/>
      <c r="Q69" s="43"/>
      <c r="R69" s="43"/>
    </row>
    <row r="70" spans="2:18" x14ac:dyDescent="0.2">
      <c r="C70" s="24"/>
      <c r="H70" s="43"/>
      <c r="I70" s="44"/>
      <c r="J70" s="43"/>
      <c r="L70" s="43"/>
      <c r="M70" s="43"/>
      <c r="N70" s="43"/>
      <c r="Q70" s="43"/>
      <c r="R70" s="43"/>
    </row>
    <row r="71" spans="2:18" x14ac:dyDescent="0.2">
      <c r="C71" s="24"/>
      <c r="H71" s="43"/>
      <c r="I71" s="44"/>
      <c r="J71" s="43"/>
      <c r="L71" s="43"/>
      <c r="M71" s="43"/>
      <c r="N71" s="43"/>
      <c r="Q71" s="43"/>
      <c r="R71" s="43"/>
    </row>
    <row r="72" spans="2:18" x14ac:dyDescent="0.2">
      <c r="C72" s="24"/>
      <c r="H72" s="43"/>
      <c r="I72" s="44"/>
      <c r="J72" s="43"/>
      <c r="L72" s="43"/>
      <c r="M72" s="43"/>
      <c r="N72" s="43"/>
      <c r="Q72" s="43"/>
      <c r="R72" s="43"/>
    </row>
    <row r="73" spans="2:18" x14ac:dyDescent="0.2">
      <c r="C73" s="24"/>
      <c r="H73" s="43"/>
      <c r="I73" s="44"/>
      <c r="J73" s="43"/>
      <c r="L73" s="43"/>
      <c r="M73" s="43"/>
      <c r="N73" s="43"/>
      <c r="Q73" s="43"/>
      <c r="R73" s="43"/>
    </row>
    <row r="74" spans="2:18" x14ac:dyDescent="0.2">
      <c r="C74" s="24"/>
      <c r="H74" s="43"/>
      <c r="I74" s="44"/>
      <c r="J74" s="43"/>
      <c r="L74" s="43"/>
      <c r="M74" s="43"/>
      <c r="N74" s="43"/>
      <c r="Q74" s="43"/>
      <c r="R74" s="43"/>
    </row>
    <row r="75" spans="2:18" x14ac:dyDescent="0.2">
      <c r="C75" s="24"/>
      <c r="H75" s="43"/>
      <c r="I75" s="44"/>
      <c r="J75" s="43"/>
      <c r="L75" s="43"/>
      <c r="M75" s="43"/>
      <c r="N75" s="43"/>
      <c r="Q75" s="43"/>
      <c r="R75" s="43"/>
    </row>
    <row r="76" spans="2:18" x14ac:dyDescent="0.2">
      <c r="C76" s="24"/>
      <c r="H76" s="43"/>
      <c r="I76" s="44"/>
      <c r="J76" s="43"/>
      <c r="L76" s="43"/>
      <c r="M76" s="43"/>
      <c r="N76" s="43"/>
      <c r="Q76" s="43"/>
      <c r="R76" s="43"/>
    </row>
    <row r="77" spans="2:18" x14ac:dyDescent="0.2">
      <c r="C77" s="24"/>
      <c r="H77" s="43"/>
      <c r="I77" s="44"/>
      <c r="J77" s="43"/>
      <c r="L77" s="43"/>
      <c r="M77" s="43"/>
      <c r="N77" s="43"/>
      <c r="Q77" s="43"/>
      <c r="R77" s="43"/>
    </row>
    <row r="78" spans="2:18" x14ac:dyDescent="0.2">
      <c r="C78" s="24"/>
      <c r="H78" s="43"/>
      <c r="I78" s="44"/>
      <c r="J78" s="43"/>
      <c r="L78" s="43"/>
      <c r="M78" s="43"/>
      <c r="N78" s="43"/>
      <c r="Q78" s="43"/>
      <c r="R78" s="43"/>
    </row>
    <row r="79" spans="2:18" x14ac:dyDescent="0.2">
      <c r="C79" s="24"/>
      <c r="H79" s="43"/>
      <c r="I79" s="44"/>
      <c r="J79" s="43"/>
      <c r="L79" s="43"/>
      <c r="M79" s="43"/>
      <c r="N79" s="43"/>
      <c r="Q79" s="43"/>
      <c r="R79" s="43"/>
    </row>
    <row r="80" spans="2:18" x14ac:dyDescent="0.2">
      <c r="C80" s="24"/>
      <c r="H80" s="43"/>
      <c r="I80" s="44"/>
      <c r="J80" s="43"/>
      <c r="L80" s="43"/>
      <c r="M80" s="43"/>
      <c r="N80" s="43"/>
      <c r="Q80" s="43"/>
      <c r="R80" s="43"/>
    </row>
    <row r="81" spans="2:18" x14ac:dyDescent="0.2">
      <c r="C81" s="24"/>
      <c r="H81" s="43"/>
      <c r="I81" s="44"/>
      <c r="J81" s="43"/>
      <c r="L81" s="43"/>
      <c r="M81" s="43"/>
      <c r="N81" s="43"/>
      <c r="Q81" s="43"/>
      <c r="R81" s="43"/>
    </row>
    <row r="82" spans="2:18" x14ac:dyDescent="0.2">
      <c r="C82" s="24"/>
      <c r="H82" s="43"/>
      <c r="I82" s="44"/>
      <c r="J82" s="43"/>
      <c r="L82" s="43"/>
      <c r="M82" s="43"/>
      <c r="N82" s="43"/>
      <c r="Q82" s="43"/>
      <c r="R82" s="43"/>
    </row>
    <row r="83" spans="2:18" x14ac:dyDescent="0.2">
      <c r="C83" s="24"/>
      <c r="H83" s="43"/>
      <c r="I83" s="44"/>
      <c r="J83" s="43"/>
      <c r="L83" s="43"/>
      <c r="M83" s="43"/>
      <c r="N83" s="43"/>
      <c r="Q83" s="43"/>
      <c r="R83" s="43"/>
    </row>
    <row r="84" spans="2:18" x14ac:dyDescent="0.2">
      <c r="C84" s="24"/>
      <c r="H84" s="43"/>
      <c r="I84" s="44"/>
      <c r="J84" s="43"/>
      <c r="L84" s="43"/>
      <c r="M84" s="43"/>
      <c r="N84" s="43"/>
      <c r="Q84" s="43"/>
      <c r="R84" s="43"/>
    </row>
    <row r="85" spans="2:18" x14ac:dyDescent="0.2">
      <c r="C85" s="24"/>
      <c r="H85" s="43"/>
      <c r="I85" s="44"/>
      <c r="J85" s="43"/>
      <c r="L85" s="43"/>
      <c r="M85" s="43"/>
      <c r="N85" s="43"/>
      <c r="Q85" s="43"/>
      <c r="R85" s="43"/>
    </row>
    <row r="86" spans="2:18" x14ac:dyDescent="0.2">
      <c r="C86" s="24"/>
      <c r="H86" s="43"/>
      <c r="I86" s="44"/>
      <c r="J86" s="43"/>
      <c r="L86" s="43"/>
      <c r="M86" s="43"/>
      <c r="N86" s="43"/>
      <c r="Q86" s="43"/>
      <c r="R86" s="43"/>
    </row>
    <row r="87" spans="2:18" x14ac:dyDescent="0.2">
      <c r="C87" s="24"/>
      <c r="H87" s="43"/>
      <c r="I87" s="44"/>
      <c r="J87" s="43"/>
      <c r="L87" s="43"/>
      <c r="M87" s="43"/>
      <c r="N87" s="43"/>
      <c r="Q87" s="43"/>
      <c r="R87" s="43"/>
    </row>
    <row r="88" spans="2:18" x14ac:dyDescent="0.2">
      <c r="C88" s="24"/>
      <c r="H88" s="43"/>
      <c r="I88" s="44"/>
      <c r="J88" s="43"/>
      <c r="L88" s="43"/>
      <c r="M88" s="43"/>
      <c r="N88" s="43"/>
      <c r="Q88" s="43"/>
      <c r="R88" s="43"/>
    </row>
    <row r="89" spans="2:18" x14ac:dyDescent="0.2">
      <c r="C89" s="24"/>
      <c r="H89" s="43"/>
      <c r="I89" s="44"/>
      <c r="J89" s="43"/>
      <c r="L89" s="43"/>
      <c r="M89" s="43"/>
      <c r="N89" s="43"/>
      <c r="Q89" s="43"/>
      <c r="R89" s="43"/>
    </row>
    <row r="90" spans="2:18" x14ac:dyDescent="0.2">
      <c r="C90" s="24"/>
      <c r="H90" s="43"/>
      <c r="I90" s="44"/>
      <c r="J90" s="43"/>
      <c r="L90" s="43"/>
      <c r="M90" s="43"/>
      <c r="N90" s="43"/>
      <c r="Q90" s="43"/>
      <c r="R90" s="43"/>
    </row>
    <row r="91" spans="2:18" x14ac:dyDescent="0.2">
      <c r="C91" s="24"/>
      <c r="H91" s="43"/>
      <c r="I91" s="44"/>
      <c r="J91" s="43"/>
      <c r="L91" s="43"/>
      <c r="M91" s="43"/>
      <c r="N91" s="43"/>
      <c r="Q91" s="43"/>
      <c r="R91" s="43"/>
    </row>
    <row r="92" spans="2:18" x14ac:dyDescent="0.2">
      <c r="B92" s="24" t="str">
        <f>IF(Lang="Français","Textes pour les listes déroulantes et graphiques :",IF(Lang="English","Texts for drop-down lists &amp; graphics :",""))</f>
        <v>Textes pour les listes déroulantes et graphiques :</v>
      </c>
      <c r="H92" s="43"/>
      <c r="I92" s="44"/>
      <c r="J92" s="43"/>
      <c r="L92" s="43"/>
      <c r="M92" s="43"/>
      <c r="N92" s="43"/>
      <c r="Q92" s="43"/>
      <c r="R92" s="43"/>
    </row>
    <row r="93" spans="2:18" x14ac:dyDescent="0.2">
      <c r="H93" s="43"/>
      <c r="I93" s="44"/>
      <c r="J93" s="43"/>
      <c r="L93" s="43"/>
      <c r="M93" s="43"/>
      <c r="N93" s="43"/>
      <c r="Q93" s="43"/>
      <c r="R93" s="43"/>
    </row>
    <row r="94" spans="2:18" x14ac:dyDescent="0.2">
      <c r="B94" s="26" t="s">
        <v>1</v>
      </c>
      <c r="H94" s="43"/>
      <c r="I94" s="44"/>
      <c r="J94" s="43"/>
      <c r="L94" s="43"/>
      <c r="M94" s="43"/>
      <c r="N94" s="43"/>
      <c r="Q94" s="43"/>
      <c r="R94" s="43"/>
    </row>
    <row r="95" spans="2:18" x14ac:dyDescent="0.2">
      <c r="B95" s="26" t="s">
        <v>67</v>
      </c>
      <c r="H95" s="43"/>
      <c r="I95" s="44"/>
      <c r="J95" s="43"/>
      <c r="L95" s="43"/>
      <c r="M95" s="43"/>
      <c r="N95" s="43"/>
      <c r="Q95" s="43"/>
      <c r="R95" s="43"/>
    </row>
    <row r="96" spans="2:18" x14ac:dyDescent="0.2">
      <c r="B96" s="26"/>
      <c r="H96" s="43"/>
      <c r="I96" s="44"/>
      <c r="J96" s="43"/>
      <c r="L96" s="43"/>
      <c r="M96" s="43"/>
      <c r="N96" s="43"/>
      <c r="Q96" s="43"/>
      <c r="R96" s="43"/>
    </row>
    <row r="97" spans="2:18" x14ac:dyDescent="0.2">
      <c r="B97" s="26" t="str">
        <f>IF(Lang="Français","Fusée à eau  ",IF(Lang="English","Water-rocket  ",""))</f>
        <v xml:space="preserve">Fusée à eau  </v>
      </c>
      <c r="H97" s="43"/>
      <c r="I97" s="44"/>
      <c r="J97" s="43"/>
      <c r="L97" s="43"/>
      <c r="M97" s="43"/>
      <c r="N97" s="43"/>
      <c r="Q97" s="43"/>
      <c r="R97" s="43"/>
    </row>
    <row r="98" spans="2:18" x14ac:dyDescent="0.2">
      <c r="B98" s="26" t="str">
        <f>IF(Lang="Français","Microfusée",IF(Lang="English","Micro-rocket",""))</f>
        <v>Microfusée</v>
      </c>
      <c r="H98" s="43"/>
      <c r="I98" s="44"/>
      <c r="J98" s="43"/>
      <c r="L98" s="43"/>
      <c r="M98" s="43"/>
      <c r="N98" s="43"/>
      <c r="Q98" s="43"/>
      <c r="R98" s="43"/>
    </row>
    <row r="99" spans="2:18" x14ac:dyDescent="0.2">
      <c r="B99" s="26" t="str">
        <f>IF(Lang="Français","Minifusée",IF(Lang="English","Mini-rocket",""))</f>
        <v>Minifusée</v>
      </c>
      <c r="H99" s="43"/>
      <c r="I99" s="44"/>
      <c r="J99" s="43"/>
      <c r="L99" s="43"/>
      <c r="M99" s="43"/>
      <c r="N99" s="43"/>
      <c r="Q99" s="43"/>
      <c r="R99" s="43"/>
    </row>
    <row r="100" spans="2:18" x14ac:dyDescent="0.2">
      <c r="B100" s="26" t="str">
        <f>IF(Lang="Français","Fusée expérimentale.",IF(Lang="English","Experimental Rocket.",""))</f>
        <v>Fusée expérimentale.</v>
      </c>
      <c r="H100" s="43"/>
      <c r="I100" s="44"/>
      <c r="J100" s="43"/>
      <c r="L100" s="43"/>
      <c r="M100" s="43"/>
      <c r="N100" s="43"/>
      <c r="Q100" s="43"/>
      <c r="R100" s="43"/>
    </row>
    <row r="101" spans="2:18" x14ac:dyDescent="0.2">
      <c r="B101" s="26" t="s">
        <v>398</v>
      </c>
      <c r="H101" s="43"/>
      <c r="I101" s="44"/>
      <c r="J101" s="43"/>
      <c r="L101" s="43"/>
      <c r="M101" s="43"/>
      <c r="N101" s="43"/>
      <c r="Q101" s="43"/>
      <c r="R101" s="43"/>
    </row>
    <row r="102" spans="2:18" x14ac:dyDescent="0.2">
      <c r="B102" s="26"/>
      <c r="H102" s="43"/>
      <c r="I102" s="44"/>
      <c r="J102" s="43"/>
      <c r="L102" s="43"/>
      <c r="M102" s="43"/>
      <c r="N102" s="43"/>
      <c r="Q102" s="43"/>
      <c r="R102" s="43"/>
    </row>
    <row r="103" spans="2:18" x14ac:dyDescent="0.2">
      <c r="B103" s="26" t="str">
        <f>IF(Lang="Français","sans propu",IF(Lang="English","without motor",""))</f>
        <v>sans propu</v>
      </c>
      <c r="H103" s="43"/>
      <c r="I103" s="44"/>
      <c r="J103" s="43"/>
      <c r="L103" s="43"/>
      <c r="M103" s="43"/>
      <c r="N103" s="43"/>
      <c r="Q103" s="43"/>
      <c r="R103" s="43"/>
    </row>
    <row r="104" spans="2:18" x14ac:dyDescent="0.2">
      <c r="B104" s="26" t="str">
        <f>IF(Lang="Français","avec propu vide",IF(Lang="English","with empty motor",""))</f>
        <v>avec propu vide</v>
      </c>
      <c r="H104" s="43"/>
      <c r="I104" s="44"/>
      <c r="J104" s="43"/>
      <c r="L104" s="43"/>
      <c r="M104" s="43"/>
      <c r="N104" s="43"/>
      <c r="Q104" s="43"/>
      <c r="R104" s="43"/>
    </row>
    <row r="105" spans="2:18" x14ac:dyDescent="0.2">
      <c r="B105" s="26" t="str">
        <f>IF(Lang="Français","avec propu plein",IF(Lang="English","with loaded motor",""))</f>
        <v>avec propu plein</v>
      </c>
      <c r="H105" s="43"/>
      <c r="I105" s="44"/>
      <c r="J105" s="43"/>
      <c r="L105" s="43"/>
      <c r="M105" s="43"/>
      <c r="N105" s="43"/>
      <c r="Q105" s="43"/>
      <c r="R105" s="43"/>
    </row>
    <row r="106" spans="2:18" x14ac:dyDescent="0.2">
      <c r="B106" s="26"/>
      <c r="H106" s="43"/>
      <c r="I106" s="44"/>
      <c r="J106" s="43"/>
      <c r="L106" s="43"/>
      <c r="M106" s="43"/>
      <c r="N106" s="43"/>
      <c r="Q106" s="43"/>
      <c r="R106" s="43"/>
    </row>
    <row r="107" spans="2:18" x14ac:dyDescent="0.2">
      <c r="B107" s="26" t="str">
        <f>IF(Lang="Français","Parabolique (arrondie)",IF(Lang="English","Parabola (rounded)",""))</f>
        <v>Parabolique (arrondie)</v>
      </c>
      <c r="H107" s="43"/>
      <c r="I107" s="44"/>
      <c r="J107" s="43"/>
      <c r="L107" s="43"/>
      <c r="M107" s="43"/>
      <c r="N107" s="43"/>
      <c r="Q107" s="43"/>
      <c r="R107" s="43"/>
    </row>
    <row r="108" spans="2:18" x14ac:dyDescent="0.2">
      <c r="B108" s="26" t="str">
        <f>IF(Lang="Français","Ogivale (pointue)",IF(Lang="English","Ogive (sharp)",""))</f>
        <v>Ogivale (pointue)</v>
      </c>
      <c r="H108" s="43"/>
      <c r="I108" s="44"/>
      <c r="J108" s="43"/>
      <c r="L108" s="43"/>
      <c r="M108" s="43"/>
      <c r="N108" s="43"/>
      <c r="Q108" s="43"/>
      <c r="R108" s="43"/>
    </row>
    <row r="109" spans="2:18" x14ac:dyDescent="0.2">
      <c r="B109" s="26" t="str">
        <f>IF(Lang="Français","Conique (droite)",IF(Lang="English","Cone (straight)",""))</f>
        <v>Conique (droite)</v>
      </c>
      <c r="H109" s="43"/>
      <c r="I109" s="44"/>
      <c r="J109" s="43"/>
      <c r="L109" s="43"/>
      <c r="M109" s="43"/>
      <c r="N109" s="43"/>
      <c r="Q109" s="43"/>
      <c r="R109" s="43"/>
    </row>
    <row r="110" spans="2:18" x14ac:dyDescent="0.2">
      <c r="B110" s="38"/>
      <c r="H110" s="43"/>
      <c r="I110" s="44"/>
      <c r="J110" s="43"/>
      <c r="L110" s="43"/>
      <c r="M110" s="43"/>
      <c r="N110" s="43"/>
      <c r="Q110" s="43"/>
      <c r="R110" s="43"/>
    </row>
    <row r="111" spans="2:18" x14ac:dyDescent="0.2">
      <c r="B111" s="38" t="s">
        <v>424</v>
      </c>
      <c r="H111" s="43"/>
      <c r="I111" s="44"/>
      <c r="J111" s="43"/>
      <c r="L111" s="43"/>
      <c r="M111" s="43"/>
      <c r="N111" s="43"/>
      <c r="Q111" s="43"/>
      <c r="R111" s="43"/>
    </row>
    <row r="112" spans="2:18" x14ac:dyDescent="0.2">
      <c r="B112" s="38" t="s">
        <v>425</v>
      </c>
      <c r="H112" s="43"/>
      <c r="I112" s="44"/>
      <c r="J112" s="43"/>
      <c r="L112" s="43"/>
      <c r="M112" s="43"/>
      <c r="N112" s="43"/>
      <c r="Q112" s="43"/>
      <c r="R112" s="43"/>
    </row>
    <row r="113" spans="2:18" x14ac:dyDescent="0.2">
      <c r="B113" s="38"/>
      <c r="H113" s="43"/>
      <c r="I113" s="44"/>
      <c r="J113" s="43"/>
      <c r="L113" s="43"/>
      <c r="M113" s="43"/>
      <c r="N113" s="43"/>
      <c r="Q113" s="43"/>
      <c r="R113" s="43"/>
    </row>
    <row r="114" spans="2:18" x14ac:dyDescent="0.2">
      <c r="B114" s="38" t="str">
        <f>IF(Lang="Français","Fusée mono-diamètre,",IF(Lang="English","Mono-diameter rocket,",""))</f>
        <v>Fusée mono-diamètre,</v>
      </c>
      <c r="H114" s="43"/>
      <c r="I114" s="44"/>
      <c r="J114" s="43"/>
      <c r="L114" s="43"/>
      <c r="M114" s="43"/>
      <c r="N114" s="43"/>
      <c r="Q114" s="43"/>
      <c r="R114" s="43"/>
    </row>
    <row r="115" spans="2:18" x14ac:dyDescent="0.2">
      <c r="B115" s="38" t="str">
        <f>IF(Lang="Français","Plusieurs diamètres.",IF(Lang="English","Many diameters rocket.",""))</f>
        <v>Plusieurs diamètres.</v>
      </c>
      <c r="H115" s="43"/>
      <c r="I115" s="44"/>
      <c r="J115" s="43"/>
      <c r="L115" s="43"/>
      <c r="M115" s="43"/>
      <c r="N115" s="43"/>
      <c r="Q115" s="43"/>
      <c r="R115" s="43"/>
    </row>
    <row r="116" spans="2:18" x14ac:dyDescent="0.2">
      <c r="B116" s="38"/>
      <c r="H116" s="43"/>
      <c r="I116" s="44"/>
      <c r="J116" s="43"/>
      <c r="L116" s="43"/>
      <c r="M116" s="43"/>
      <c r="N116" s="43"/>
      <c r="Q116" s="43"/>
      <c r="R116" s="43"/>
    </row>
    <row r="117" spans="2:18" x14ac:dyDescent="0.2">
      <c r="B117" s="223" t="str">
        <f>IF(Lang="Français","Diagramme des critères de stabilité","Stability criterions diagram")</f>
        <v>Diagramme des critères de stabilité</v>
      </c>
      <c r="H117" s="43"/>
      <c r="I117" s="44"/>
      <c r="J117" s="43"/>
      <c r="L117" s="43"/>
      <c r="M117" s="43"/>
      <c r="N117" s="43"/>
      <c r="Q117" s="43"/>
      <c r="R117" s="43"/>
    </row>
    <row r="118" spans="2:18" x14ac:dyDescent="0.2">
      <c r="B118" s="223" t="str">
        <f>IF(Lang="Français","Marge Statique (MS)","Static Margin")</f>
        <v>Marge Statique (MS)</v>
      </c>
      <c r="H118" s="43"/>
      <c r="I118" s="44"/>
      <c r="J118" s="43"/>
      <c r="L118" s="43"/>
      <c r="M118" s="43"/>
      <c r="N118" s="43"/>
      <c r="Q118" s="43"/>
      <c r="R118" s="43"/>
    </row>
    <row r="119" spans="2:18" x14ac:dyDescent="0.2">
      <c r="B119" s="223" t="str">
        <f>IF(Lang="Français","Portance Cnα","Lift Cnα")</f>
        <v>Portance Cnα</v>
      </c>
      <c r="H119" s="43"/>
      <c r="I119" s="44"/>
      <c r="J119" s="43"/>
      <c r="L119" s="43"/>
      <c r="M119" s="43"/>
      <c r="N119" s="43"/>
      <c r="Q119" s="43"/>
      <c r="R119" s="43"/>
    </row>
    <row r="120" spans="2:18" x14ac:dyDescent="0.2">
      <c r="B120" s="38"/>
      <c r="H120" s="43"/>
      <c r="I120" s="44"/>
      <c r="J120" s="43"/>
      <c r="L120" s="43"/>
      <c r="M120" s="43"/>
      <c r="N120" s="43"/>
      <c r="Q120" s="43"/>
      <c r="R120" s="43"/>
    </row>
    <row r="121" spans="2:18" x14ac:dyDescent="0.2">
      <c r="B121" s="24" t="str">
        <f>IF(Lang="Français","Données pour les graphiques :",IF(Lang="English","Data for plots:",""))</f>
        <v>Données pour les graphiques :</v>
      </c>
      <c r="H121" s="43"/>
      <c r="I121" s="44"/>
      <c r="J121" s="43"/>
      <c r="L121" s="43"/>
      <c r="M121" s="43"/>
      <c r="N121" s="43"/>
      <c r="Q121" s="43"/>
      <c r="R121" s="43"/>
    </row>
    <row r="122" spans="2:18" x14ac:dyDescent="0.2">
      <c r="H122" s="43"/>
      <c r="I122" s="44"/>
      <c r="J122" s="43"/>
      <c r="L122" s="43"/>
      <c r="M122" s="43"/>
      <c r="N122" s="43"/>
      <c r="Q122" s="43"/>
      <c r="R122" s="43"/>
    </row>
    <row r="123" spans="2:18" x14ac:dyDescent="0.2">
      <c r="B123" s="45"/>
      <c r="C123" s="45" t="s">
        <v>68</v>
      </c>
      <c r="D123" s="45" t="s">
        <v>69</v>
      </c>
      <c r="E123" s="92" t="s">
        <v>70</v>
      </c>
      <c r="K123" s="45"/>
    </row>
    <row r="124" spans="2:18" x14ac:dyDescent="0.2">
      <c r="B124" s="45" t="s">
        <v>72</v>
      </c>
      <c r="C124" s="46">
        <f>-Long_ogive</f>
        <v>-252</v>
      </c>
      <c r="D124" s="46">
        <v>0</v>
      </c>
      <c r="E124" s="93">
        <f t="shared" ref="E124:E136" si="0">-D124</f>
        <v>0</v>
      </c>
      <c r="K124" s="46"/>
    </row>
    <row r="125" spans="2:18" x14ac:dyDescent="0.2">
      <c r="B125" s="45" t="s">
        <v>72</v>
      </c>
      <c r="C125" s="46">
        <f>-Long_ogive</f>
        <v>-252</v>
      </c>
      <c r="D125" s="46">
        <f>D_og/2</f>
        <v>42</v>
      </c>
      <c r="E125" s="93">
        <f t="shared" si="0"/>
        <v>-42</v>
      </c>
      <c r="K125" s="46"/>
    </row>
    <row r="126" spans="2:18" x14ac:dyDescent="0.2">
      <c r="B126" s="45" t="s">
        <v>73</v>
      </c>
      <c r="C126" s="46">
        <f>IF(AND(RIGHT(Nb_diam,1)=".",X_j), -X_j, C125 )</f>
        <v>-942</v>
      </c>
      <c r="D126" s="46">
        <f>IF(AND(RIGHT(Nb_diam,1)=".",X_j), D1j/2, D125 )</f>
        <v>42</v>
      </c>
      <c r="E126" s="93">
        <f t="shared" si="0"/>
        <v>-42</v>
      </c>
      <c r="K126" s="46"/>
    </row>
    <row r="127" spans="2:18" x14ac:dyDescent="0.2">
      <c r="B127" s="45" t="s">
        <v>74</v>
      </c>
      <c r="C127" s="46">
        <f>IF(AND(RIGHT(Nb_diam,1)=".",X_j), -X_j-l_j, C126 )</f>
        <v>-1002</v>
      </c>
      <c r="D127" s="46">
        <f>IF(AND(RIGHT(Nb_diam,1)=".",X_j), D2j/2, D126 )</f>
        <v>52</v>
      </c>
      <c r="E127" s="93">
        <f t="shared" si="0"/>
        <v>-52</v>
      </c>
      <c r="K127" s="46"/>
    </row>
    <row r="128" spans="2:18" x14ac:dyDescent="0.2">
      <c r="B128" s="45" t="s">
        <v>75</v>
      </c>
      <c r="C128" s="46">
        <f>IF(AND(RIGHT(Nb_diam,1)=".",X_r), -X_r, C127 )</f>
        <v>-2002</v>
      </c>
      <c r="D128" s="46">
        <f>IF(AND(RIGHT(Nb_diam,1)=".",X_r), D1r/2, D127 )</f>
        <v>52</v>
      </c>
      <c r="E128" s="93">
        <f t="shared" si="0"/>
        <v>-52</v>
      </c>
      <c r="K128" s="46"/>
    </row>
    <row r="129" spans="2:11" x14ac:dyDescent="0.2">
      <c r="B129" s="45" t="s">
        <v>76</v>
      </c>
      <c r="C129" s="46">
        <f>IF(AND(RIGHT(Nb_diam,1)=".",X_r), -X_r-l_r, C128 )</f>
        <v>-2042</v>
      </c>
      <c r="D129" s="46">
        <f>IF(AND(RIGHT(Nb_diam,1)=".",X_r), D2r/2, D128 )</f>
        <v>42</v>
      </c>
      <c r="E129" s="93">
        <f t="shared" si="0"/>
        <v>-42</v>
      </c>
      <c r="K129" s="46"/>
    </row>
    <row r="130" spans="2:11" x14ac:dyDescent="0.2">
      <c r="B130" s="45" t="s">
        <v>77</v>
      </c>
      <c r="C130" s="46">
        <f>-Long_tot</f>
        <v>-2052</v>
      </c>
      <c r="D130" s="46">
        <f>D129</f>
        <v>42</v>
      </c>
      <c r="E130" s="93">
        <f t="shared" si="0"/>
        <v>-42</v>
      </c>
      <c r="K130" s="46"/>
    </row>
    <row r="131" spans="2:11" x14ac:dyDescent="0.2">
      <c r="B131" s="45" t="s">
        <v>77</v>
      </c>
      <c r="C131" s="46">
        <f>-Long_tot</f>
        <v>-2052</v>
      </c>
      <c r="D131" s="46">
        <v>0</v>
      </c>
      <c r="E131" s="93">
        <f t="shared" si="0"/>
        <v>0</v>
      </c>
      <c r="K131" s="46"/>
    </row>
    <row r="132" spans="2:11" x14ac:dyDescent="0.2">
      <c r="B132" s="183" t="s">
        <v>78</v>
      </c>
      <c r="C132" s="197">
        <f>-X_ail+m_ail</f>
        <v>-1812</v>
      </c>
      <c r="D132" s="197">
        <f>D_ail/2</f>
        <v>52</v>
      </c>
      <c r="E132" s="198">
        <f t="shared" si="0"/>
        <v>-52</v>
      </c>
      <c r="K132" s="46"/>
    </row>
    <row r="133" spans="2:11" x14ac:dyDescent="0.2">
      <c r="B133" s="185" t="s">
        <v>79</v>
      </c>
      <c r="C133" s="46">
        <f>-X_ail+m_ail-p_ail</f>
        <v>-1992</v>
      </c>
      <c r="D133" s="46">
        <f>D_ail/2+E_ail</f>
        <v>192</v>
      </c>
      <c r="E133" s="199">
        <f t="shared" si="0"/>
        <v>-192</v>
      </c>
      <c r="K133" s="46"/>
    </row>
    <row r="134" spans="2:11" x14ac:dyDescent="0.2">
      <c r="B134" s="185" t="s">
        <v>80</v>
      </c>
      <c r="C134" s="46">
        <f>-X_ail+m_ail-p_ail-n_ail</f>
        <v>-2072</v>
      </c>
      <c r="D134" s="46">
        <f>D_ail/2+E_ail</f>
        <v>192</v>
      </c>
      <c r="E134" s="199">
        <f t="shared" si="0"/>
        <v>-192</v>
      </c>
      <c r="K134" s="46"/>
    </row>
    <row r="135" spans="2:11" x14ac:dyDescent="0.2">
      <c r="B135" s="185" t="s">
        <v>81</v>
      </c>
      <c r="C135" s="46">
        <f>-X_ail</f>
        <v>-2002</v>
      </c>
      <c r="D135" s="46">
        <f>D_ail/2</f>
        <v>52</v>
      </c>
      <c r="E135" s="199">
        <f t="shared" si="0"/>
        <v>-52</v>
      </c>
      <c r="K135" s="46"/>
    </row>
    <row r="136" spans="2:11" x14ac:dyDescent="0.2">
      <c r="B136" s="187" t="s">
        <v>78</v>
      </c>
      <c r="C136" s="200">
        <f>-X_ail+m_ail</f>
        <v>-1812</v>
      </c>
      <c r="D136" s="200">
        <f>D_ail/2</f>
        <v>52</v>
      </c>
      <c r="E136" s="201">
        <f t="shared" si="0"/>
        <v>-52</v>
      </c>
      <c r="K136" s="46"/>
    </row>
    <row r="137" spans="2:11" x14ac:dyDescent="0.2">
      <c r="B137" s="192" t="str">
        <f>IF(E_ail&gt;0,IF(Lang="Français","Envergure","Span"),"")</f>
        <v>Envergure</v>
      </c>
      <c r="C137" s="197">
        <f>MIN(-X_ail,-X_ail+m_ail-p_ail-n_ail)-Long_tot/30</f>
        <v>-2140.4</v>
      </c>
      <c r="D137" s="207">
        <f>-D_ail/2-E_ail</f>
        <v>-192</v>
      </c>
      <c r="E137" s="93"/>
      <c r="K137" s="46"/>
    </row>
    <row r="138" spans="2:11" x14ac:dyDescent="0.2">
      <c r="B138" s="195" t="s">
        <v>166</v>
      </c>
      <c r="C138" s="46">
        <f>MIN(-X_ail,-X_ail+m_ail-p_ail-n_ail)-Long_tot/30</f>
        <v>-2140.4</v>
      </c>
      <c r="D138" s="208">
        <f>-D_ail/2-E_ail/2</f>
        <v>-122</v>
      </c>
      <c r="E138" s="93"/>
      <c r="K138" s="46"/>
    </row>
    <row r="139" spans="2:11" x14ac:dyDescent="0.2">
      <c r="B139" s="212" t="s">
        <v>162</v>
      </c>
      <c r="C139" s="200">
        <f>MIN(-X_ail,-X_ail+m_ail-p_ail-n_ail)-Long_tot/30</f>
        <v>-2140.4</v>
      </c>
      <c r="D139" s="209">
        <f>-D_ail/2</f>
        <v>-52</v>
      </c>
      <c r="E139" s="93"/>
      <c r="K139" s="46"/>
    </row>
    <row r="140" spans="2:11" x14ac:dyDescent="0.2">
      <c r="B140" s="192" t="str">
        <f>IF(Lang="Français","Emplanture","Root edge")</f>
        <v>Emplanture</v>
      </c>
      <c r="C140" s="197">
        <f>-X_ail+m_ail</f>
        <v>-1812</v>
      </c>
      <c r="D140" s="207">
        <f>D_ail/2+E_ail+Long_tot/20</f>
        <v>294.60000000000002</v>
      </c>
      <c r="E140" s="93"/>
      <c r="K140" s="46"/>
    </row>
    <row r="141" spans="2:11" x14ac:dyDescent="0.2">
      <c r="B141" s="195" t="s">
        <v>168</v>
      </c>
      <c r="C141" s="46">
        <f>-X_ail+m_ail/2</f>
        <v>-1907</v>
      </c>
      <c r="D141" s="208">
        <f>D_ail/2+E_ail+Long_tot/20</f>
        <v>294.60000000000002</v>
      </c>
      <c r="E141" s="93"/>
      <c r="K141" s="46"/>
    </row>
    <row r="142" spans="2:11" x14ac:dyDescent="0.2">
      <c r="B142" s="212" t="s">
        <v>169</v>
      </c>
      <c r="C142" s="200">
        <f>-X_ail</f>
        <v>-2002</v>
      </c>
      <c r="D142" s="209">
        <f>D_ail/2+E_ail+Long_tot/20</f>
        <v>294.60000000000002</v>
      </c>
      <c r="E142" s="93"/>
      <c r="K142" s="46"/>
    </row>
    <row r="143" spans="2:11" x14ac:dyDescent="0.2">
      <c r="B143" s="192" t="str">
        <f>IF(p_ail&lt;&gt;0,IF(Lang="Français","Flèche","Offset"),"")</f>
        <v>Flèche</v>
      </c>
      <c r="C143" s="197">
        <f>-X_ail+m_ail</f>
        <v>-1812</v>
      </c>
      <c r="D143" s="207">
        <f>-D_ail/2-E_ail-Long_tot/30</f>
        <v>-260.39999999999998</v>
      </c>
      <c r="E143" s="93"/>
      <c r="K143" s="46"/>
    </row>
    <row r="144" spans="2:11" x14ac:dyDescent="0.2">
      <c r="B144" s="195" t="s">
        <v>165</v>
      </c>
      <c r="C144" s="46">
        <f>-X_ail+m_ail-p_ail/2</f>
        <v>-1902</v>
      </c>
      <c r="D144" s="208">
        <f>-D_ail/2-E_ail-Long_tot/30</f>
        <v>-260.39999999999998</v>
      </c>
      <c r="E144" s="93"/>
      <c r="K144" s="46"/>
    </row>
    <row r="145" spans="2:11" x14ac:dyDescent="0.2">
      <c r="B145" s="212" t="s">
        <v>163</v>
      </c>
      <c r="C145" s="200">
        <f>-X_ail+m_ail-p_ail</f>
        <v>-1992</v>
      </c>
      <c r="D145" s="209">
        <f>-D_ail/2-E_ail-Long_tot/30</f>
        <v>-260.39999999999998</v>
      </c>
      <c r="E145" s="93"/>
      <c r="K145" s="46"/>
    </row>
    <row r="146" spans="2:11" x14ac:dyDescent="0.2">
      <c r="B146" s="192" t="str">
        <f>IF(n_ail&gt;0,IF(Lang="Français","Saumon","Tip edge"),"")</f>
        <v>Saumon</v>
      </c>
      <c r="C146" s="197">
        <f>-X_ail+m_ail-p_ail</f>
        <v>-1992</v>
      </c>
      <c r="D146" s="207">
        <f>-D_ail/2-E_ail-Long_tot/20</f>
        <v>-294.60000000000002</v>
      </c>
      <c r="E146" s="93"/>
      <c r="K146" s="46"/>
    </row>
    <row r="147" spans="2:11" x14ac:dyDescent="0.2">
      <c r="B147" s="195" t="s">
        <v>167</v>
      </c>
      <c r="C147" s="46">
        <f>-X_ail+m_ail-p_ail-n_ail/2</f>
        <v>-2032</v>
      </c>
      <c r="D147" s="208">
        <f>-D_ail/2-E_ail-Long_tot/20</f>
        <v>-294.60000000000002</v>
      </c>
      <c r="E147" s="93"/>
      <c r="K147" s="46"/>
    </row>
    <row r="148" spans="2:11" x14ac:dyDescent="0.2">
      <c r="B148" s="212" t="s">
        <v>164</v>
      </c>
      <c r="C148" s="200">
        <f>-X_ail+m_ail-p_ail-n_ail</f>
        <v>-2072</v>
      </c>
      <c r="D148" s="209">
        <f>-D_ail/2-E_ail-Long_tot/20</f>
        <v>-294.60000000000002</v>
      </c>
      <c r="E148" s="93"/>
      <c r="K148" s="46"/>
    </row>
    <row r="149" spans="2:11" x14ac:dyDescent="0.2">
      <c r="B149" s="183" t="s">
        <v>82</v>
      </c>
      <c r="C149" s="197">
        <f ca="1">-XcgPlein</f>
        <v>-1170.4516129032256</v>
      </c>
      <c r="D149" s="207">
        <v>0</v>
      </c>
      <c r="E149" s="93"/>
      <c r="K149" s="46"/>
    </row>
    <row r="150" spans="2:11" x14ac:dyDescent="0.2">
      <c r="B150" s="187" t="s">
        <v>83</v>
      </c>
      <c r="C150" s="200">
        <f ca="1">-XcgVide</f>
        <v>-1084.7516778523491</v>
      </c>
      <c r="D150" s="209">
        <v>0</v>
      </c>
      <c r="E150" s="93"/>
      <c r="K150" s="46"/>
    </row>
    <row r="151" spans="2:11" x14ac:dyDescent="0.2">
      <c r="B151" s="183" t="s">
        <v>84</v>
      </c>
      <c r="C151" s="197">
        <f>-XCp</f>
        <v>-1291.2433377140769</v>
      </c>
      <c r="D151" s="207">
        <v>0</v>
      </c>
      <c r="E151" s="93"/>
      <c r="K151" s="46"/>
    </row>
    <row r="152" spans="2:11" x14ac:dyDescent="0.2">
      <c r="B152" s="187" t="s">
        <v>84</v>
      </c>
      <c r="C152" s="200">
        <f>-XCp</f>
        <v>-1291.2433377140769</v>
      </c>
      <c r="D152" s="209">
        <f>Cn*D_ref/CritCnmin</f>
        <v>143.55275361745115</v>
      </c>
      <c r="E152" s="93"/>
      <c r="K152" s="46"/>
    </row>
    <row r="153" spans="2:11" x14ac:dyDescent="0.2">
      <c r="B153" s="185" t="s">
        <v>422</v>
      </c>
      <c r="C153" s="46">
        <f>-XCp0</f>
        <v>-1399.4038122602162</v>
      </c>
      <c r="D153" s="208">
        <f>Cn0*D_ref/CritCnmin</f>
        <v>173.07175031058503</v>
      </c>
      <c r="E153" s="93"/>
      <c r="K153" s="46"/>
    </row>
    <row r="154" spans="2:11" x14ac:dyDescent="0.2">
      <c r="B154" s="185" t="s">
        <v>422</v>
      </c>
      <c r="C154" s="46">
        <f>-XCp0</f>
        <v>-1399.4038122602162</v>
      </c>
      <c r="D154" s="208">
        <v>0</v>
      </c>
      <c r="E154" s="93"/>
      <c r="K154" s="46"/>
    </row>
    <row r="155" spans="2:11" x14ac:dyDescent="0.2">
      <c r="B155" s="192" t="str">
        <f>IF(n_ail&gt;0,IF(Lang="Français","Marge Statique","Static Margin"),"")</f>
        <v>Marge Statique</v>
      </c>
      <c r="C155" s="197">
        <f ca="1">(-XcgPlein-XcgVide)/2</f>
        <v>-1127.6016453777875</v>
      </c>
      <c r="D155" s="207">
        <f>-D_ail/2-E_ail-Long_tot/20</f>
        <v>-294.60000000000002</v>
      </c>
      <c r="E155" s="93"/>
      <c r="K155" s="46"/>
    </row>
    <row r="156" spans="2:11" x14ac:dyDescent="0.2">
      <c r="B156" s="195" t="s">
        <v>170</v>
      </c>
      <c r="C156" s="46">
        <f ca="1">(C155+C157)/2</f>
        <v>-1209.4224915459322</v>
      </c>
      <c r="D156" s="208">
        <f>-D_ail/2-E_ail-Long_tot/20</f>
        <v>-294.60000000000002</v>
      </c>
      <c r="E156" s="93"/>
      <c r="K156" s="46"/>
    </row>
    <row r="157" spans="2:11" x14ac:dyDescent="0.2">
      <c r="B157" s="212" t="s">
        <v>171</v>
      </c>
      <c r="C157" s="200">
        <f>-XCp</f>
        <v>-1291.2433377140769</v>
      </c>
      <c r="D157" s="209">
        <f>-D_ail/2-E_ail-Long_tot/20</f>
        <v>-294.60000000000002</v>
      </c>
      <c r="E157" s="93"/>
      <c r="K157" s="46"/>
    </row>
    <row r="158" spans="2:11" x14ac:dyDescent="0.2">
      <c r="B158" s="183" t="s">
        <v>85</v>
      </c>
      <c r="C158" s="197">
        <f>IF(LEFT(Type_masquage,1)="M",0,-X_can+m_can)</f>
        <v>-772</v>
      </c>
      <c r="D158" s="197">
        <f>IF(LEFT(Type_masquage,1)="M",0,D_ail/2)</f>
        <v>52</v>
      </c>
      <c r="E158" s="198">
        <f t="shared" ref="E158:E167" si="1">-D158</f>
        <v>-52</v>
      </c>
      <c r="K158" s="46"/>
    </row>
    <row r="159" spans="2:11" x14ac:dyDescent="0.2">
      <c r="B159" s="185" t="s">
        <v>86</v>
      </c>
      <c r="C159" s="46">
        <f>IF(LEFT(Type_masquage,1)="M",0,-X_can+m_can-p_can)</f>
        <v>-892</v>
      </c>
      <c r="D159" s="46">
        <f>IF(LEFT(Type_masquage,1)="M",0,D_ail/2+E_can)</f>
        <v>159</v>
      </c>
      <c r="E159" s="199">
        <f t="shared" si="1"/>
        <v>-159</v>
      </c>
      <c r="K159" s="46"/>
    </row>
    <row r="160" spans="2:11" x14ac:dyDescent="0.2">
      <c r="B160" s="185" t="s">
        <v>87</v>
      </c>
      <c r="C160" s="46">
        <f>IF(LEFT(Type_masquage,1)="M",0,-X_can+m_can-p_can-n_can)</f>
        <v>-972</v>
      </c>
      <c r="D160" s="46">
        <f>IF(LEFT(Type_masquage,1)="M",0,D_ail/2+E_can)</f>
        <v>159</v>
      </c>
      <c r="E160" s="199">
        <f t="shared" si="1"/>
        <v>-159</v>
      </c>
      <c r="K160" s="46"/>
    </row>
    <row r="161" spans="2:11" x14ac:dyDescent="0.2">
      <c r="B161" s="185" t="s">
        <v>88</v>
      </c>
      <c r="C161" s="46">
        <f>IF(LEFT(Type_masquage,1)="M",0,-X_can)</f>
        <v>-942</v>
      </c>
      <c r="D161" s="46">
        <f>IF(LEFT(Type_masquage,1)="M",0,D_ail/2)</f>
        <v>52</v>
      </c>
      <c r="E161" s="199">
        <f t="shared" si="1"/>
        <v>-52</v>
      </c>
      <c r="K161" s="46"/>
    </row>
    <row r="162" spans="2:11" x14ac:dyDescent="0.2">
      <c r="B162" s="187" t="s">
        <v>85</v>
      </c>
      <c r="C162" s="200">
        <f>IF(LEFT(Type_masquage,1)="M",0,-X_can+m_can)</f>
        <v>-772</v>
      </c>
      <c r="D162" s="200">
        <f>IF(LEFT(Type_masquage,1)="M",0,D_ail/2)</f>
        <v>52</v>
      </c>
      <c r="E162" s="201">
        <f t="shared" si="1"/>
        <v>-52</v>
      </c>
      <c r="K162" s="46"/>
    </row>
    <row r="163" spans="2:11" x14ac:dyDescent="0.2">
      <c r="B163" s="183" t="s">
        <v>89</v>
      </c>
      <c r="C163" s="197">
        <f>IF(LEFT(Type_masquage,1)="B",-X_int+m_int,0)</f>
        <v>-1812</v>
      </c>
      <c r="D163" s="197">
        <f>IF(LEFT(Type_masquage,1)="B",D_int/2,0)</f>
        <v>52</v>
      </c>
      <c r="E163" s="198">
        <f t="shared" si="1"/>
        <v>-52</v>
      </c>
      <c r="K163" s="46"/>
    </row>
    <row r="164" spans="2:11" x14ac:dyDescent="0.2">
      <c r="B164" s="185" t="s">
        <v>90</v>
      </c>
      <c r="C164" s="46">
        <f>IF(LEFT(Type_masquage,1)="B",-X_int+m_int-p_int,0)</f>
        <v>-1936.7142857142858</v>
      </c>
      <c r="D164" s="46">
        <f>IF(LEFT(Type_masquage,1)="B",D_int/2+E_int,0)</f>
        <v>149</v>
      </c>
      <c r="E164" s="199">
        <f t="shared" si="1"/>
        <v>-149</v>
      </c>
      <c r="K164" s="46"/>
    </row>
    <row r="165" spans="2:11" x14ac:dyDescent="0.2">
      <c r="B165" s="185" t="s">
        <v>91</v>
      </c>
      <c r="C165" s="46">
        <f>IF(LEFT(Type_masquage,1)="B",-X_int+m_int-p_int-n_int,0)</f>
        <v>-2050.5</v>
      </c>
      <c r="D165" s="46">
        <f>IF(LEFT(Type_masquage,1)="B",D_int/2+E_int,0)</f>
        <v>149</v>
      </c>
      <c r="E165" s="199">
        <f t="shared" si="1"/>
        <v>-149</v>
      </c>
      <c r="K165" s="46"/>
    </row>
    <row r="166" spans="2:11" x14ac:dyDescent="0.2">
      <c r="B166" s="185" t="s">
        <v>92</v>
      </c>
      <c r="C166" s="46">
        <f>IF(LEFT(Type_masquage,1)="B",-X_int,0)</f>
        <v>-2002</v>
      </c>
      <c r="D166" s="46">
        <f>IF(LEFT(Type_masquage,1)="B",D_int/2,0)</f>
        <v>52</v>
      </c>
      <c r="E166" s="199">
        <f t="shared" si="1"/>
        <v>-52</v>
      </c>
      <c r="K166" s="46"/>
    </row>
    <row r="167" spans="2:11" x14ac:dyDescent="0.2">
      <c r="B167" s="187" t="s">
        <v>89</v>
      </c>
      <c r="C167" s="200">
        <f>IF(LEFT(Type_masquage,1)="B",-X_int+m_int,0)</f>
        <v>-1812</v>
      </c>
      <c r="D167" s="200">
        <f>IF(LEFT(Type_masquage,1)="B",D_int/2,0)</f>
        <v>52</v>
      </c>
      <c r="E167" s="201">
        <f t="shared" si="1"/>
        <v>-52</v>
      </c>
      <c r="K167" s="46"/>
    </row>
    <row r="168" spans="2:11" x14ac:dyDescent="0.2">
      <c r="B168" s="45" t="s">
        <v>93</v>
      </c>
      <c r="C168" s="46">
        <f>-MAX(Long_tot, X_ail-m_ail+p_ail+n_ail, (E_ail+D_ail/2)*3.2)*1.01</f>
        <v>-2092.7199999999998</v>
      </c>
      <c r="D168" s="46">
        <f>MAX(E_ail+D_ail/2, Long_tot/3)</f>
        <v>684</v>
      </c>
      <c r="E168" s="93"/>
      <c r="K168" s="46"/>
    </row>
    <row r="169" spans="2:11" x14ac:dyDescent="0.2">
      <c r="B169" s="45" t="s">
        <v>93</v>
      </c>
      <c r="C169" s="46">
        <f>C168</f>
        <v>-2092.7199999999998</v>
      </c>
      <c r="D169" s="46">
        <f>-D168</f>
        <v>-684</v>
      </c>
      <c r="E169" s="93"/>
      <c r="K169" s="46"/>
    </row>
    <row r="170" spans="2:11" x14ac:dyDescent="0.2">
      <c r="B170" s="183" t="s">
        <v>94</v>
      </c>
      <c r="C170" s="197">
        <f ca="1">-XpropuRef+Long_propu</f>
        <v>-1564</v>
      </c>
      <c r="D170" s="207">
        <f ca="1">-Diam_propu/2</f>
        <v>-27</v>
      </c>
      <c r="E170" s="93"/>
      <c r="K170" s="46"/>
    </row>
    <row r="171" spans="2:11" x14ac:dyDescent="0.2">
      <c r="B171" s="185" t="s">
        <v>95</v>
      </c>
      <c r="C171" s="46">
        <f ca="1">-XpropuRef+Long_propu</f>
        <v>-1564</v>
      </c>
      <c r="D171" s="208">
        <f ca="1">Diam_propu/2</f>
        <v>27</v>
      </c>
      <c r="E171" s="93"/>
      <c r="K171" s="46"/>
    </row>
    <row r="172" spans="2:11" x14ac:dyDescent="0.2">
      <c r="B172" s="185" t="s">
        <v>96</v>
      </c>
      <c r="C172" s="46">
        <f>-XpropuRef</f>
        <v>-2052</v>
      </c>
      <c r="D172" s="208">
        <f ca="1">Diam_propu/2</f>
        <v>27</v>
      </c>
      <c r="E172" s="93"/>
      <c r="K172" s="46"/>
    </row>
    <row r="173" spans="2:11" x14ac:dyDescent="0.2">
      <c r="B173" s="185" t="s">
        <v>97</v>
      </c>
      <c r="C173" s="46">
        <f>-XpropuRef</f>
        <v>-2052</v>
      </c>
      <c r="D173" s="208">
        <f ca="1">-Diam_propu/2</f>
        <v>-27</v>
      </c>
      <c r="E173" s="93"/>
      <c r="K173" s="46"/>
    </row>
    <row r="174" spans="2:11" x14ac:dyDescent="0.2">
      <c r="B174" s="187" t="s">
        <v>98</v>
      </c>
      <c r="C174" s="200">
        <f ca="1">-XpropuRef+Long_propu</f>
        <v>-1564</v>
      </c>
      <c r="D174" s="209">
        <f ca="1">-Diam_propu/2</f>
        <v>-27</v>
      </c>
      <c r="E174" s="93"/>
      <c r="F174" s="192" t="s">
        <v>159</v>
      </c>
      <c r="G174" s="193" t="s">
        <v>160</v>
      </c>
      <c r="H174" s="194" t="s">
        <v>161</v>
      </c>
      <c r="K174" s="46"/>
    </row>
    <row r="175" spans="2:11" x14ac:dyDescent="0.2">
      <c r="B175" s="183" t="s">
        <v>71</v>
      </c>
      <c r="C175" s="197">
        <v>0</v>
      </c>
      <c r="D175" s="197">
        <v>0</v>
      </c>
      <c r="E175" s="198">
        <f t="shared" ref="E175:E180" si="2">-D175</f>
        <v>0</v>
      </c>
      <c r="F175" s="195">
        <v>0</v>
      </c>
      <c r="G175" s="45">
        <v>0</v>
      </c>
      <c r="H175" s="189">
        <v>0</v>
      </c>
      <c r="K175" s="46"/>
    </row>
    <row r="176" spans="2:11" x14ac:dyDescent="0.2">
      <c r="B176" s="185" t="s">
        <v>72</v>
      </c>
      <c r="C176" s="46">
        <f>-Long_ogive*0.1</f>
        <v>-25.200000000000003</v>
      </c>
      <c r="D176" s="46">
        <f>IF(LEFT(Forme_ogive,5)="Parab",H176,IF(LEFT(Forme_ogive,4)="Ogiv",G176,IF(LEFT(Forme_ogive,3)="Con",F176)))</f>
        <v>4.2</v>
      </c>
      <c r="E176" s="199">
        <f t="shared" si="2"/>
        <v>-4.2</v>
      </c>
      <c r="F176" s="185">
        <f>D_og/2*0.1</f>
        <v>4.2</v>
      </c>
      <c r="G176" s="45">
        <f>D_og/2*0.2</f>
        <v>8.4</v>
      </c>
      <c r="H176" s="189">
        <f>D_og/2*0.5</f>
        <v>21</v>
      </c>
      <c r="K176" s="46"/>
    </row>
    <row r="177" spans="2:11" x14ac:dyDescent="0.2">
      <c r="B177" s="185" t="s">
        <v>72</v>
      </c>
      <c r="C177" s="46">
        <f>-Long_ogive/4</f>
        <v>-63</v>
      </c>
      <c r="D177" s="46">
        <f>IF(LEFT(Forme_ogive,5)="Parab",H177,IF(LEFT(Forme_ogive,4)="Ogiv",G177,IF(LEFT(Forme_ogive,3)="Con",F177)))</f>
        <v>10.5</v>
      </c>
      <c r="E177" s="199">
        <f t="shared" si="2"/>
        <v>-10.5</v>
      </c>
      <c r="F177" s="185">
        <f>D_og/2*1/4</f>
        <v>10.5</v>
      </c>
      <c r="G177" s="45">
        <f>D_og/2/2</f>
        <v>21</v>
      </c>
      <c r="H177" s="189">
        <f>D_og/2*0.7</f>
        <v>29.4</v>
      </c>
      <c r="K177" s="46"/>
    </row>
    <row r="178" spans="2:11" x14ac:dyDescent="0.2">
      <c r="B178" s="185" t="s">
        <v>72</v>
      </c>
      <c r="C178" s="46">
        <f>-Long_ogive/2</f>
        <v>-126</v>
      </c>
      <c r="D178" s="46">
        <f>IF(LEFT(Forme_ogive,5)="Parab",H178,IF(LEFT(Forme_ogive,4)="Ogiv",G178,IF(LEFT(Forme_ogive,3)="Con",F178)))</f>
        <v>21</v>
      </c>
      <c r="E178" s="199">
        <f t="shared" si="2"/>
        <v>-21</v>
      </c>
      <c r="F178" s="185">
        <f>D_og/2/2</f>
        <v>21</v>
      </c>
      <c r="G178" s="45">
        <f>D_og/2*3/4</f>
        <v>31.5</v>
      </c>
      <c r="H178" s="189">
        <f>D_og/2*0.88</f>
        <v>36.96</v>
      </c>
      <c r="K178" s="46"/>
    </row>
    <row r="179" spans="2:11" x14ac:dyDescent="0.2">
      <c r="B179" s="185" t="s">
        <v>72</v>
      </c>
      <c r="C179" s="46">
        <f>-Long_ogive*3/4</f>
        <v>-189</v>
      </c>
      <c r="D179" s="46">
        <f>IF(LEFT(Forme_ogive,5)="Parab",H179,IF(LEFT(Forme_ogive,4)="Ogiv",G179,IF(LEFT(Forme_ogive,3)="Con",F179)))</f>
        <v>31.5</v>
      </c>
      <c r="E179" s="199">
        <f t="shared" si="2"/>
        <v>-31.5</v>
      </c>
      <c r="F179" s="185">
        <f>D_og/2*3/4</f>
        <v>31.5</v>
      </c>
      <c r="G179" s="45">
        <f>D_og/2*0.9</f>
        <v>37.800000000000004</v>
      </c>
      <c r="H179" s="189">
        <f>D_og/2*0.95</f>
        <v>39.9</v>
      </c>
      <c r="K179" s="46"/>
    </row>
    <row r="180" spans="2:11" x14ac:dyDescent="0.2">
      <c r="B180" s="187" t="s">
        <v>72</v>
      </c>
      <c r="C180" s="200">
        <f>-Long_ogive</f>
        <v>-252</v>
      </c>
      <c r="D180" s="200">
        <f>D_og/2</f>
        <v>42</v>
      </c>
      <c r="E180" s="201">
        <f t="shared" si="2"/>
        <v>-42</v>
      </c>
      <c r="F180" s="187">
        <f>D_og/2</f>
        <v>42</v>
      </c>
      <c r="G180" s="196">
        <f>D_og/2</f>
        <v>42</v>
      </c>
      <c r="H180" s="190">
        <f>D_og/2</f>
        <v>42</v>
      </c>
      <c r="K180" s="26"/>
    </row>
    <row r="181" spans="2:11" x14ac:dyDescent="0.2">
      <c r="B181" s="45" t="s">
        <v>99</v>
      </c>
      <c r="C181" s="45" t="s">
        <v>100</v>
      </c>
      <c r="D181" s="183" t="s">
        <v>99</v>
      </c>
      <c r="E181" s="204" t="s">
        <v>100</v>
      </c>
      <c r="K181" s="45"/>
    </row>
    <row r="182" spans="2:11" x14ac:dyDescent="0.2">
      <c r="B182" s="183">
        <v>0</v>
      </c>
      <c r="C182" s="202">
        <f>CritCnmin</f>
        <v>15</v>
      </c>
      <c r="D182" s="185">
        <v>0.5</v>
      </c>
      <c r="E182" s="205">
        <f t="shared" ref="E182:E187" si="3">CritMsCnmin/D182</f>
        <v>80</v>
      </c>
      <c r="K182" s="45"/>
    </row>
    <row r="183" spans="2:11" x14ac:dyDescent="0.2">
      <c r="B183" s="187">
        <v>7</v>
      </c>
      <c r="C183" s="196">
        <f>CritCnmin</f>
        <v>15</v>
      </c>
      <c r="D183" s="185">
        <v>1</v>
      </c>
      <c r="E183" s="205">
        <f t="shared" si="3"/>
        <v>40</v>
      </c>
      <c r="K183" s="45"/>
    </row>
    <row r="184" spans="2:11" x14ac:dyDescent="0.2">
      <c r="B184" s="183">
        <v>0</v>
      </c>
      <c r="C184" s="202">
        <f>CritCnmax</f>
        <v>40</v>
      </c>
      <c r="D184" s="185">
        <v>2</v>
      </c>
      <c r="E184" s="205">
        <f t="shared" si="3"/>
        <v>20</v>
      </c>
      <c r="K184" s="45"/>
    </row>
    <row r="185" spans="2:11" x14ac:dyDescent="0.2">
      <c r="B185" s="187">
        <v>7</v>
      </c>
      <c r="C185" s="196">
        <f>CritCnmax</f>
        <v>40</v>
      </c>
      <c r="D185" s="185">
        <v>3</v>
      </c>
      <c r="E185" s="205">
        <f t="shared" si="3"/>
        <v>13.333333333333334</v>
      </c>
      <c r="K185" s="45"/>
    </row>
    <row r="186" spans="2:11" x14ac:dyDescent="0.2">
      <c r="B186" s="183">
        <f>CritMsmin</f>
        <v>2</v>
      </c>
      <c r="C186" s="202">
        <v>0</v>
      </c>
      <c r="D186" s="185">
        <v>5</v>
      </c>
      <c r="E186" s="205">
        <f t="shared" si="3"/>
        <v>8</v>
      </c>
      <c r="K186" s="45"/>
    </row>
    <row r="187" spans="2:11" x14ac:dyDescent="0.2">
      <c r="B187" s="187">
        <f>CritMsmin</f>
        <v>2</v>
      </c>
      <c r="C187" s="196">
        <v>55</v>
      </c>
      <c r="D187" s="185">
        <v>7</v>
      </c>
      <c r="E187" s="205">
        <f t="shared" si="3"/>
        <v>5.7142857142857144</v>
      </c>
      <c r="K187" s="45"/>
    </row>
    <row r="188" spans="2:11" x14ac:dyDescent="0.2">
      <c r="B188" s="183">
        <f>CritMsmax</f>
        <v>6</v>
      </c>
      <c r="C188" s="202">
        <v>0</v>
      </c>
      <c r="D188" s="185">
        <v>1</v>
      </c>
      <c r="E188" s="205">
        <f t="shared" ref="E188:E193" si="4">CritMsCnmax/D188</f>
        <v>100</v>
      </c>
      <c r="K188" s="45"/>
    </row>
    <row r="189" spans="2:11" x14ac:dyDescent="0.2">
      <c r="B189" s="187">
        <f>CritMsmax</f>
        <v>6</v>
      </c>
      <c r="C189" s="196">
        <v>55</v>
      </c>
      <c r="D189" s="185">
        <v>2</v>
      </c>
      <c r="E189" s="205">
        <f t="shared" si="4"/>
        <v>50</v>
      </c>
      <c r="K189" s="45"/>
    </row>
    <row r="190" spans="2:11" x14ac:dyDescent="0.2">
      <c r="B190" s="191">
        <f ca="1">MS_min</f>
        <v>1.2201184324328413</v>
      </c>
      <c r="C190" s="203">
        <f>Cn</f>
        <v>21.750417214765324</v>
      </c>
      <c r="D190" s="185">
        <v>3</v>
      </c>
      <c r="E190" s="205">
        <f t="shared" si="4"/>
        <v>33.333333333333336</v>
      </c>
      <c r="K190" s="45"/>
    </row>
    <row r="191" spans="2:11" x14ac:dyDescent="0.2">
      <c r="B191" s="512">
        <f ca="1">(XCp0-XcgPlein)/D_ref</f>
        <v>2.3126484783534402</v>
      </c>
      <c r="C191" s="513">
        <f>Cn0</f>
        <v>26.22299247130076</v>
      </c>
      <c r="D191" s="185">
        <v>4</v>
      </c>
      <c r="E191" s="205">
        <f t="shared" si="4"/>
        <v>25</v>
      </c>
      <c r="K191" s="45"/>
    </row>
    <row r="192" spans="2:11" x14ac:dyDescent="0.2">
      <c r="B192" s="512">
        <f ca="1">(XCp0-XcgVide)/D_ref</f>
        <v>3.1783043879582542</v>
      </c>
      <c r="C192" s="513">
        <f>Cn0</f>
        <v>26.22299247130076</v>
      </c>
      <c r="D192" s="185">
        <v>6</v>
      </c>
      <c r="E192" s="205">
        <f t="shared" si="4"/>
        <v>16.666666666666668</v>
      </c>
      <c r="K192" s="45"/>
    </row>
    <row r="193" spans="2:11" x14ac:dyDescent="0.2">
      <c r="B193" s="512">
        <f ca="1">(XCp-XcgVide)/D_ref</f>
        <v>2.0857743420376549</v>
      </c>
      <c r="C193" s="513">
        <f>Cn</f>
        <v>21.750417214765324</v>
      </c>
      <c r="D193" s="187">
        <v>7</v>
      </c>
      <c r="E193" s="206">
        <f t="shared" si="4"/>
        <v>14.285714285714286</v>
      </c>
      <c r="K193" s="45"/>
    </row>
    <row r="194" spans="2:11" x14ac:dyDescent="0.2">
      <c r="B194" s="512">
        <f ca="1">MS_min</f>
        <v>1.2201184324328413</v>
      </c>
      <c r="C194" s="514">
        <f>Cn</f>
        <v>21.750417214765324</v>
      </c>
      <c r="D194" s="45"/>
      <c r="E194" s="92"/>
      <c r="K194" s="45"/>
    </row>
    <row r="195" spans="2:11" x14ac:dyDescent="0.2">
      <c r="B195" s="183">
        <v>0</v>
      </c>
      <c r="C195" s="202">
        <f>(CritCnmin+CritCnmax)/2</f>
        <v>27.5</v>
      </c>
      <c r="D195" s="26"/>
      <c r="E195" s="90"/>
      <c r="K195" s="26"/>
    </row>
    <row r="196" spans="2:11" x14ac:dyDescent="0.2">
      <c r="B196" s="185">
        <f>MAX(CritMsmin,CritMsCnmin/C196)</f>
        <v>2</v>
      </c>
      <c r="C196" s="45">
        <f>(CritCnmin+CritCnmax)/2</f>
        <v>27.5</v>
      </c>
      <c r="D196" s="26"/>
      <c r="E196" s="90"/>
      <c r="K196" s="26"/>
    </row>
    <row r="197" spans="2:11" x14ac:dyDescent="0.2">
      <c r="B197" s="185">
        <f>MIN(CritMsmax,CritMsCnmax/C197)</f>
        <v>3.6363636363636362</v>
      </c>
      <c r="C197" s="189">
        <f>(CritCnmin+CritCnmax)/2</f>
        <v>27.5</v>
      </c>
    </row>
    <row r="198" spans="2:11" x14ac:dyDescent="0.2">
      <c r="B198" s="187">
        <v>7</v>
      </c>
      <c r="C198" s="190">
        <f>(CritCnmin+CritCnmax)/2</f>
        <v>27.5</v>
      </c>
    </row>
    <row r="199" spans="2:11" x14ac:dyDescent="0.2">
      <c r="B199" s="183">
        <f>(CritMsmin+CritMsmax)/2</f>
        <v>4</v>
      </c>
      <c r="C199" s="184">
        <v>0</v>
      </c>
    </row>
    <row r="200" spans="2:11" x14ac:dyDescent="0.2">
      <c r="B200" s="185">
        <f>(CritMsmin+CritMsmax)/2</f>
        <v>4</v>
      </c>
      <c r="C200" s="186">
        <f>MAX(CritCnmin,CritMsCnmin/B200)</f>
        <v>15</v>
      </c>
    </row>
    <row r="201" spans="2:11" x14ac:dyDescent="0.2">
      <c r="B201" s="185">
        <f>(CritMsmin+CritMsmax)/2</f>
        <v>4</v>
      </c>
      <c r="C201" s="186">
        <f>MIN(CritCnmax,CritMsCnmax/B201)</f>
        <v>25</v>
      </c>
    </row>
    <row r="202" spans="2:11" x14ac:dyDescent="0.2">
      <c r="B202" s="187">
        <f>(CritMsmin+CritMsmax)/2</f>
        <v>4</v>
      </c>
      <c r="C202" s="188">
        <v>55</v>
      </c>
    </row>
    <row r="203" spans="2:11" x14ac:dyDescent="0.2">
      <c r="D203" s="474"/>
    </row>
    <row r="204" spans="2:11" x14ac:dyDescent="0.2">
      <c r="B204" s="476" t="s">
        <v>405</v>
      </c>
      <c r="C204" s="31" t="b">
        <f ca="1">(OR(C205:C210))</f>
        <v>1</v>
      </c>
      <c r="D204" s="474"/>
    </row>
    <row r="205" spans="2:11" x14ac:dyDescent="0.2">
      <c r="B205" s="475" t="s">
        <v>402</v>
      </c>
      <c r="C205" s="474" t="b">
        <f ca="1">AND(Type_propu="H2O",RIGHT(Type_fusee,1)=" ")</f>
        <v>0</v>
      </c>
      <c r="D205" s="474"/>
    </row>
    <row r="206" spans="2:11" x14ac:dyDescent="0.2">
      <c r="B206" s="475" t="s">
        <v>118</v>
      </c>
      <c r="C206" s="474" t="b">
        <f ca="1">AND(Type_propu="Fusex",RIGHT(Type_fusee,1)=".")</f>
        <v>1</v>
      </c>
      <c r="D206" s="474"/>
    </row>
    <row r="207" spans="2:11" x14ac:dyDescent="0.2">
      <c r="B207" s="475" t="s">
        <v>403</v>
      </c>
      <c r="C207" s="474" t="b">
        <f ca="1">LEFT(Type_propu,5)=LEFT(Type_fusee,5)</f>
        <v>0</v>
      </c>
      <c r="D207" s="474"/>
    </row>
    <row r="208" spans="2:11" x14ac:dyDescent="0.2">
      <c r="B208" s="475" t="s">
        <v>404</v>
      </c>
      <c r="C208" s="474" t="b">
        <f ca="1">AND(RIGHT(Type_propu,1)="N",LEFT(Type_fusee,4)="Mini")</f>
        <v>0</v>
      </c>
      <c r="D208" s="474"/>
    </row>
    <row r="209" spans="1:3" x14ac:dyDescent="0.2">
      <c r="B209" s="475" t="s">
        <v>406</v>
      </c>
      <c r="C209" s="474" t="b">
        <f ca="1">AND(LEFT(Type_propu,5)="MiniR",LEFT(Type_fusee,1)="R")</f>
        <v>0</v>
      </c>
    </row>
    <row r="210" spans="1:3" x14ac:dyDescent="0.2">
      <c r="B210" s="475" t="s">
        <v>396</v>
      </c>
      <c r="C210" s="474" t="b">
        <f ca="1">AND(LEFT(Type_propu,4)="Mini",LEFT(Type_fusee,1)=",")</f>
        <v>0</v>
      </c>
    </row>
    <row r="223" spans="1:3" x14ac:dyDescent="0.2">
      <c r="A223" s="24" t="s">
        <v>463</v>
      </c>
    </row>
    <row r="226" spans="1:1" x14ac:dyDescent="0.2">
      <c r="A226" s="24" t="s">
        <v>476</v>
      </c>
    </row>
    <row r="228" spans="1:1" x14ac:dyDescent="0.2">
      <c r="A228" s="24" t="s">
        <v>477</v>
      </c>
    </row>
    <row r="230" spans="1:1" x14ac:dyDescent="0.2">
      <c r="A230" s="24" t="s">
        <v>478</v>
      </c>
    </row>
    <row r="232" spans="1:1" x14ac:dyDescent="0.2">
      <c r="A232" s="24" t="s">
        <v>479</v>
      </c>
    </row>
    <row r="233" spans="1:1" x14ac:dyDescent="0.2">
      <c r="A233" s="24" t="s">
        <v>480</v>
      </c>
    </row>
    <row r="234" spans="1:1" x14ac:dyDescent="0.2">
      <c r="A234" s="24" t="s">
        <v>481</v>
      </c>
    </row>
    <row r="235" spans="1:1" x14ac:dyDescent="0.2">
      <c r="A235" s="24" t="s">
        <v>482</v>
      </c>
    </row>
    <row r="236" spans="1:1" x14ac:dyDescent="0.2">
      <c r="A236" s="24" t="s">
        <v>483</v>
      </c>
    </row>
    <row r="237" spans="1:1" x14ac:dyDescent="0.2">
      <c r="A237" s="24" t="s">
        <v>484</v>
      </c>
    </row>
    <row r="238" spans="1:1" x14ac:dyDescent="0.2">
      <c r="A238" s="24" t="s">
        <v>183</v>
      </c>
    </row>
    <row r="239" spans="1:1" x14ac:dyDescent="0.2">
      <c r="A239" s="24" t="s">
        <v>485</v>
      </c>
    </row>
    <row r="240" spans="1:1" x14ac:dyDescent="0.2">
      <c r="A240" s="24" t="s">
        <v>486</v>
      </c>
    </row>
    <row r="241" spans="1:1" x14ac:dyDescent="0.2">
      <c r="A241" s="24" t="s">
        <v>183</v>
      </c>
    </row>
    <row r="242" spans="1:1" x14ac:dyDescent="0.2">
      <c r="A242" s="24" t="s">
        <v>487</v>
      </c>
    </row>
    <row r="244" spans="1:1" x14ac:dyDescent="0.2">
      <c r="A244" s="24" t="s">
        <v>488</v>
      </c>
    </row>
    <row r="246" spans="1:1" x14ac:dyDescent="0.2">
      <c r="A246" s="24" t="s">
        <v>489</v>
      </c>
    </row>
    <row r="248" spans="1:1" x14ac:dyDescent="0.2">
      <c r="A248" s="24" t="s">
        <v>490</v>
      </c>
    </row>
    <row r="249" spans="1:1" x14ac:dyDescent="0.2">
      <c r="A249" s="24" t="s">
        <v>491</v>
      </c>
    </row>
    <row r="250" spans="1:1" x14ac:dyDescent="0.2">
      <c r="A250" s="24" t="s">
        <v>492</v>
      </c>
    </row>
    <row r="251" spans="1:1" x14ac:dyDescent="0.2">
      <c r="A251" s="24" t="s">
        <v>493</v>
      </c>
    </row>
    <row r="252" spans="1:1" x14ac:dyDescent="0.2">
      <c r="A252" s="24" t="s">
        <v>494</v>
      </c>
    </row>
    <row r="254" spans="1:1" x14ac:dyDescent="0.2">
      <c r="A254" s="24" t="s">
        <v>495</v>
      </c>
    </row>
    <row r="255" spans="1:1" x14ac:dyDescent="0.2">
      <c r="A255" s="24" t="s">
        <v>496</v>
      </c>
    </row>
    <row r="256" spans="1:1" x14ac:dyDescent="0.2">
      <c r="A256" s="24" t="s">
        <v>497</v>
      </c>
    </row>
    <row r="257" spans="1:1" x14ac:dyDescent="0.2">
      <c r="A257" s="24" t="s">
        <v>498</v>
      </c>
    </row>
    <row r="258" spans="1:1" x14ac:dyDescent="0.2">
      <c r="A258" s="24" t="s">
        <v>499</v>
      </c>
    </row>
    <row r="261" spans="1:1" x14ac:dyDescent="0.2">
      <c r="A261" s="24" t="s">
        <v>500</v>
      </c>
    </row>
    <row r="262" spans="1:1" x14ac:dyDescent="0.2">
      <c r="A262" s="24" t="s">
        <v>501</v>
      </c>
    </row>
    <row r="263" spans="1:1" x14ac:dyDescent="0.2">
      <c r="A263" s="24" t="s">
        <v>502</v>
      </c>
    </row>
    <row r="264" spans="1:1" x14ac:dyDescent="0.2">
      <c r="A264" s="24" t="s">
        <v>503</v>
      </c>
    </row>
    <row r="265" spans="1:1" x14ac:dyDescent="0.2">
      <c r="A265" s="24" t="s">
        <v>504</v>
      </c>
    </row>
    <row r="267" spans="1:1" x14ac:dyDescent="0.2">
      <c r="A267" s="24" t="s">
        <v>497</v>
      </c>
    </row>
    <row r="268" spans="1:1" x14ac:dyDescent="0.2">
      <c r="A268" s="24" t="s">
        <v>498</v>
      </c>
    </row>
    <row r="269" spans="1:1" x14ac:dyDescent="0.2">
      <c r="A269" s="24" t="s">
        <v>505</v>
      </c>
    </row>
    <row r="272" spans="1:1" x14ac:dyDescent="0.2">
      <c r="A272" s="24" t="s">
        <v>465</v>
      </c>
    </row>
    <row r="273" spans="1:1" x14ac:dyDescent="0.2">
      <c r="A273" s="24" t="s">
        <v>466</v>
      </c>
    </row>
    <row r="275" spans="1:1" x14ac:dyDescent="0.2">
      <c r="A275" s="24" t="s">
        <v>506</v>
      </c>
    </row>
    <row r="277" spans="1:1" x14ac:dyDescent="0.2">
      <c r="A277" s="24" t="s">
        <v>505</v>
      </c>
    </row>
    <row r="280" spans="1:1" x14ac:dyDescent="0.2">
      <c r="A280" s="24" t="s">
        <v>467</v>
      </c>
    </row>
    <row r="281" spans="1:1" x14ac:dyDescent="0.2">
      <c r="A281" s="24" t="s">
        <v>468</v>
      </c>
    </row>
    <row r="282" spans="1:1" x14ac:dyDescent="0.2">
      <c r="A282" s="24" t="s">
        <v>507</v>
      </c>
    </row>
    <row r="283" spans="1:1" x14ac:dyDescent="0.2">
      <c r="A283" s="24" t="s">
        <v>508</v>
      </c>
    </row>
    <row r="284" spans="1:1" x14ac:dyDescent="0.2">
      <c r="A284" s="24" t="s">
        <v>505</v>
      </c>
    </row>
    <row r="285" spans="1:1" x14ac:dyDescent="0.2">
      <c r="A285" s="24" t="s">
        <v>469</v>
      </c>
    </row>
    <row r="287" spans="1:1" x14ac:dyDescent="0.2">
      <c r="A287" s="24" t="s">
        <v>509</v>
      </c>
    </row>
    <row r="288" spans="1:1" x14ac:dyDescent="0.2">
      <c r="A288" s="24" t="s">
        <v>507</v>
      </c>
    </row>
    <row r="289" spans="1:1" x14ac:dyDescent="0.2">
      <c r="A289" s="24" t="s">
        <v>510</v>
      </c>
    </row>
    <row r="291" spans="1:1" x14ac:dyDescent="0.2">
      <c r="A291" s="24" t="s">
        <v>505</v>
      </c>
    </row>
    <row r="294" spans="1:1" x14ac:dyDescent="0.2">
      <c r="A294" s="24" t="s">
        <v>511</v>
      </c>
    </row>
    <row r="295" spans="1:1" x14ac:dyDescent="0.2">
      <c r="A295" s="24" t="s">
        <v>512</v>
      </c>
    </row>
    <row r="296" spans="1:1" x14ac:dyDescent="0.2">
      <c r="A296" s="24" t="s">
        <v>513</v>
      </c>
    </row>
    <row r="298" spans="1:1" x14ac:dyDescent="0.2">
      <c r="A298" s="24" t="s">
        <v>505</v>
      </c>
    </row>
    <row r="301" spans="1:1" x14ac:dyDescent="0.2">
      <c r="A301" s="24" t="s">
        <v>514</v>
      </c>
    </row>
    <row r="302" spans="1:1" x14ac:dyDescent="0.2">
      <c r="A302" s="24" t="s">
        <v>515</v>
      </c>
    </row>
    <row r="304" spans="1:1" x14ac:dyDescent="0.2">
      <c r="A304" s="24" t="s">
        <v>516</v>
      </c>
    </row>
    <row r="305" spans="1:1" x14ac:dyDescent="0.2">
      <c r="A305" s="24" t="s">
        <v>517</v>
      </c>
    </row>
    <row r="306" spans="1:1" x14ac:dyDescent="0.2">
      <c r="A306" s="24" t="s">
        <v>505</v>
      </c>
    </row>
    <row r="309" spans="1:1" x14ac:dyDescent="0.2">
      <c r="A309" s="24" t="s">
        <v>514</v>
      </c>
    </row>
    <row r="310" spans="1:1" x14ac:dyDescent="0.2">
      <c r="A310" s="24" t="s">
        <v>518</v>
      </c>
    </row>
    <row r="311" spans="1:1" x14ac:dyDescent="0.2">
      <c r="A311" s="24" t="s">
        <v>514</v>
      </c>
    </row>
    <row r="312" spans="1:1" x14ac:dyDescent="0.2">
      <c r="A312" s="24" t="s">
        <v>519</v>
      </c>
    </row>
    <row r="314" spans="1:1" x14ac:dyDescent="0.2">
      <c r="A314" s="24" t="s">
        <v>520</v>
      </c>
    </row>
    <row r="316" spans="1:1" x14ac:dyDescent="0.2">
      <c r="A316" s="24" t="s">
        <v>505</v>
      </c>
    </row>
    <row r="319" spans="1:1" x14ac:dyDescent="0.2">
      <c r="A319" s="24" t="s">
        <v>514</v>
      </c>
    </row>
    <row r="320" spans="1:1" x14ac:dyDescent="0.2">
      <c r="A320" s="24" t="s">
        <v>521</v>
      </c>
    </row>
    <row r="321" spans="1:1" x14ac:dyDescent="0.2">
      <c r="A321" s="24" t="s">
        <v>522</v>
      </c>
    </row>
    <row r="322" spans="1:1" x14ac:dyDescent="0.2">
      <c r="A322" s="24" t="s">
        <v>523</v>
      </c>
    </row>
    <row r="324" spans="1:1" x14ac:dyDescent="0.2">
      <c r="A324" s="24" t="s">
        <v>505</v>
      </c>
    </row>
    <row r="326" spans="1:1" x14ac:dyDescent="0.2">
      <c r="A326" s="24" t="s">
        <v>464</v>
      </c>
    </row>
    <row r="329" spans="1:1" x14ac:dyDescent="0.2">
      <c r="A329" s="24" t="s">
        <v>470</v>
      </c>
    </row>
    <row r="330" spans="1:1" x14ac:dyDescent="0.2">
      <c r="A330" s="24" t="s">
        <v>471</v>
      </c>
    </row>
    <row r="331" spans="1:1" x14ac:dyDescent="0.2">
      <c r="A331" s="24" t="s">
        <v>524</v>
      </c>
    </row>
    <row r="332" spans="1:1" x14ac:dyDescent="0.2">
      <c r="A332" s="24" t="s">
        <v>525</v>
      </c>
    </row>
    <row r="333" spans="1:1" x14ac:dyDescent="0.2">
      <c r="A333" s="24" t="s">
        <v>526</v>
      </c>
    </row>
    <row r="334" spans="1:1" x14ac:dyDescent="0.2">
      <c r="A334" s="24" t="s">
        <v>527</v>
      </c>
    </row>
    <row r="335" spans="1:1" x14ac:dyDescent="0.2">
      <c r="A335" s="24" t="s">
        <v>528</v>
      </c>
    </row>
    <row r="336" spans="1:1" x14ac:dyDescent="0.2">
      <c r="A336" s="24" t="s">
        <v>481</v>
      </c>
    </row>
    <row r="337" spans="1:1" x14ac:dyDescent="0.2">
      <c r="A337" s="24" t="s">
        <v>472</v>
      </c>
    </row>
    <row r="340" spans="1:1" x14ac:dyDescent="0.2">
      <c r="A340" s="24" t="s">
        <v>473</v>
      </c>
    </row>
    <row r="342" spans="1:1" x14ac:dyDescent="0.2">
      <c r="A342" s="24" t="s">
        <v>529</v>
      </c>
    </row>
    <row r="343" spans="1:1" x14ac:dyDescent="0.2">
      <c r="A343" s="24" t="s">
        <v>530</v>
      </c>
    </row>
    <row r="344" spans="1:1" x14ac:dyDescent="0.2">
      <c r="A344" s="24" t="s">
        <v>531</v>
      </c>
    </row>
    <row r="345" spans="1:1" x14ac:dyDescent="0.2">
      <c r="A345" s="24" t="s">
        <v>532</v>
      </c>
    </row>
    <row r="346" spans="1:1" x14ac:dyDescent="0.2">
      <c r="A346" s="24" t="s">
        <v>533</v>
      </c>
    </row>
    <row r="347" spans="1:1" x14ac:dyDescent="0.2">
      <c r="A347" s="24" t="s">
        <v>481</v>
      </c>
    </row>
    <row r="348" spans="1:1" x14ac:dyDescent="0.2">
      <c r="A348" s="24" t="s">
        <v>474</v>
      </c>
    </row>
    <row r="349" spans="1:1" x14ac:dyDescent="0.2">
      <c r="A349" s="24" t="s">
        <v>534</v>
      </c>
    </row>
    <row r="350" spans="1:1" x14ac:dyDescent="0.2">
      <c r="A350" s="24" t="s">
        <v>535</v>
      </c>
    </row>
    <row r="352" spans="1:1" x14ac:dyDescent="0.2">
      <c r="A352" s="24" t="s">
        <v>505</v>
      </c>
    </row>
    <row r="355" spans="1:1" x14ac:dyDescent="0.2">
      <c r="A355" s="24" t="s">
        <v>464</v>
      </c>
    </row>
    <row r="361" spans="1:1" x14ac:dyDescent="0.2">
      <c r="A361" s="24" t="s">
        <v>475</v>
      </c>
    </row>
  </sheetData>
  <dataConsolidate/>
  <mergeCells count="56">
    <mergeCell ref="C5:D5"/>
    <mergeCell ref="H26:I26"/>
    <mergeCell ref="C17:D17"/>
    <mergeCell ref="C18:D18"/>
    <mergeCell ref="O21:P21"/>
    <mergeCell ref="M21:N21"/>
    <mergeCell ref="O19:P19"/>
    <mergeCell ref="O22:P22"/>
    <mergeCell ref="C21:D21"/>
    <mergeCell ref="C6:D6"/>
    <mergeCell ref="C14:D14"/>
    <mergeCell ref="C8:D8"/>
    <mergeCell ref="C9:D9"/>
    <mergeCell ref="O20:P20"/>
    <mergeCell ref="M23:N23"/>
    <mergeCell ref="M24:N24"/>
    <mergeCell ref="C2:D3"/>
    <mergeCell ref="C4:D4"/>
    <mergeCell ref="M22:N22"/>
    <mergeCell ref="M19:N19"/>
    <mergeCell ref="M9:N9"/>
    <mergeCell ref="M7:N7"/>
    <mergeCell ref="M8:N8"/>
    <mergeCell ref="C7:D7"/>
    <mergeCell ref="C11:D11"/>
    <mergeCell ref="M5:N5"/>
    <mergeCell ref="M6:N6"/>
    <mergeCell ref="M20:N20"/>
    <mergeCell ref="N14:O14"/>
    <mergeCell ref="N15:O15"/>
    <mergeCell ref="M17:N17"/>
    <mergeCell ref="C15:D15"/>
    <mergeCell ref="C27:D27"/>
    <mergeCell ref="C19:D19"/>
    <mergeCell ref="C20:D20"/>
    <mergeCell ref="O23:P23"/>
    <mergeCell ref="O24:P24"/>
    <mergeCell ref="C23:D23"/>
    <mergeCell ref="C22:D22"/>
    <mergeCell ref="C24:D24"/>
    <mergeCell ref="H33:I34"/>
    <mergeCell ref="M4:P4"/>
    <mergeCell ref="M2:P2"/>
    <mergeCell ref="N13:O13"/>
    <mergeCell ref="N12:O12"/>
    <mergeCell ref="O9:P9"/>
    <mergeCell ref="O8:P8"/>
    <mergeCell ref="O7:P7"/>
    <mergeCell ref="H27:I27"/>
    <mergeCell ref="M18:N18"/>
    <mergeCell ref="L3:M3"/>
    <mergeCell ref="N11:O11"/>
    <mergeCell ref="O6:P6"/>
    <mergeCell ref="O5:P5"/>
    <mergeCell ref="O17:P17"/>
    <mergeCell ref="O18:P18"/>
  </mergeCells>
  <phoneticPr fontId="8" type="noConversion"/>
  <conditionalFormatting sqref="B15:D15 B35:C35">
    <cfRule type="expression" dxfId="53" priority="21" stopIfTrue="1">
      <formula>AND(IF(RIGHT(Nb_diam,1)=",",1),IF(LEFT(Type_masquage,1)="M",1))</formula>
    </cfRule>
  </conditionalFormatting>
  <conditionalFormatting sqref="C12">
    <cfRule type="cellIs" dxfId="52" priority="25" stopIfTrue="1" operator="equal">
      <formula>359</formula>
    </cfRule>
    <cfRule type="expression" dxfId="51" priority="28" stopIfTrue="1">
      <formula>OR(MasseSans&lt;MpropuVide, MasseSans&gt;20*MpropuPlein)</formula>
    </cfRule>
  </conditionalFormatting>
  <conditionalFormatting sqref="C13">
    <cfRule type="cellIs" dxfId="50" priority="24" stopIfTrue="1" operator="equal">
      <formula>639</formula>
    </cfRule>
  </conditionalFormatting>
  <conditionalFormatting sqref="C15 C35 C24:D24">
    <cfRule type="cellIs" dxfId="49" priority="37" stopIfTrue="1" operator="equal">
      <formula>59</formula>
    </cfRule>
  </conditionalFormatting>
  <conditionalFormatting sqref="C18">
    <cfRule type="expression" dxfId="48" priority="151" stopIfTrue="1">
      <formula>C204</formula>
    </cfRule>
  </conditionalFormatting>
  <conditionalFormatting sqref="C28 C30">
    <cfRule type="cellIs" dxfId="47" priority="18" stopIfTrue="1" operator="equal">
      <formula>109</formula>
    </cfRule>
  </conditionalFormatting>
  <conditionalFormatting sqref="C29">
    <cfRule type="cellIs" dxfId="46" priority="19" stopIfTrue="1" operator="equal">
      <formula>59</formula>
    </cfRule>
  </conditionalFormatting>
  <conditionalFormatting sqref="C31">
    <cfRule type="cellIs" dxfId="45" priority="20" stopIfTrue="1" operator="equal">
      <formula>99</formula>
    </cfRule>
  </conditionalFormatting>
  <conditionalFormatting sqref="C14:D14 C19 C34">
    <cfRule type="cellIs" dxfId="44" priority="23" stopIfTrue="1" operator="equal">
      <formula>1001</formula>
    </cfRule>
  </conditionalFormatting>
  <conditionalFormatting sqref="C23:D23">
    <cfRule type="cellIs" dxfId="43" priority="22" stopIfTrue="1" operator="equal">
      <formula>199</formula>
    </cfRule>
  </conditionalFormatting>
  <conditionalFormatting sqref="D10">
    <cfRule type="expression" dxfId="42" priority="1">
      <formula>NOT(OR((LEFT(Type_fusee,4)="Mini"),(RIGHT(Type_fusee,1)=".")))</formula>
    </cfRule>
  </conditionalFormatting>
  <conditionalFormatting sqref="D18">
    <cfRule type="expression" dxfId="41" priority="11" stopIfTrue="1">
      <formula>D202</formula>
    </cfRule>
  </conditionalFormatting>
  <conditionalFormatting sqref="H28">
    <cfRule type="expression" dxfId="40" priority="47" stopIfTrue="1">
      <formula>OR(Cn&lt;CritCnmin,Cn&gt;CritCnmax)</formula>
    </cfRule>
  </conditionalFormatting>
  <conditionalFormatting sqref="H29">
    <cfRule type="expression" dxfId="39" priority="46" stopIfTrue="1">
      <formula>OR(MS_min&lt;CritMsmin,MS_min&gt;CritMsmax)</formula>
    </cfRule>
  </conditionalFormatting>
  <conditionalFormatting sqref="H30">
    <cfRule type="expression" dxfId="38" priority="44" stopIfTrue="1">
      <formula>OR(MS_Cn_min&lt;CritMsCnmin,MS_Cn_min&gt;CritMsCnmax)</formula>
    </cfRule>
  </conditionalFormatting>
  <conditionalFormatting sqref="H27:I27">
    <cfRule type="expression" dxfId="37" priority="48" stopIfTrue="1">
      <formula>OR(Finesse&lt;CritFinessemin,Finesse&gt;CritFinessemax)</formula>
    </cfRule>
  </conditionalFormatting>
  <conditionalFormatting sqref="H33:I34">
    <cfRule type="expression" dxfId="36" priority="51" stopIfTrue="1">
      <formula>$H$33="STABLE"</formula>
    </cfRule>
  </conditionalFormatting>
  <conditionalFormatting sqref="I28">
    <cfRule type="expression" dxfId="35" priority="6" stopIfTrue="1">
      <formula>OR(Cn0&lt;CritCnmin,Cn0&gt;CritCnmax)</formula>
    </cfRule>
  </conditionalFormatting>
  <conditionalFormatting sqref="I29">
    <cfRule type="expression" dxfId="34" priority="45" stopIfTrue="1">
      <formula>OR(MS_max&lt;CritMsmin,MS_max&gt;CritMsmax)</formula>
    </cfRule>
  </conditionalFormatting>
  <conditionalFormatting sqref="I30">
    <cfRule type="expression" dxfId="33" priority="43" stopIfTrue="1">
      <formula>OR(MS_Cn_max&lt;CritMsCnmin,MS_Cn_max&gt;CritMsCnmax)</formula>
    </cfRule>
  </conditionalFormatting>
  <conditionalFormatting sqref="L39:M39">
    <cfRule type="expression" dxfId="32" priority="239" stopIfTrue="1">
      <formula>OR(SUM($C$28:$C$33)=273, $H$33&lt;&gt;"STABLE")</formula>
    </cfRule>
  </conditionalFormatting>
  <conditionalFormatting sqref="L6:P9">
    <cfRule type="expression" dxfId="31" priority="49" stopIfTrue="1">
      <formula>IF(RIGHT(Nb_diam,1)=",",1)</formula>
    </cfRule>
  </conditionalFormatting>
  <conditionalFormatting sqref="L20:P22 E25 D26 E27:E35 D28:D35 B36:E36">
    <cfRule type="expression" dxfId="30" priority="84" stopIfTrue="1">
      <formula>IF(LEFT(Type_masquage,1)="M",1)</formula>
    </cfRule>
  </conditionalFormatting>
  <conditionalFormatting sqref="L23:P24">
    <cfRule type="expression" dxfId="29" priority="65" stopIfTrue="1">
      <formula>IF(RIGHT(Nb_diam,1)=",",1)</formula>
    </cfRule>
  </conditionalFormatting>
  <conditionalFormatting sqref="M37 O37">
    <cfRule type="expression" dxfId="28" priority="142" stopIfTrue="1">
      <formula>$M$37="propu NOK"</formula>
    </cfRule>
  </conditionalFormatting>
  <conditionalFormatting sqref="M5:P5">
    <cfRule type="expression" dxfId="27" priority="39" stopIfTrue="1">
      <formula>IF(RIGHT(Nb_diam,1)=",",1)</formula>
    </cfRule>
  </conditionalFormatting>
  <conditionalFormatting sqref="N37">
    <cfRule type="expression" dxfId="26" priority="27" stopIfTrue="1">
      <formula>(ROUND(SUM(C2:D35),0)=5694)</formula>
    </cfRule>
  </conditionalFormatting>
  <dataValidations count="13">
    <dataValidation type="whole" allowBlank="1" showInputMessage="1" showErrorMessage="1" error="Tapez un entier entre 3 et 6." sqref="C33:D33" xr:uid="{00000000-0002-0000-0000-000000000000}">
      <formula1>3</formula1>
      <formula2>6</formula2>
    </dataValidation>
    <dataValidation type="decimal" operator="notEqual" allowBlank="1" showInputMessage="1" showErrorMessage="1" error="Tapez uniquement la longueur, sans l'unité." sqref="C30:D30" xr:uid="{00000000-0002-0000-0000-000001000000}">
      <formula1>1E+100</formula1>
    </dataValidation>
    <dataValidation type="decimal" operator="greaterThanOrEqual" allowBlank="1" showInputMessage="1" showErrorMessage="1" error="Tapez uniquement la longueur, sans l'unité." sqref="C28:D29 C34:D35 C31:D32 M6:O9" xr:uid="{00000000-0002-0000-0000-000002000000}">
      <formula1>0</formula1>
    </dataValidation>
    <dataValidation type="list" showInputMessage="1" showErrorMessage="1" sqref="C27:D27" xr:uid="{00000000-0002-0000-0000-000003000000}">
      <formula1>Menu_Empennage</formula1>
    </dataValidation>
    <dataValidation type="list" showInputMessage="1" showErrorMessage="1" sqref="C18:D18" xr:uid="{00000000-0002-0000-0000-000004000000}">
      <formula1>Liste_propu</formula1>
    </dataValidation>
    <dataValidation type="list" showInputMessage="1" showErrorMessage="1" sqref="M2" xr:uid="{00000000-0002-0000-0000-000005000000}">
      <formula1>Menu_Lang</formula1>
    </dataValidation>
    <dataValidation type="decimal" showInputMessage="1" showErrorMessage="1" errorTitle="Masse de la Fusée" error="Tapez uniquement la masse, sans l'unité." sqref="C12" xr:uid="{00000000-0002-0000-0000-000006000000}">
      <formula1>0</formula1>
      <formula2>50000</formula2>
    </dataValidation>
    <dataValidation type="decimal" operator="greaterThan" showInputMessage="1" showErrorMessage="1" error="Tapez uniquement la longueur, sans l'unité." sqref="C13 C14:D14 C23:D24" xr:uid="{00000000-0002-0000-0000-000007000000}">
      <formula1>0</formula1>
    </dataValidation>
    <dataValidation type="list" showInputMessage="1" showErrorMessage="1" sqref="D12:D13" xr:uid="{00000000-0002-0000-0000-000008000000}">
      <formula1>Menu_with_motor</formula1>
    </dataValidation>
    <dataValidation type="list" showInputMessage="1" showErrorMessage="1" sqref="C11:D11" xr:uid="{00000000-0002-0000-0000-000009000000}">
      <formula1>Menu_Type</formula1>
    </dataValidation>
    <dataValidation type="decimal" operator="greaterThan" allowBlank="1" showInputMessage="1" showErrorMessage="1" error="Tapez uniquement la longueur, sans l'unité." sqref="C19" xr:uid="{00000000-0002-0000-0000-00000A000000}">
      <formula1>0</formula1>
    </dataValidation>
    <dataValidation type="list" showInputMessage="1" showErrorMessage="1" sqref="C22:D22" xr:uid="{00000000-0002-0000-0000-00000B000000}">
      <formula1>Menu_Ogive</formula1>
    </dataValidation>
    <dataValidation type="list" showInputMessage="1" showErrorMessage="1" sqref="M4" xr:uid="{00000000-0002-0000-0000-00000C000000}">
      <formula1>Menu_Transitions</formula1>
    </dataValidation>
  </dataValidations>
  <hyperlinks>
    <hyperlink ref="M39" location="Trajecto!C25" display="Trajecto" xr:uid="{00000000-0004-0000-0000-000000000000}"/>
  </hyperlinks>
  <printOptions horizontalCentered="1" verticalCentered="1"/>
  <pageMargins left="7.874015748031496E-2" right="7.874015748031496E-2" top="7.874015748031496E-2" bottom="7.874015748031496E-2" header="0" footer="0"/>
  <pageSetup paperSize="9" orientation="landscape" horizontalDpi="200" verticalDpi="2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36775" r:id="rId4" name="Spinner 935">
              <controlPr defaultSize="0" print="0" autoPict="0">
                <anchor moveWithCells="1" sizeWithCells="1">
                  <from>
                    <xdr:col>3</xdr:col>
                    <xdr:colOff>752475</xdr:colOff>
                    <xdr:row>22</xdr:row>
                    <xdr:rowOff>0</xdr:rowOff>
                  </from>
                  <to>
                    <xdr:col>3</xdr:col>
                    <xdr:colOff>895350</xdr:colOff>
                    <xdr:row>23</xdr:row>
                    <xdr:rowOff>0</xdr:rowOff>
                  </to>
                </anchor>
              </controlPr>
            </control>
          </mc:Choice>
        </mc:AlternateContent>
        <mc:AlternateContent xmlns:mc="http://schemas.openxmlformats.org/markup-compatibility/2006">
          <mc:Choice Requires="x14">
            <control shapeId="36781" r:id="rId5" name="Spinner 941">
              <controlPr defaultSize="0" print="0" autoPict="0">
                <anchor moveWithCells="1" sizeWithCells="1">
                  <from>
                    <xdr:col>2</xdr:col>
                    <xdr:colOff>752475</xdr:colOff>
                    <xdr:row>11</xdr:row>
                    <xdr:rowOff>0</xdr:rowOff>
                  </from>
                  <to>
                    <xdr:col>2</xdr:col>
                    <xdr:colOff>895350</xdr:colOff>
                    <xdr:row>12</xdr:row>
                    <xdr:rowOff>0</xdr:rowOff>
                  </to>
                </anchor>
              </controlPr>
            </control>
          </mc:Choice>
        </mc:AlternateContent>
        <mc:AlternateContent xmlns:mc="http://schemas.openxmlformats.org/markup-compatibility/2006">
          <mc:Choice Requires="x14">
            <control shapeId="36782" r:id="rId6" name="Spinner 942">
              <controlPr defaultSize="0" print="0" autoPict="0">
                <anchor moveWithCells="1" sizeWithCells="1">
                  <from>
                    <xdr:col>2</xdr:col>
                    <xdr:colOff>752475</xdr:colOff>
                    <xdr:row>12</xdr:row>
                    <xdr:rowOff>0</xdr:rowOff>
                  </from>
                  <to>
                    <xdr:col>2</xdr:col>
                    <xdr:colOff>895350</xdr:colOff>
                    <xdr:row>13</xdr:row>
                    <xdr:rowOff>0</xdr:rowOff>
                  </to>
                </anchor>
              </controlPr>
            </control>
          </mc:Choice>
        </mc:AlternateContent>
        <mc:AlternateContent xmlns:mc="http://schemas.openxmlformats.org/markup-compatibility/2006">
          <mc:Choice Requires="x14">
            <control shapeId="36783" r:id="rId7" name="Spinner 943">
              <controlPr defaultSize="0" print="0" autoPict="0">
                <anchor moveWithCells="1" sizeWithCells="1">
                  <from>
                    <xdr:col>3</xdr:col>
                    <xdr:colOff>752475</xdr:colOff>
                    <xdr:row>22</xdr:row>
                    <xdr:rowOff>161925</xdr:rowOff>
                  </from>
                  <to>
                    <xdr:col>3</xdr:col>
                    <xdr:colOff>895350</xdr:colOff>
                    <xdr:row>24</xdr:row>
                    <xdr:rowOff>0</xdr:rowOff>
                  </to>
                </anchor>
              </controlPr>
            </control>
          </mc:Choice>
        </mc:AlternateContent>
        <mc:AlternateContent xmlns:mc="http://schemas.openxmlformats.org/markup-compatibility/2006">
          <mc:Choice Requires="x14">
            <control shapeId="36789" r:id="rId8" name="Spinner 949">
              <controlPr defaultSize="0" print="0" autoPict="0">
                <anchor moveWithCells="1" sizeWithCells="1">
                  <from>
                    <xdr:col>2</xdr:col>
                    <xdr:colOff>752475</xdr:colOff>
                    <xdr:row>27</xdr:row>
                    <xdr:rowOff>0</xdr:rowOff>
                  </from>
                  <to>
                    <xdr:col>3</xdr:col>
                    <xdr:colOff>0</xdr:colOff>
                    <xdr:row>28</xdr:row>
                    <xdr:rowOff>9525</xdr:rowOff>
                  </to>
                </anchor>
              </controlPr>
            </control>
          </mc:Choice>
        </mc:AlternateContent>
        <mc:AlternateContent xmlns:mc="http://schemas.openxmlformats.org/markup-compatibility/2006">
          <mc:Choice Requires="x14">
            <control shapeId="36795" r:id="rId9" name="Spinner 955">
              <controlPr defaultSize="0" print="0" autoPict="0">
                <anchor moveWithCells="1" sizeWithCells="1">
                  <from>
                    <xdr:col>2</xdr:col>
                    <xdr:colOff>752475</xdr:colOff>
                    <xdr:row>28</xdr:row>
                    <xdr:rowOff>0</xdr:rowOff>
                  </from>
                  <to>
                    <xdr:col>3</xdr:col>
                    <xdr:colOff>0</xdr:colOff>
                    <xdr:row>29</xdr:row>
                    <xdr:rowOff>9525</xdr:rowOff>
                  </to>
                </anchor>
              </controlPr>
            </control>
          </mc:Choice>
        </mc:AlternateContent>
        <mc:AlternateContent xmlns:mc="http://schemas.openxmlformats.org/markup-compatibility/2006">
          <mc:Choice Requires="x14">
            <control shapeId="36796" r:id="rId10" name="Spinner 956">
              <controlPr defaultSize="0" print="0" autoPict="0">
                <anchor moveWithCells="1" sizeWithCells="1">
                  <from>
                    <xdr:col>2</xdr:col>
                    <xdr:colOff>752475</xdr:colOff>
                    <xdr:row>28</xdr:row>
                    <xdr:rowOff>161925</xdr:rowOff>
                  </from>
                  <to>
                    <xdr:col>3</xdr:col>
                    <xdr:colOff>0</xdr:colOff>
                    <xdr:row>30</xdr:row>
                    <xdr:rowOff>0</xdr:rowOff>
                  </to>
                </anchor>
              </controlPr>
            </control>
          </mc:Choice>
        </mc:AlternateContent>
        <mc:AlternateContent xmlns:mc="http://schemas.openxmlformats.org/markup-compatibility/2006">
          <mc:Choice Requires="x14">
            <control shapeId="36797" r:id="rId11" name="Spinner 957">
              <controlPr defaultSize="0" print="0" autoPict="0">
                <anchor moveWithCells="1" sizeWithCells="1">
                  <from>
                    <xdr:col>2</xdr:col>
                    <xdr:colOff>752475</xdr:colOff>
                    <xdr:row>30</xdr:row>
                    <xdr:rowOff>0</xdr:rowOff>
                  </from>
                  <to>
                    <xdr:col>3</xdr:col>
                    <xdr:colOff>0</xdr:colOff>
                    <xdr:row>30</xdr:row>
                    <xdr:rowOff>161925</xdr:rowOff>
                  </to>
                </anchor>
              </controlPr>
            </control>
          </mc:Choice>
        </mc:AlternateContent>
        <mc:AlternateContent xmlns:mc="http://schemas.openxmlformats.org/markup-compatibility/2006">
          <mc:Choice Requires="x14">
            <control shapeId="36798" r:id="rId12" name="Spinner 958">
              <controlPr defaultSize="0" print="0" autoPict="0">
                <anchor moveWithCells="1" sizeWithCells="1">
                  <from>
                    <xdr:col>2</xdr:col>
                    <xdr:colOff>752475</xdr:colOff>
                    <xdr:row>31</xdr:row>
                    <xdr:rowOff>0</xdr:rowOff>
                  </from>
                  <to>
                    <xdr:col>2</xdr:col>
                    <xdr:colOff>895350</xdr:colOff>
                    <xdr:row>32</xdr:row>
                    <xdr:rowOff>0</xdr:rowOff>
                  </to>
                </anchor>
              </controlPr>
            </control>
          </mc:Choice>
        </mc:AlternateContent>
        <mc:AlternateContent xmlns:mc="http://schemas.openxmlformats.org/markup-compatibility/2006">
          <mc:Choice Requires="x14">
            <control shapeId="36799" r:id="rId13" name="Spinner 959">
              <controlPr defaultSize="0" print="0" autoPict="0">
                <anchor moveWithCells="1" sizeWithCells="1">
                  <from>
                    <xdr:col>2</xdr:col>
                    <xdr:colOff>752475</xdr:colOff>
                    <xdr:row>32</xdr:row>
                    <xdr:rowOff>0</xdr:rowOff>
                  </from>
                  <to>
                    <xdr:col>3</xdr:col>
                    <xdr:colOff>0</xdr:colOff>
                    <xdr:row>33</xdr:row>
                    <xdr:rowOff>0</xdr:rowOff>
                  </to>
                </anchor>
              </controlPr>
            </control>
          </mc:Choice>
        </mc:AlternateContent>
        <mc:AlternateContent xmlns:mc="http://schemas.openxmlformats.org/markup-compatibility/2006">
          <mc:Choice Requires="x14">
            <control shapeId="36801" r:id="rId14" name="Spinner 961">
              <controlPr defaultSize="0" print="0" autoPict="0">
                <anchor moveWithCells="1" sizeWithCells="1">
                  <from>
                    <xdr:col>3</xdr:col>
                    <xdr:colOff>752475</xdr:colOff>
                    <xdr:row>12</xdr:row>
                    <xdr:rowOff>161925</xdr:rowOff>
                  </from>
                  <to>
                    <xdr:col>4</xdr:col>
                    <xdr:colOff>0</xdr:colOff>
                    <xdr:row>13</xdr:row>
                    <xdr:rowOff>161925</xdr:rowOff>
                  </to>
                </anchor>
              </controlPr>
            </control>
          </mc:Choice>
        </mc:AlternateContent>
        <mc:AlternateContent xmlns:mc="http://schemas.openxmlformats.org/markup-compatibility/2006">
          <mc:Choice Requires="x14">
            <control shapeId="5096691" r:id="rId15" name="Spinner 3315">
              <controlPr defaultSize="0" print="0" autoPict="0">
                <anchor moveWithCells="1" sizeWithCells="1">
                  <from>
                    <xdr:col>19</xdr:col>
                    <xdr:colOff>0</xdr:colOff>
                    <xdr:row>35</xdr:row>
                    <xdr:rowOff>9525</xdr:rowOff>
                  </from>
                  <to>
                    <xdr:col>19</xdr:col>
                    <xdr:colOff>0</xdr:colOff>
                    <xdr:row>36</xdr:row>
                    <xdr:rowOff>0</xdr:rowOff>
                  </to>
                </anchor>
              </controlPr>
            </control>
          </mc:Choice>
        </mc:AlternateContent>
        <mc:AlternateContent xmlns:mc="http://schemas.openxmlformats.org/markup-compatibility/2006">
          <mc:Choice Requires="x14">
            <control shapeId="5096692" r:id="rId16" name="Spinner 3316">
              <controlPr defaultSize="0" print="0" autoPict="0">
                <anchor moveWithCells="1" sizeWithCells="1">
                  <from>
                    <xdr:col>19</xdr:col>
                    <xdr:colOff>0</xdr:colOff>
                    <xdr:row>35</xdr:row>
                    <xdr:rowOff>9525</xdr:rowOff>
                  </from>
                  <to>
                    <xdr:col>19</xdr:col>
                    <xdr:colOff>0</xdr:colOff>
                    <xdr:row>36</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pageSetUpPr fitToPage="1"/>
  </sheetPr>
  <dimension ref="A1:R201"/>
  <sheetViews>
    <sheetView showGridLines="0" tabSelected="1" zoomScaleNormal="100" workbookViewId="0">
      <selection activeCell="F31" sqref="F31"/>
    </sheetView>
  </sheetViews>
  <sheetFormatPr baseColWidth="10" defaultColWidth="11.42578125" defaultRowHeight="12.75" x14ac:dyDescent="0.2"/>
  <cols>
    <col min="1" max="1" width="2.140625" style="1" customWidth="1"/>
    <col min="2" max="2" width="16.140625" style="1" customWidth="1"/>
    <col min="3" max="4" width="12.85546875" style="1" customWidth="1"/>
    <col min="5" max="5" width="2.85546875" style="1" customWidth="1"/>
    <col min="6" max="7" width="12.85546875" style="1" customWidth="1"/>
    <col min="8" max="13" width="10.85546875" style="1" customWidth="1"/>
    <col min="14" max="15" width="2.140625" style="1" customWidth="1"/>
    <col min="16" max="17" width="14.140625" style="1" customWidth="1"/>
    <col min="18" max="16384" width="11.42578125" style="1"/>
  </cols>
  <sheetData>
    <row r="1" spans="1:14" x14ac:dyDescent="0.2">
      <c r="A1" s="51"/>
      <c r="B1" s="52"/>
      <c r="C1" s="53"/>
      <c r="D1" s="52"/>
      <c r="E1" s="54"/>
      <c r="F1" s="54"/>
      <c r="G1" s="54"/>
      <c r="H1" s="54"/>
      <c r="I1" s="54"/>
      <c r="J1" s="54"/>
      <c r="K1" s="54"/>
      <c r="L1" s="54"/>
      <c r="M1" s="54"/>
      <c r="N1" s="55"/>
    </row>
    <row r="2" spans="1:14" ht="12.75" customHeight="1" x14ac:dyDescent="0.2">
      <c r="A2" s="56"/>
      <c r="B2" s="2"/>
      <c r="C2" s="598" t="s">
        <v>0</v>
      </c>
      <c r="D2" s="598"/>
      <c r="F2" s="3"/>
      <c r="J2" s="4"/>
      <c r="N2" s="57"/>
    </row>
    <row r="3" spans="1:14" ht="12.75" customHeight="1" x14ac:dyDescent="0.2">
      <c r="A3" s="56"/>
      <c r="B3" s="2"/>
      <c r="C3" s="598"/>
      <c r="D3" s="598"/>
      <c r="H3" s="5"/>
      <c r="J3" s="4"/>
      <c r="N3" s="57"/>
    </row>
    <row r="4" spans="1:14" ht="12.75" customHeight="1" x14ac:dyDescent="0.2">
      <c r="A4" s="56"/>
      <c r="B4" s="2"/>
      <c r="C4" s="603" t="str">
        <f>IF(Lang="Français","Trajectographie de fusée",IF(Lang="English","Rocket Trajectography",""))</f>
        <v>Trajectographie de fusée</v>
      </c>
      <c r="D4" s="603"/>
      <c r="H4" s="5"/>
      <c r="J4" s="4"/>
      <c r="N4" s="57"/>
    </row>
    <row r="5" spans="1:14" ht="12.75" customHeight="1" x14ac:dyDescent="0.2">
      <c r="A5" s="56"/>
      <c r="B5" s="2"/>
      <c r="C5" s="597"/>
      <c r="D5" s="597"/>
      <c r="J5" s="4"/>
      <c r="N5" s="57"/>
    </row>
    <row r="6" spans="1:14" ht="12.95" customHeight="1" x14ac:dyDescent="0.2">
      <c r="A6" s="56"/>
      <c r="B6" s="87"/>
      <c r="C6" s="602" t="str">
        <f>IF(Lang="Français","Remplir les cases jaunes",IF(Lang="English","Fill-in yellow cells only",""))</f>
        <v>Remplir les cases jaunes</v>
      </c>
      <c r="D6" s="602"/>
      <c r="J6" s="4"/>
      <c r="N6" s="57"/>
    </row>
    <row r="7" spans="1:14" x14ac:dyDescent="0.2">
      <c r="A7" s="56"/>
      <c r="B7" s="6"/>
      <c r="C7" s="599" t="str">
        <f>IF(Lang="Français","Fusée",IF(Lang="English","Rocket",""))</f>
        <v>Fusée</v>
      </c>
      <c r="D7" s="599"/>
      <c r="N7" s="58"/>
    </row>
    <row r="8" spans="1:14" ht="12.75" customHeight="1" x14ac:dyDescent="0.25">
      <c r="A8" s="56"/>
      <c r="B8" s="140" t="str">
        <f>IF(Lang="Français","Nom",IF(Lang="English","Name",""))</f>
        <v>Nom</v>
      </c>
      <c r="C8" s="600" t="str">
        <f>Nom</f>
        <v>SP02</v>
      </c>
      <c r="D8" s="600"/>
      <c r="E8" s="5"/>
      <c r="F8" s="5"/>
      <c r="J8" s="4"/>
      <c r="N8" s="57"/>
    </row>
    <row r="9" spans="1:14" ht="12.75" customHeight="1" x14ac:dyDescent="0.25">
      <c r="A9" s="59"/>
      <c r="B9" s="140" t="s">
        <v>4</v>
      </c>
      <c r="C9" s="601" t="str">
        <f>Club</f>
        <v>L'AéroIPSA</v>
      </c>
      <c r="D9" s="601"/>
      <c r="F9" s="5"/>
      <c r="N9" s="58"/>
    </row>
    <row r="10" spans="1:14" ht="12.75" customHeight="1" x14ac:dyDescent="0.25">
      <c r="A10" s="59"/>
      <c r="B10" s="141" t="s">
        <v>563</v>
      </c>
      <c r="C10" s="596" t="str">
        <f>Matricule</f>
        <v>FX0</v>
      </c>
      <c r="D10" s="596"/>
      <c r="F10" s="5"/>
      <c r="N10" s="58"/>
    </row>
    <row r="11" spans="1:14" ht="12.75" customHeight="1" x14ac:dyDescent="0.2">
      <c r="A11" s="59"/>
      <c r="B11" s="140" t="str">
        <f>IF(Lang="Français","Masse totale",IF(Lang="English","Total Mass",""))</f>
        <v>Masse totale</v>
      </c>
      <c r="C11" s="625">
        <f ca="1">MassePlein</f>
        <v>8.4320000000000004</v>
      </c>
      <c r="D11" s="625"/>
      <c r="F11" s="5"/>
      <c r="N11" s="58"/>
    </row>
    <row r="12" spans="1:14" ht="12.75" customHeight="1" x14ac:dyDescent="0.2">
      <c r="A12" s="59"/>
      <c r="B12" s="227" t="str">
        <f>IF(Lang="Français","Propulseur",IF(Lang="English","Motor",""))</f>
        <v>Propulseur</v>
      </c>
      <c r="C12" s="628" t="str">
        <f>Propu</f>
        <v>Pro54-5G WT</v>
      </c>
      <c r="D12" s="629"/>
      <c r="F12" s="5"/>
      <c r="N12" s="58"/>
    </row>
    <row r="13" spans="1:14" ht="12.75" customHeight="1" x14ac:dyDescent="0.2">
      <c r="A13" s="59"/>
      <c r="N13" s="58"/>
    </row>
    <row r="14" spans="1:14" ht="12.75" customHeight="1" x14ac:dyDescent="0.2">
      <c r="A14" s="59"/>
      <c r="B14"/>
      <c r="C14" s="599" t="str">
        <f>IF(Lang="Français","Traînée Aérdynamique",IF(Lang="English","Drag",""))</f>
        <v>Traînée Aérdynamique</v>
      </c>
      <c r="D14" s="599"/>
      <c r="N14" s="58"/>
    </row>
    <row r="15" spans="1:14" ht="12.75" customHeight="1" x14ac:dyDescent="0.2">
      <c r="A15" s="59"/>
      <c r="B15" s="140" t="s">
        <v>40</v>
      </c>
      <c r="C15" s="630">
        <f>(PI()*D_ref^2/4+E_ail*ep_ail*Q_ail)/10^6</f>
        <v>9.3776873994583908E-3</v>
      </c>
      <c r="D15" s="630"/>
      <c r="N15" s="58"/>
    </row>
    <row r="16" spans="1:14" ht="12.75" customHeight="1" x14ac:dyDescent="0.2">
      <c r="A16" s="59"/>
      <c r="B16" s="141" t="s">
        <v>5</v>
      </c>
      <c r="C16" s="623">
        <v>0.7</v>
      </c>
      <c r="D16" s="624"/>
      <c r="N16" s="58"/>
    </row>
    <row r="17" spans="1:18" ht="12.75" customHeight="1" x14ac:dyDescent="0.2">
      <c r="A17" s="59"/>
      <c r="N17" s="58"/>
    </row>
    <row r="18" spans="1:18" ht="12.75" customHeight="1" x14ac:dyDescent="0.2">
      <c r="A18" s="59"/>
      <c r="B18"/>
      <c r="C18" s="599" t="str">
        <f>IF(Lang="Français","Rampe de Lancement",IF(Lang="English","Launch Pad",""))</f>
        <v>Rampe de Lancement</v>
      </c>
      <c r="D18" s="599"/>
      <c r="N18" s="58"/>
    </row>
    <row r="19" spans="1:18" ht="12.75" customHeight="1" x14ac:dyDescent="0.2">
      <c r="A19" s="59"/>
      <c r="B19" s="140" t="str">
        <f>IF(Lang="Français","Longueur",IF(Lang="English","Length",""))</f>
        <v>Longueur</v>
      </c>
      <c r="C19" s="627">
        <f>IF(RIGHT(Type_fusee,1)=".",4, IF(LEFT(Type_fusee,4)="Mini",2.5, IF(LEFT(Type_fusee,5)="Micro",1, IF(RIGHT(Type_fusee,1)=" ",0.1,IF(LEFT(Type_fusee,1)="R",3, 2.5)))))</f>
        <v>4</v>
      </c>
      <c r="D19" s="627"/>
      <c r="N19" s="58"/>
    </row>
    <row r="20" spans="1:18" ht="12.75" customHeight="1" x14ac:dyDescent="0.2">
      <c r="A20" s="59"/>
      <c r="B20" s="140" t="str">
        <f>IF(Lang="Français","Élévation",IF(Lang="English","Angle /horizon",""))</f>
        <v>Élévation</v>
      </c>
      <c r="C20" s="626">
        <v>80</v>
      </c>
      <c r="D20" s="626"/>
      <c r="N20" s="58"/>
    </row>
    <row r="21" spans="1:18" ht="12.75" customHeight="1" x14ac:dyDescent="0.2">
      <c r="A21" s="59"/>
      <c r="B21" s="140" t="s">
        <v>6</v>
      </c>
      <c r="C21" s="627">
        <v>0</v>
      </c>
      <c r="D21" s="627"/>
      <c r="N21" s="58"/>
    </row>
    <row r="22" spans="1:18" x14ac:dyDescent="0.2">
      <c r="A22" s="59"/>
      <c r="F22" s="384" t="str">
        <f ca="1">IF( OR( AND(Vsortie_de_rampe&lt;18, RIGHT(Type_fusee,1)=";"), AND(Vsortie_de_rampe&lt;20, RIGHT(Type_fusee,1)=".")), IF(Lang="Français","Vitesse en Sortie de Rampe trop faible, alléger la fusée ou choisir un propu plus puissant.","Speed at Launch Pad Exit too low, lighten the rocket or choose a bigger motor."), "")</f>
        <v/>
      </c>
      <c r="N22" s="58"/>
    </row>
    <row r="23" spans="1:18" x14ac:dyDescent="0.2">
      <c r="A23" s="59"/>
      <c r="C23" s="613" t="str">
        <f>IF(Lang="Français","DescenteSousParachute",IF(Lang="English","Over Parachute",""))</f>
        <v>DescenteSousParachute</v>
      </c>
      <c r="D23" s="614"/>
      <c r="F23" s="4"/>
      <c r="G23" s="50">
        <f ca="1">TODAY()</f>
        <v>45931</v>
      </c>
      <c r="H23" s="489" t="str">
        <f>IF(Lang="Français","Temps",IF(Lang="English","Time",""))</f>
        <v>Temps</v>
      </c>
      <c r="I23" s="489" t="s">
        <v>12</v>
      </c>
      <c r="J23" s="489" t="str">
        <f>IF(Lang="Français","Portée x",IF(Lang="English","Range x",""))</f>
        <v>Portée x</v>
      </c>
      <c r="K23" s="489" t="str">
        <f>IF(Lang="Français","Vitesse",IF(Lang="English","Velocity",""))</f>
        <v>Vitesse</v>
      </c>
      <c r="L23" s="490" t="s">
        <v>13</v>
      </c>
      <c r="M23" s="499" t="s">
        <v>421</v>
      </c>
      <c r="N23" s="58"/>
    </row>
    <row r="24" spans="1:18" x14ac:dyDescent="0.2">
      <c r="A24" s="59"/>
      <c r="B24"/>
      <c r="C24" s="142" t="str">
        <f>C7</f>
        <v>Fusée</v>
      </c>
      <c r="D24" s="220" t="s">
        <v>121</v>
      </c>
      <c r="E24" s="18" t="str">
        <f>IF(ABS(T_satellite-0.11-T_para)&lt;0.1,"Pb!","")</f>
        <v/>
      </c>
      <c r="F24" s="615" t="str">
        <f>IF(Lang="Français","Sortie de Rampe",IF(Lang="English","Launch-Pad Exit",""))</f>
        <v>Sortie de Rampe</v>
      </c>
      <c r="G24" s="616"/>
      <c r="H24" s="491"/>
      <c r="I24" s="491"/>
      <c r="J24" s="491"/>
      <c r="K24" s="492">
        <f ca="1">INDEX(vit_xz,MATCH("Sortie de rampe",Event,0))</f>
        <v>33.046249345329279</v>
      </c>
      <c r="L24" s="493"/>
      <c r="M24" s="500"/>
      <c r="N24" s="58"/>
    </row>
    <row r="25" spans="1:18" x14ac:dyDescent="0.2">
      <c r="A25" s="59"/>
      <c r="B25" s="466" t="str">
        <f>IF(Lang="Français","Masse",IF(Lang="English","Mass",""))</f>
        <v>Masse</v>
      </c>
      <c r="C25" s="467">
        <f ca="1">IF(Nb_sat="0 satellite",MasseVide,MasseVide-m_satellite)</f>
        <v>6.45</v>
      </c>
      <c r="D25" s="480">
        <f>IF(RIGHT(Type_fusee,1)=".",1,0.15)</f>
        <v>1</v>
      </c>
      <c r="F25" s="619" t="str">
        <f>IF(Lang="Français","Vit max &amp; Acc max",IF(Lang="English","Max Velocity &amp; Acc",""))</f>
        <v>Vit max &amp; Acc max</v>
      </c>
      <c r="G25" s="620"/>
      <c r="H25" s="115"/>
      <c r="I25" s="115"/>
      <c r="J25" s="115"/>
      <c r="K25" s="158">
        <f ca="1">MAX(vit_xz)</f>
        <v>219.40379934926966</v>
      </c>
      <c r="L25" s="494">
        <f ca="1">MAX(acc_xz)</f>
        <v>151.55813559109322</v>
      </c>
      <c r="M25" s="500"/>
      <c r="N25" s="58"/>
    </row>
    <row r="26" spans="1:18" x14ac:dyDescent="0.2">
      <c r="A26" s="59"/>
      <c r="B26" s="469" t="str">
        <f>IF(Lang="Français","Dépotage",IF(Lang="English","Delay",""))</f>
        <v>Dépotage</v>
      </c>
      <c r="C26" s="505" t="s">
        <v>407</v>
      </c>
      <c r="D26" s="535"/>
      <c r="F26" s="621" t="str">
        <f>IF(Lang="Français","Largage du satellite",IF(Lang="English","Satellite separation",""))</f>
        <v>Largage du satellite</v>
      </c>
      <c r="G26" s="622"/>
      <c r="H26" s="152">
        <f>IF(T_satellite&lt;&gt;0,T_satellite,"")</f>
        <v>3.2</v>
      </c>
      <c r="I26" s="156">
        <f ca="1">IF(T_satellite&lt;&gt;0,INDEX(pos_z,MATCH("Satellite",Event_sat,0)),"")</f>
        <v>487.84771914632313</v>
      </c>
      <c r="J26" s="154">
        <f ca="1">IF(T_satellite&lt;&gt;0,INDEX(pos_x,MATCH("Satellite",Event_sat,0)),"")</f>
        <v>98.964688107976272</v>
      </c>
      <c r="K26" s="159">
        <f ca="1">IF(T_satellite&lt;&gt;0,INDEX(vit_xz,MATCH("Satellite",Event_sat,0)),"")</f>
        <v>174.11119928081908</v>
      </c>
      <c r="L26" s="495"/>
      <c r="M26" s="485">
        <f ca="1">1/2*Rho_moyen*1*V_ouv_sat^2*S_satellite</f>
        <v>1856.775970044062</v>
      </c>
      <c r="N26" s="58"/>
    </row>
    <row r="27" spans="1:18" x14ac:dyDescent="0.2">
      <c r="A27" s="59"/>
      <c r="B27" s="468" t="str">
        <f>IF(Lang="Français","Ouverture para",IF(Lang="English","Opening time",""))</f>
        <v>Ouverture para</v>
      </c>
      <c r="C27" s="507">
        <v>15.6</v>
      </c>
      <c r="D27" s="507">
        <v>3.2</v>
      </c>
      <c r="F27" s="619" t="s">
        <v>15</v>
      </c>
      <c r="G27" s="620"/>
      <c r="H27" s="153">
        <f ca="1">INDEX(t,MATCH("Apogée",Event,0))</f>
        <v>15.599999999999962</v>
      </c>
      <c r="I27" s="157">
        <f ca="1">INDEX(pos_z,MATCH("Apogée",Event,0))</f>
        <v>1378.6942585540462</v>
      </c>
      <c r="J27" s="155">
        <f ca="1">INDEX(pos_x,MATCH("Apogée",Event,0))</f>
        <v>434.91575148092232</v>
      </c>
      <c r="K27" s="160">
        <f ca="1">INDEX(vit_xz,MATCH("Apogée",Event,0))</f>
        <v>22.807953943032299</v>
      </c>
      <c r="L27" s="496"/>
      <c r="M27" s="500"/>
      <c r="N27" s="58"/>
    </row>
    <row r="28" spans="1:18" x14ac:dyDescent="0.2">
      <c r="A28" s="59"/>
      <c r="B28" s="534" t="s">
        <v>558</v>
      </c>
      <c r="C28" s="507" t="s">
        <v>560</v>
      </c>
      <c r="D28" s="507"/>
      <c r="F28" s="617" t="str">
        <f>IF(Lang="Français","Ouverture parachute fusée",IF(Lang="English","Rocket parachute opening",""))</f>
        <v>Ouverture parachute fusée</v>
      </c>
      <c r="G28" s="618"/>
      <c r="H28" s="152">
        <f>T_para</f>
        <v>15.6</v>
      </c>
      <c r="I28" s="156">
        <f ca="1">INDEX(pos_z,MATCH("Para",Event_para,0))</f>
        <v>1378.6942585540462</v>
      </c>
      <c r="J28" s="486">
        <f ca="1">INDEX(pos_x,MATCH("Para",Event_para,0))</f>
        <v>434.91575148092232</v>
      </c>
      <c r="K28" s="159">
        <f ca="1">INDEX(vit_xz,MATCH("Para",Event_para,0))</f>
        <v>22.807953943032299</v>
      </c>
      <c r="L28" s="495"/>
      <c r="M28" s="485">
        <f ca="1">1/2*Rho_moyen*1*V_ouverture^2*S_para</f>
        <v>153.09892443802931</v>
      </c>
      <c r="N28" s="58"/>
      <c r="P28" s="384" t="str">
        <f ca="1">IF(V_para&lt;5, IF(Lang="Français","Parachute fusée trop grand !","Parachute too big!"), IF( V_para&gt;15, IF(Lang="Français","Parachute fusée trop petit !","Parachute too small!"), ""))</f>
        <v/>
      </c>
      <c r="R28" s="384" t="str">
        <f>IF(AND(Nb_sat="1 satellite", OR(V_satellite&lt;5)), IF(Lang="Français","Parachute satéllite trop grand !","Parachute too big"), IF(AND(Nb_sat="1 satellite",OR(V_satellite&gt;15)), IF(Lang="Français","Parachute satéllite trop petit !","Parachute too small!"), ""))</f>
        <v/>
      </c>
    </row>
    <row r="29" spans="1:18" x14ac:dyDescent="0.2">
      <c r="A29" s="59"/>
      <c r="B29" s="141" t="s">
        <v>9</v>
      </c>
      <c r="C29" s="225">
        <f>IF(C28="rond",S_para_rond,IF(C28="Croix",S_para_croix,0.5))</f>
        <v>0.48049999999999998</v>
      </c>
      <c r="D29" s="17">
        <f>IF(RIGHT(Type_fusee,1)=".",0.1,0.02)</f>
        <v>0.1</v>
      </c>
      <c r="F29" s="606" t="str">
        <f>IF(Lang="Français","Impact balistique",IF(Lang="English","Balistic Impact",""))</f>
        <v>Impact balistique</v>
      </c>
      <c r="G29" s="607"/>
      <c r="H29" s="497">
        <f ca="1">INDEX(t,MATCH("Impact balistique",Event,0))</f>
        <v>34.50000000000022</v>
      </c>
      <c r="I29" s="517" t="s">
        <v>428</v>
      </c>
      <c r="J29" s="487">
        <f ca="1">INDEX(pos_x,MATCH("Impact balistique",Event,0))</f>
        <v>770.52896740167785</v>
      </c>
      <c r="K29" s="501">
        <f ca="1">K47</f>
        <v>120.39536430800472</v>
      </c>
      <c r="L29" s="498"/>
      <c r="M29" s="502">
        <f ca="1">0.5*m_vide*K29^2</f>
        <v>46746.516083614391</v>
      </c>
      <c r="N29" s="58"/>
      <c r="P29" s="384" t="str">
        <f ca="1">IF( OR( V_para&lt;5, V_para&gt;15, AND(Nb_sat="1 satellite", OR(V_satellite&lt;5, V_satellite&gt;15))), IF(Lang="Français","La Vitesse de descente sous parachute doit être comprise entre 5 &amp; 15 m/s.","Fall Velocity with parachute must be between 5 &amp; 15 m/s."), "")</f>
        <v/>
      </c>
    </row>
    <row r="30" spans="1:18" x14ac:dyDescent="0.2">
      <c r="A30" s="59"/>
      <c r="B30" s="141" t="s">
        <v>10</v>
      </c>
      <c r="C30" s="143">
        <v>1</v>
      </c>
      <c r="D30" s="143">
        <v>1</v>
      </c>
      <c r="E30" s="18" t="str">
        <f>IF(AND(T_satellite=0,m_satellite&lt;&gt;0),"Erreur !","")</f>
        <v/>
      </c>
      <c r="G30" s="483"/>
      <c r="H30" s="484"/>
      <c r="I30" s="488"/>
      <c r="N30" s="58"/>
      <c r="P30" s="384" t="str">
        <f ca="1">IF(AND(Portee_balistique&gt;200,LEFT(Type_propu,4)="Mini"),IF(Lang="Français","Fusée trop lègère !","Rocket too light"),"")</f>
        <v/>
      </c>
    </row>
    <row r="31" spans="1:18" x14ac:dyDescent="0.2">
      <c r="A31" s="59"/>
      <c r="B31" s="141" t="str">
        <f>IF(Lang="Français","Vitesse du vent",IF(Lang="English","Wind speed",""))</f>
        <v>Vitesse du vent</v>
      </c>
      <c r="C31" s="144">
        <v>5</v>
      </c>
      <c r="D31" s="144">
        <f>V_vent</f>
        <v>5</v>
      </c>
      <c r="G31" s="483"/>
      <c r="H31" s="484"/>
      <c r="I31" s="488"/>
      <c r="N31" s="58"/>
      <c r="P31" s="384" t="str">
        <f ca="1">IF(OR(AND(Vsortie_de_rampe&lt;20,LEFT(Type_fusee,1)="F"),AND(Vsortie_de_rampe&lt;18, OR(LEFT(Type_fusee,1)=",",LEFT(Type_fusee,4)="Mini",LEFT(Type_fusee,1)="R"))),IF(Lang="Français","Fusée trop lourde ou rampe trop courte !","Rocket too heavy or launch pad too small!"),"")</f>
        <v/>
      </c>
    </row>
    <row r="32" spans="1:18" x14ac:dyDescent="0.2">
      <c r="A32" s="59"/>
      <c r="B32" s="133" t="str">
        <f>IF(Lang="Français","Vitesse descente",IF(Lang="English","Fall velocity",""))</f>
        <v>Vitesse descente</v>
      </c>
      <c r="C32" s="424">
        <f ca="1">SQRT(2*m_vide*g/Rho_moyen/S_para/Cx_para)</f>
        <v>14.662722604544951</v>
      </c>
      <c r="D32" s="424">
        <f>SQRT(2*m_satellite*g/Rho_moyen/S_satellite/Cx_satellite)</f>
        <v>12.655562623057198</v>
      </c>
      <c r="F32" s="384"/>
      <c r="K32" s="388"/>
      <c r="N32" s="395"/>
      <c r="P32" s="384" t="str">
        <f ca="1">IF(Temps_culmi-T_para&gt;2,IF(Lang="Français","Ouverture parachute fusée précoce.","Early rocket parachute opening."),IF(Temps_culmi-T_para&lt;-2,IF(Lang="Français","Ouverture parachute fusée tardive.","Late rocket parachute opening."),""))</f>
        <v/>
      </c>
    </row>
    <row r="33" spans="1:16" x14ac:dyDescent="0.2">
      <c r="A33" s="59"/>
      <c r="B33" s="133" t="str">
        <f>IF(Lang="Français","Durée descente",IF(Lang="English","Fall duration",""))</f>
        <v>Durée descente</v>
      </c>
      <c r="C33" s="132">
        <f ca="1">Alt_para/V_para</f>
        <v>94.027166423151002</v>
      </c>
      <c r="D33" s="132">
        <f ca="1">IF(V_satellite&lt;&gt;0,Alt_sat/V_satellite,0)</f>
        <v>38.548086219218121</v>
      </c>
      <c r="H33" s="608" t="str">
        <f>IF(Lang="Français","Pour localiser la fusée","To locate the rocket")</f>
        <v>Pour localiser la fusée</v>
      </c>
      <c r="I33" s="608"/>
      <c r="J33" s="482"/>
      <c r="N33" s="395"/>
      <c r="P33" s="384" t="str">
        <f ca="1">IF(ABS(Temps_culmi-T_para)&gt;2,IF(Lang="Français","Attention, aux efforts sur le parachute lors de l'ouverture !","Becarefull to the opening chute efforts!"),"")</f>
        <v/>
      </c>
    </row>
    <row r="34" spans="1:16" customFormat="1" x14ac:dyDescent="0.2">
      <c r="A34" s="59"/>
      <c r="B34" s="133" t="str">
        <f>IF(Lang="Français","Durée du vol",IF(Lang="English","Fligth duration",""))</f>
        <v>Durée du vol</v>
      </c>
      <c r="C34" s="132">
        <f ca="1">T_para+Dt_para</f>
        <v>109.627166423151</v>
      </c>
      <c r="D34" s="132">
        <f ca="1">T_satellite+Dt_satellite</f>
        <v>41.748086219218123</v>
      </c>
      <c r="F34" s="608" t="str">
        <f>IF(Lang="Français","Couleur fuselage/coiffe","Body/Nose color")</f>
        <v>Couleur fuselage/coiffe</v>
      </c>
      <c r="G34" s="608"/>
      <c r="H34" s="604" t="s">
        <v>266</v>
      </c>
      <c r="I34" s="605"/>
      <c r="J34" s="1"/>
      <c r="K34" s="1"/>
      <c r="L34" s="1"/>
      <c r="M34" s="1"/>
      <c r="N34" s="394"/>
    </row>
    <row r="35" spans="1:16" x14ac:dyDescent="0.2">
      <c r="A35" s="74"/>
      <c r="B35" s="133" t="str">
        <f>IF(Lang="Français","Déport latéral",IF(Lang="English","Lateral shift",""))</f>
        <v>Déport latéral</v>
      </c>
      <c r="C35" s="151">
        <f ca="1">Alt_para*V_vent/V_para</f>
        <v>470.13583211575502</v>
      </c>
      <c r="D35" s="151">
        <f ca="1">IF(V_satellite&lt;&gt;0,Alt_sat*V_vent_sat/V_satellite,0)</f>
        <v>192.74043109609059</v>
      </c>
      <c r="F35" s="608" t="str">
        <f>IF(Lang="Français","Couleur parachute fusée","Rocket parachute color")</f>
        <v>Couleur parachute fusée</v>
      </c>
      <c r="G35" s="608"/>
      <c r="H35" s="604" t="s">
        <v>267</v>
      </c>
      <c r="I35" s="605"/>
      <c r="J35"/>
      <c r="K35"/>
      <c r="L35"/>
      <c r="M35"/>
      <c r="N35" s="394" t="str">
        <f>IF(Lang="Français","fichier initial","Initial file")</f>
        <v>fichier initial</v>
      </c>
      <c r="P35"/>
    </row>
    <row r="36" spans="1:16" x14ac:dyDescent="0.2">
      <c r="A36" s="59"/>
      <c r="F36" s="608" t="str">
        <f>IF(Lang="Français","Couleur parachute satellite","Satellite parachute color")</f>
        <v>Couleur parachute satellite</v>
      </c>
      <c r="G36" s="608"/>
      <c r="H36" s="612" t="s">
        <v>158</v>
      </c>
      <c r="I36" s="612"/>
      <c r="N36" s="393" t="str">
        <f>IF(ROUND(SUM(Propu!5:1228),0)=437735,"propu OK","propu NOK")</f>
        <v>propu OK</v>
      </c>
      <c r="P36"/>
    </row>
    <row r="37" spans="1:16" ht="13.5" thickBot="1" x14ac:dyDescent="0.25">
      <c r="A37" s="60"/>
      <c r="B37" s="181" t="str">
        <f>IF(Lang="Français","Commentaire libre :",IF(Lang="English","Free comment:",""))</f>
        <v>Commentaire libre :</v>
      </c>
      <c r="C37" s="61"/>
      <c r="D37" s="61"/>
      <c r="E37" s="61"/>
      <c r="F37" s="61"/>
      <c r="G37" s="61"/>
      <c r="H37" s="61"/>
      <c r="I37" s="61"/>
      <c r="J37" s="61"/>
      <c r="K37" s="61"/>
      <c r="L37" s="61"/>
      <c r="M37" s="61"/>
      <c r="N37" s="290" t="s">
        <v>567</v>
      </c>
    </row>
    <row r="40" spans="1:16" x14ac:dyDescent="0.2">
      <c r="A40" s="609" t="str">
        <f>IF(Lang="Français","Calcul de la surface d'un parachute","Parachute surface calculation")</f>
        <v>Calcul de la surface d'un parachute</v>
      </c>
      <c r="B40" s="610"/>
      <c r="C40" s="610"/>
      <c r="D40" s="611"/>
      <c r="F40" s="609" t="str">
        <f>IF(Lang="Français","Résultats détaillés","Detailled results")</f>
        <v>Résultats détaillés</v>
      </c>
      <c r="G40" s="611"/>
      <c r="H40" s="170" t="str">
        <f>IF(Lang="Français","Temps",IF(Lang="English","Time",""))</f>
        <v>Temps</v>
      </c>
      <c r="I40" s="134" t="s">
        <v>12</v>
      </c>
      <c r="J40" s="134" t="str">
        <f>IF(Lang="Français","Portée x",IF(Lang="English","Range x",""))</f>
        <v>Portée x</v>
      </c>
      <c r="K40" s="134" t="str">
        <f>IF(Lang="Français","Vitesse",IF(Lang="English","Velocity",""))</f>
        <v>Vitesse</v>
      </c>
      <c r="L40" s="135" t="s">
        <v>13</v>
      </c>
      <c r="M40" s="134" t="s">
        <v>41</v>
      </c>
    </row>
    <row r="41" spans="1:16" x14ac:dyDescent="0.2">
      <c r="A41" s="161"/>
      <c r="D41" s="162"/>
      <c r="F41" s="172"/>
      <c r="G41" s="173"/>
      <c r="H41" s="171" t="s">
        <v>153</v>
      </c>
      <c r="I41" s="136" t="s">
        <v>38</v>
      </c>
      <c r="J41" s="136" t="s">
        <v>38</v>
      </c>
      <c r="K41" s="136" t="s">
        <v>154</v>
      </c>
      <c r="L41" s="136" t="s">
        <v>7</v>
      </c>
      <c r="M41" s="136" t="s">
        <v>155</v>
      </c>
    </row>
    <row r="42" spans="1:16" x14ac:dyDescent="0.2">
      <c r="A42" s="161"/>
      <c r="D42" s="162"/>
      <c r="F42" s="633" t="str">
        <f>IF(Lang="Français","Décollage",IF(Lang="English","Lift-Off",""))</f>
        <v>Décollage</v>
      </c>
      <c r="G42" s="633"/>
      <c r="H42" s="150">
        <v>0</v>
      </c>
      <c r="I42" s="150">
        <v>0</v>
      </c>
      <c r="J42" s="150">
        <v>0</v>
      </c>
      <c r="K42" s="150">
        <v>0</v>
      </c>
      <c r="L42" s="148" t="s">
        <v>14</v>
      </c>
      <c r="M42" s="149">
        <f>Beta_rampe</f>
        <v>80</v>
      </c>
    </row>
    <row r="43" spans="1:16" x14ac:dyDescent="0.2">
      <c r="A43" s="161"/>
      <c r="B43" s="166" t="str">
        <f>IF(Lang="Français","Bord   'a'","Side length 'a'")</f>
        <v>Bord   'a'</v>
      </c>
      <c r="D43" s="162"/>
      <c r="F43" s="620" t="str">
        <f>IF(Lang="Français","Sortie de Rampe",IF(Lang="English","Launch-Pad Exit",""))</f>
        <v>Sortie de Rampe</v>
      </c>
      <c r="G43" s="620"/>
      <c r="H43" s="115">
        <f ca="1">INDEX(t,MATCH("Sortie de rampe",Event,0))</f>
        <v>0.24000000000000007</v>
      </c>
      <c r="I43" s="115">
        <f ca="1">INDEX(pos_z,MATCH("Sortie de rampe",Event,0))</f>
        <v>3.6892666085400023</v>
      </c>
      <c r="J43" s="115">
        <f ca="1">INDEX(pos_x,MATCH("Sortie de rampe",Event,0))</f>
        <v>0.65048301466668246</v>
      </c>
      <c r="K43" s="116">
        <f ca="1">INDEX(vit_xz,MATCH("Sortie de rampe",Event,0))</f>
        <v>33.046249345329279</v>
      </c>
      <c r="L43" s="116">
        <f ca="1">INDEX(acc_xz,MATCH("Sortie de rampe",Event,0))</f>
        <v>148.53205588420207</v>
      </c>
      <c r="M43" s="116">
        <f ca="1">INDEX(BetaD,MATCH("Sortie de rampe",Event,0))</f>
        <v>80</v>
      </c>
    </row>
    <row r="44" spans="1:16" x14ac:dyDescent="0.2">
      <c r="A44" s="161"/>
      <c r="B44" s="167">
        <v>310</v>
      </c>
      <c r="D44" s="162"/>
      <c r="F44" s="620" t="str">
        <f>IF(Lang="Français","Vit max &amp; Acc max",IF(Lang="English","Max Velocity &amp; Acc",""))</f>
        <v>Vit max &amp; Acc max</v>
      </c>
      <c r="G44" s="620"/>
      <c r="H44" s="115" t="s">
        <v>14</v>
      </c>
      <c r="I44" s="115" t="s">
        <v>14</v>
      </c>
      <c r="J44" s="115" t="s">
        <v>14</v>
      </c>
      <c r="K44" s="117">
        <f ca="1">MAX(vit_xz)</f>
        <v>219.40379934926966</v>
      </c>
      <c r="L44" s="118">
        <f ca="1">MAX(acc_xz)</f>
        <v>151.55813559109322</v>
      </c>
      <c r="M44" s="116" t="s">
        <v>14</v>
      </c>
    </row>
    <row r="45" spans="1:16" x14ac:dyDescent="0.2">
      <c r="A45" s="161"/>
      <c r="B45" s="166" t="str">
        <f>IF(Lang="Français","Coté   'b'","Side width 'b'")</f>
        <v>Coté   'b'</v>
      </c>
      <c r="D45" s="162"/>
      <c r="F45" s="620" t="str">
        <f>IF(Lang="Français","Fin de Propulsion",IF(Lang="English","Motor Burn-Out",""))</f>
        <v>Fin de Propulsion</v>
      </c>
      <c r="G45" s="620"/>
      <c r="H45" s="116">
        <f ca="1">INDEX(t,MATCH("Fin de propulsion",Event,0))</f>
        <v>1.7100000000000013</v>
      </c>
      <c r="I45" s="119">
        <f ca="1">INDEX(pos_z,MATCH("Fin de propulsion",Event,0))</f>
        <v>203.22076967694338</v>
      </c>
      <c r="J45" s="119">
        <f ca="1">INDEX(pos_x,MATCH("Fin de propulsion",Event,0))</f>
        <v>39.549464343421292</v>
      </c>
      <c r="K45" s="119">
        <f ca="1">INDEX(vit_xz,MATCH("Fin de propulsion",Event,0))</f>
        <v>218.52428808460684</v>
      </c>
      <c r="L45" s="116">
        <f ca="1">INDEX(acc_xz,MATCH("Fin de propulsion",Event,0))</f>
        <v>35.010167879694329</v>
      </c>
      <c r="M45" s="116">
        <f ca="1">INDEX(BetaD,MATCH("Fin de propulsion",Event,0))</f>
        <v>78.613199739256928</v>
      </c>
    </row>
    <row r="46" spans="1:16" x14ac:dyDescent="0.2">
      <c r="A46" s="161"/>
      <c r="B46" s="168">
        <v>310</v>
      </c>
      <c r="D46" s="162"/>
      <c r="F46" s="620" t="s">
        <v>15</v>
      </c>
      <c r="G46" s="620"/>
      <c r="H46" s="118">
        <f ca="1">INDEX(t,MATCH("Apogée",Event,0))</f>
        <v>15.599999999999962</v>
      </c>
      <c r="I46" s="117">
        <f ca="1">INDEX(pos_z,MATCH("Apogée",Event,0))</f>
        <v>1378.6942585540462</v>
      </c>
      <c r="J46" s="120">
        <f ca="1">INDEX(pos_x,MATCH("Apogée",Event,0))</f>
        <v>434.91575148092232</v>
      </c>
      <c r="K46" s="120">
        <f ca="1">INDEX(vit_xz,MATCH("Apogée",Event,0))</f>
        <v>22.807953943032299</v>
      </c>
      <c r="L46" s="116">
        <f ca="1">INDEX(acc_xz,MATCH("Apogée",Event,0))</f>
        <v>9.8268937598627879</v>
      </c>
      <c r="M46" s="121">
        <f ca="1">INDEX(BetaD,MATCH("Apogée",Event,0))</f>
        <v>0.76398528847829639</v>
      </c>
    </row>
    <row r="47" spans="1:16" x14ac:dyDescent="0.2">
      <c r="A47" s="161"/>
      <c r="B47" s="169" t="s">
        <v>9</v>
      </c>
      <c r="D47" s="162"/>
      <c r="F47" s="635" t="str">
        <f>IF(Lang="Français","Impact balistique",IF(Lang="English","Balistic Impact",""))</f>
        <v>Impact balistique</v>
      </c>
      <c r="G47" s="635"/>
      <c r="H47" s="116">
        <f ca="1">INDEX(t,MATCH("Impact balistique",Event,0))</f>
        <v>34.50000000000022</v>
      </c>
      <c r="I47" s="148" t="s">
        <v>16</v>
      </c>
      <c r="J47" s="117">
        <f ca="1">INDEX(pos_x,MATCH("Impact balistique",Event,0))</f>
        <v>770.52896740167785</v>
      </c>
      <c r="K47" s="119">
        <f ca="1">INDEX(vit_xz,MATCH("Impact balistique",Event,0))</f>
        <v>120.39536430800472</v>
      </c>
      <c r="L47" s="116">
        <f ca="1">INDEX(acc_xz,MATCH("Impact balistique",Event,0))</f>
        <v>2.1687164016193967</v>
      </c>
      <c r="M47" s="116">
        <f ca="1">INDEX(BetaD,MATCH("Impact balistique",Event,0))</f>
        <v>-84.788011110202348</v>
      </c>
    </row>
    <row r="48" spans="1:16" x14ac:dyDescent="0.2">
      <c r="A48" s="161"/>
      <c r="B48" s="174">
        <f>(4*B44*B46+B44^2)/10^6</f>
        <v>0.48049999999999998</v>
      </c>
      <c r="D48" s="162"/>
      <c r="F48" s="618" t="str">
        <f>IF(Lang="Français","Ouverture parachute fusée",IF(Lang="English","Rocket parachute opening",""))</f>
        <v>Ouverture parachute fusée</v>
      </c>
      <c r="G48" s="618"/>
      <c r="H48" s="122">
        <f>T_para</f>
        <v>15.6</v>
      </c>
      <c r="I48" s="123">
        <f ca="1">INDEX(pos_z,MATCH("Para",Event_para,0))</f>
        <v>1378.6942585540462</v>
      </c>
      <c r="J48" s="123">
        <f ca="1">INDEX(pos_x,MATCH("Para",Event_para,0))</f>
        <v>434.91575148092232</v>
      </c>
      <c r="K48" s="123">
        <f ca="1">INDEX(vit_xz,MATCH("Para",Event_para,0))</f>
        <v>22.807953943032299</v>
      </c>
      <c r="L48" s="122">
        <f ca="1">INDEX(acc_xz,MATCH("Para",Event_para,0))</f>
        <v>9.8268937598627879</v>
      </c>
      <c r="M48" s="124">
        <f ca="1">INDEX(BetaD,MATCH("Para",Event_para,0))</f>
        <v>0.76398528847829639</v>
      </c>
    </row>
    <row r="49" spans="1:13" x14ac:dyDescent="0.2">
      <c r="A49" s="161"/>
      <c r="D49" s="162"/>
      <c r="F49" s="636" t="str">
        <f>IF(Lang="Français","Impact fusée sous para.",IF(Lang="English","Impact of rocket with para. ",""))</f>
        <v>Impact fusée sous para.</v>
      </c>
      <c r="G49" s="636"/>
      <c r="H49" s="125">
        <f ca="1">T_para+Dt_para</f>
        <v>109.627166423151</v>
      </c>
      <c r="I49" s="127" t="s">
        <v>16</v>
      </c>
      <c r="J49" s="126" t="str">
        <f ca="1">CONCATENATE(TEXT(X_para-Dx_para,"0")," | ",TEXT(X_para+Dx_para,"0"))</f>
        <v>-35 | 905</v>
      </c>
      <c r="K49" s="126">
        <f ca="1">V_para</f>
        <v>14.662722604544951</v>
      </c>
      <c r="L49" s="128">
        <f>g</f>
        <v>9.81</v>
      </c>
      <c r="M49" s="128" t="s">
        <v>14</v>
      </c>
    </row>
    <row r="50" spans="1:13" x14ac:dyDescent="0.2">
      <c r="A50" s="161"/>
      <c r="D50" s="162"/>
      <c r="F50" s="634" t="str">
        <f>IF(Lang="Français","Largage du satellite",IF(Lang="English","Satellite separation",""))</f>
        <v>Largage du satellite</v>
      </c>
      <c r="G50" s="622"/>
      <c r="H50" s="122">
        <f>IF(T_satellite&lt;&gt;0,T_satellite,"")</f>
        <v>3.2</v>
      </c>
      <c r="I50" s="123">
        <f ca="1">IF(T_satellite&lt;&gt;0,INDEX(pos_z,MATCH("Satellite",Event_sat,0)),"")</f>
        <v>487.84771914632313</v>
      </c>
      <c r="J50" s="129">
        <f ca="1">IF(T_satellite&lt;&gt;0,INDEX(pos_x,MATCH("Satellite",Event_sat,0)),"")</f>
        <v>98.964688107976272</v>
      </c>
      <c r="K50" s="123">
        <f ca="1">IF(T_satellite&lt;&gt;0,INDEX(vit_xz,MATCH("Satellite",Event_sat,0)),"")</f>
        <v>174.11119928081908</v>
      </c>
      <c r="L50" s="122">
        <f ca="1">IF(T_satellite&lt;&gt;0,INDEX(acc_xz,MATCH("Satellite",Event_sat,0)),"")</f>
        <v>25.743476703985746</v>
      </c>
      <c r="M50" s="124">
        <f ca="1">IF(T_satellite&lt;&gt;0,INDEX(BetaD,MATCH("Satellite",Event_sat,0)),"")</f>
        <v>77.726236552359381</v>
      </c>
    </row>
    <row r="51" spans="1:13" x14ac:dyDescent="0.2">
      <c r="A51" s="161"/>
      <c r="B51" s="166" t="str">
        <f>IF(Lang="Français","Rayon exterieur","Half-diameter ext")</f>
        <v>Rayon exterieur</v>
      </c>
      <c r="D51" s="162"/>
      <c r="F51" s="631" t="str">
        <f>IF(Lang="Français","Impact du satellite",IF(Lang="English","Satellite impact",""))</f>
        <v>Impact du satellite</v>
      </c>
      <c r="G51" s="632"/>
      <c r="H51" s="125">
        <f ca="1">IF(T_satellite&lt;&gt;0,T_satellite+Dt_satellite,"")</f>
        <v>41.748086219218123</v>
      </c>
      <c r="I51" s="130" t="str">
        <f>IF(T_satellite&lt;&gt;0,"~0","")</f>
        <v>~0</v>
      </c>
      <c r="J51" s="130" t="str">
        <f ca="1">IF(T_satellite&lt;&gt;0,CONCATENATE(TEXT(X_satellite-Dx_sat,"0")," | ",TEXT(X_satellite+Dx_sat,"0")),"")</f>
        <v>-94 | 292</v>
      </c>
      <c r="K51" s="130">
        <f>IF(T_satellite&lt;&gt;0,V_satellite,"")</f>
        <v>12.655562623057198</v>
      </c>
      <c r="L51" s="128">
        <f>IF(T_satellite&lt;&gt;0,g,"")</f>
        <v>9.81</v>
      </c>
      <c r="M51" s="131" t="str">
        <f>IF(T_satellite&lt;&gt;0,"-","")</f>
        <v>-</v>
      </c>
    </row>
    <row r="52" spans="1:13" x14ac:dyDescent="0.2">
      <c r="A52" s="161"/>
      <c r="B52" s="168">
        <v>299</v>
      </c>
      <c r="D52" s="162"/>
    </row>
    <row r="53" spans="1:13" x14ac:dyDescent="0.2">
      <c r="A53" s="161"/>
      <c r="B53" s="166" t="str">
        <f>IF(Lang="Français","Rayon intérieur","Half-diameter int")</f>
        <v>Rayon intérieur</v>
      </c>
      <c r="D53" s="162"/>
    </row>
    <row r="54" spans="1:13" x14ac:dyDescent="0.2">
      <c r="A54" s="161"/>
      <c r="B54" s="168">
        <v>29</v>
      </c>
      <c r="D54" s="162"/>
    </row>
    <row r="55" spans="1:13" x14ac:dyDescent="0.2">
      <c r="A55" s="161"/>
      <c r="B55" s="169" t="s">
        <v>9</v>
      </c>
      <c r="D55" s="162"/>
    </row>
    <row r="56" spans="1:13" x14ac:dyDescent="0.2">
      <c r="A56" s="161"/>
      <c r="B56" s="174">
        <f>PI()*(B52^2-B54^2)/10^6</f>
        <v>0.27821944540191207</v>
      </c>
      <c r="D56" s="162"/>
    </row>
    <row r="57" spans="1:13" x14ac:dyDescent="0.2">
      <c r="A57" s="163"/>
      <c r="B57" s="164"/>
      <c r="C57" s="164"/>
      <c r="D57" s="165"/>
    </row>
    <row r="94" spans="2:2" x14ac:dyDescent="0.2">
      <c r="B94" s="24" t="str">
        <f>IF(Lang="Français","Vitesse de descente sous parachute :",IF(Lang="English","Fall velocity over parachute:",""))</f>
        <v>Vitesse de descente sous parachute :</v>
      </c>
    </row>
    <row r="103" spans="2:9" x14ac:dyDescent="0.2">
      <c r="B103" s="24" t="str">
        <f>IF(Lang="Français","Textes pour les listes déroulantes et graphiques :","Texts for drop-down lists &amp; graphics :")</f>
        <v>Textes pour les listes déroulantes et graphiques :</v>
      </c>
    </row>
    <row r="104" spans="2:9" x14ac:dyDescent="0.2">
      <c r="F104" s="221" t="s">
        <v>407</v>
      </c>
      <c r="G104" s="1" t="s">
        <v>414</v>
      </c>
      <c r="I104" s="1" t="s">
        <v>559</v>
      </c>
    </row>
    <row r="105" spans="2:9" x14ac:dyDescent="0.2">
      <c r="B105" s="1" t="s">
        <v>120</v>
      </c>
      <c r="F105" s="477">
        <f ca="1">Combustion+Depotage-9</f>
        <v>-9</v>
      </c>
      <c r="G105" s="478" t="s">
        <v>409</v>
      </c>
      <c r="I105" s="1" t="s">
        <v>560</v>
      </c>
    </row>
    <row r="106" spans="2:9" x14ac:dyDescent="0.2">
      <c r="B106" s="1" t="s">
        <v>121</v>
      </c>
      <c r="F106" s="477">
        <f ca="1">Combustion+Depotage-7</f>
        <v>-7</v>
      </c>
      <c r="G106" s="478" t="s">
        <v>410</v>
      </c>
      <c r="I106" s="1" t="s">
        <v>561</v>
      </c>
    </row>
    <row r="107" spans="2:9" x14ac:dyDescent="0.2">
      <c r="B107" s="1" t="str">
        <f>IF(T_para&gt;0,IF(Lang="Français","Phase ascendante","Climbing phase"),"")</f>
        <v>Phase ascendante</v>
      </c>
      <c r="F107" s="477">
        <f ca="1">Combustion+Depotage-5</f>
        <v>-5</v>
      </c>
      <c r="G107" s="478" t="s">
        <v>411</v>
      </c>
    </row>
    <row r="108" spans="2:9" x14ac:dyDescent="0.2">
      <c r="B108" s="1" t="str">
        <f>IF(Lang="Français","Descente balistique","Balistic fall")</f>
        <v>Descente balistique</v>
      </c>
      <c r="F108" s="477">
        <f ca="1">Combustion+Depotage-3</f>
        <v>-3</v>
      </c>
      <c r="G108" s="478" t="s">
        <v>412</v>
      </c>
    </row>
    <row r="109" spans="2:9" x14ac:dyDescent="0.2">
      <c r="B109" s="1" t="str">
        <f>IF(T_para&gt;0,IF(Lang="Français","Fusée sous parachute","Rocket under parachute"),"")</f>
        <v>Fusée sous parachute</v>
      </c>
      <c r="F109" s="477">
        <f ca="1">Combustion+Depotage</f>
        <v>0</v>
      </c>
      <c r="G109" s="478" t="s">
        <v>413</v>
      </c>
    </row>
    <row r="110" spans="2:9" x14ac:dyDescent="0.2">
      <c r="B110" s="1" t="str">
        <f>IF(AND(Nb_sat="1 satellite",T_satellite&gt;0),IF(Lang="Français","Satellite sous parachute","Satellite over parachute"),"")</f>
        <v>Satellite sous parachute</v>
      </c>
      <c r="F110" s="479" t="str">
        <f>IF(Lang="Français","autre",IF(Lang="English","other",""))</f>
        <v>autre</v>
      </c>
    </row>
    <row r="111" spans="2:9" x14ac:dyDescent="0.2">
      <c r="B111" s="1" t="str">
        <f>IF(Lang="Français","Trajectoire (x z)","Trajectory (x z)")</f>
        <v>Trajectoire (x z)</v>
      </c>
    </row>
    <row r="112" spans="2:9" x14ac:dyDescent="0.2">
      <c r="B112" s="1" t="str">
        <f>IF(Lang="Français","Portée x [m]","Range x [m]")</f>
        <v>Portée x [m]</v>
      </c>
    </row>
    <row r="113" spans="2:3" x14ac:dyDescent="0.2">
      <c r="B113" s="1" t="str">
        <f>IF(Lang="Français","Temps [s]","Time [s]")</f>
        <v>Temps [s]</v>
      </c>
    </row>
    <row r="114" spans="2:3" x14ac:dyDescent="0.2">
      <c r="B114" s="1" t="str">
        <f>IF(Lang="Français","Altitude z  /  Temps","Altitude z  /  Time")</f>
        <v>Altitude z  /  Temps</v>
      </c>
      <c r="C114" s="1">
        <f>IF(OR(C26=F104,C26=F110),C27,C26)</f>
        <v>15.6</v>
      </c>
    </row>
    <row r="116" spans="2:3" x14ac:dyDescent="0.2">
      <c r="B116" s="1" t="s">
        <v>408</v>
      </c>
    </row>
    <row r="118" spans="2:3" x14ac:dyDescent="0.2">
      <c r="B118" s="24" t="str">
        <f>IF(Lang="Français","Données pour les graphiques :","Data for plots:")</f>
        <v>Données pour les graphiques :</v>
      </c>
    </row>
    <row r="120" spans="2:3" x14ac:dyDescent="0.2">
      <c r="B120" s="210" t="s">
        <v>47</v>
      </c>
      <c r="C120" s="211" t="s">
        <v>47</v>
      </c>
    </row>
    <row r="121" spans="2:3" x14ac:dyDescent="0.2">
      <c r="B121" s="218">
        <f ca="1">MAX(Altitude_culmi,Portee_balistique)</f>
        <v>1378.6942585540462</v>
      </c>
      <c r="C121" s="216">
        <f ca="1">MAX(Altitude_culmi,Portee_balistique)</f>
        <v>1378.6942585540462</v>
      </c>
    </row>
    <row r="123" spans="2:3" x14ac:dyDescent="0.2">
      <c r="B123" s="210" t="s">
        <v>49</v>
      </c>
      <c r="C123" s="211" t="s">
        <v>45</v>
      </c>
    </row>
    <row r="124" spans="2:3" x14ac:dyDescent="0.2">
      <c r="B124" s="217">
        <f ca="1">X_para</f>
        <v>434.91575148092232</v>
      </c>
      <c r="C124" s="214">
        <f ca="1">Alt_para</f>
        <v>1378.6942585540462</v>
      </c>
    </row>
    <row r="125" spans="2:3" x14ac:dyDescent="0.2">
      <c r="B125" s="217">
        <f ca="1">X_para</f>
        <v>434.91575148092232</v>
      </c>
      <c r="C125" s="214">
        <f ca="1">Alt_para/2</f>
        <v>689.3471292770231</v>
      </c>
    </row>
    <row r="126" spans="2:3" x14ac:dyDescent="0.2">
      <c r="B126" s="217">
        <f ca="1">X_para</f>
        <v>434.91575148092232</v>
      </c>
      <c r="C126" s="214">
        <v>0</v>
      </c>
    </row>
    <row r="127" spans="2:3" x14ac:dyDescent="0.2">
      <c r="B127" s="217">
        <f ca="1">X_para+Alt_para/40</f>
        <v>469.38310794477349</v>
      </c>
      <c r="C127" s="214">
        <f ca="1">Alt_para/20</f>
        <v>68.934712927702307</v>
      </c>
    </row>
    <row r="128" spans="2:3" x14ac:dyDescent="0.2">
      <c r="B128" s="217">
        <f ca="1">X_para</f>
        <v>434.91575148092232</v>
      </c>
      <c r="C128" s="214">
        <v>0</v>
      </c>
    </row>
    <row r="129" spans="2:6" x14ac:dyDescent="0.2">
      <c r="B129" s="217">
        <f ca="1">X_para-Alt_para/40</f>
        <v>400.44839501707116</v>
      </c>
      <c r="C129" s="214">
        <f ca="1">Alt_para/20</f>
        <v>68.934712927702307</v>
      </c>
    </row>
    <row r="130" spans="2:6" x14ac:dyDescent="0.2">
      <c r="B130" s="218">
        <f ca="1">X_para</f>
        <v>434.91575148092232</v>
      </c>
      <c r="C130" s="219">
        <v>0</v>
      </c>
    </row>
    <row r="131" spans="2:6" x14ac:dyDescent="0.2">
      <c r="B131" s="210" t="s">
        <v>48</v>
      </c>
      <c r="C131" s="211" t="s">
        <v>45</v>
      </c>
    </row>
    <row r="132" spans="2:6" x14ac:dyDescent="0.2">
      <c r="B132" s="213">
        <f>T_para</f>
        <v>15.6</v>
      </c>
      <c r="C132" s="214">
        <f ca="1">Alt_para</f>
        <v>1378.6942585540462</v>
      </c>
    </row>
    <row r="133" spans="2:6" x14ac:dyDescent="0.2">
      <c r="B133" s="213">
        <f ca="1">(B132+B134)/2</f>
        <v>62.613583211575495</v>
      </c>
      <c r="C133" s="214">
        <f ca="1">(C132+C134)/2</f>
        <v>689.3471292770231</v>
      </c>
      <c r="E133" s="232">
        <v>1</v>
      </c>
      <c r="F133" s="233" t="s">
        <v>175</v>
      </c>
    </row>
    <row r="134" spans="2:6" x14ac:dyDescent="0.2">
      <c r="B134" s="213">
        <f ca="1">H49</f>
        <v>109.627166423151</v>
      </c>
      <c r="C134" s="214">
        <f>0</f>
        <v>0</v>
      </c>
      <c r="E134" s="161">
        <v>1</v>
      </c>
      <c r="F134" s="234" t="s">
        <v>176</v>
      </c>
    </row>
    <row r="135" spans="2:6" x14ac:dyDescent="0.2">
      <c r="B135" s="213">
        <f ca="1">H49+E133*sS/2*zZ_fus-E134*sS*tT_fus</f>
        <v>108.39310312940735</v>
      </c>
      <c r="C135" s="214">
        <f ca="1">Alt_para-V_para*(H49-T_para)+E133*sS*Altitude_culmi/H49*zZ_fus+E134*sS/2*Altitude_culmi/H49*tT_fus</f>
        <v>61.994824828998304</v>
      </c>
      <c r="E135" s="161"/>
      <c r="F135" s="241" t="s">
        <v>177</v>
      </c>
    </row>
    <row r="136" spans="2:6" x14ac:dyDescent="0.2">
      <c r="B136" s="213">
        <f ca="1">H49</f>
        <v>109.627166423151</v>
      </c>
      <c r="C136" s="214">
        <f ca="1">Alt_para-V_para*(H49-T_para)</f>
        <v>0</v>
      </c>
      <c r="E136" s="235" t="s">
        <v>172</v>
      </c>
      <c r="F136" s="236">
        <f ca="1">T_balistique/10</f>
        <v>3.4500000000000219</v>
      </c>
    </row>
    <row r="137" spans="2:6" x14ac:dyDescent="0.2">
      <c r="B137" s="213">
        <f ca="1">H49-E133*sS/2*zZ_fus-E134*sS*tT_fus</f>
        <v>104.94310312940733</v>
      </c>
      <c r="C137" s="214">
        <f ca="1">Alt_para-V_para*(H49-T_para)+E133*sS*Altitude_culmi/H49*zZ_fus-E134*sS/2*Altitude_culmi/H49*tT_fus</f>
        <v>24.78102366191035</v>
      </c>
      <c r="E137" s="235" t="s">
        <v>173</v>
      </c>
      <c r="F137" s="236">
        <f ca="1">(H49-T_para)/H49</f>
        <v>0.85769950543293805</v>
      </c>
    </row>
    <row r="138" spans="2:6" x14ac:dyDescent="0.2">
      <c r="B138" s="215">
        <f ca="1">H49</f>
        <v>109.627166423151</v>
      </c>
      <c r="C138" s="216">
        <f ca="1">Alt_para-V_para*(H49-T_para)</f>
        <v>0</v>
      </c>
      <c r="E138" s="237" t="s">
        <v>174</v>
      </c>
      <c r="F138" s="238">
        <f ca="1">V_para*(H49-T_para)/Alt_para</f>
        <v>1</v>
      </c>
    </row>
    <row r="140" spans="2:6" x14ac:dyDescent="0.2">
      <c r="B140" s="210" t="s">
        <v>51</v>
      </c>
      <c r="C140" s="211" t="s">
        <v>46</v>
      </c>
    </row>
    <row r="141" spans="2:6" x14ac:dyDescent="0.2">
      <c r="B141" s="217">
        <f ca="1">IF(Nb_sat="1 satellite",X_satellite)</f>
        <v>98.964688107976272</v>
      </c>
      <c r="C141" s="214">
        <f ca="1">IF(Nb_sat="1 satellite",Alt_sat)</f>
        <v>487.84771914632313</v>
      </c>
    </row>
    <row r="142" spans="2:6" x14ac:dyDescent="0.2">
      <c r="B142" s="217">
        <f ca="1">IF(Nb_sat="1 satellite",X_satellite)</f>
        <v>98.964688107976272</v>
      </c>
      <c r="C142" s="214">
        <f ca="1">IF(Nb_sat="1 satellite",Alt_sat*1/4)</f>
        <v>121.96192978658078</v>
      </c>
    </row>
    <row r="143" spans="2:6" x14ac:dyDescent="0.2">
      <c r="B143" s="217">
        <f ca="1">IF(Nb_sat="1 satellite",X_satellite)</f>
        <v>98.964688107976272</v>
      </c>
      <c r="C143" s="214">
        <f>IF(Nb_sat="1 satellite",0)</f>
        <v>0</v>
      </c>
    </row>
    <row r="144" spans="2:6" x14ac:dyDescent="0.2">
      <c r="B144" s="217">
        <f ca="1">IF(Nb_sat="1 satellite",X_satellite+Alt_sat/40)</f>
        <v>111.16088108663435</v>
      </c>
      <c r="C144" s="214">
        <f ca="1">IF(Nb_sat="1 satellite",Alt_sat/20)</f>
        <v>24.392385957316158</v>
      </c>
    </row>
    <row r="145" spans="2:6" x14ac:dyDescent="0.2">
      <c r="B145" s="217">
        <f ca="1">IF(Nb_sat="1 satellite",X_satellite)</f>
        <v>98.964688107976272</v>
      </c>
      <c r="C145" s="214">
        <f>IF(Nb_sat="1 satellite",0)</f>
        <v>0</v>
      </c>
    </row>
    <row r="146" spans="2:6" x14ac:dyDescent="0.2">
      <c r="B146" s="217">
        <f ca="1">IF(Nb_sat="1 satellite",X_satellite-Alt_sat/40)</f>
        <v>86.768495129318197</v>
      </c>
      <c r="C146" s="214">
        <f ca="1">IF(Nb_sat="1 satellite",Alt_sat/20)</f>
        <v>24.392385957316158</v>
      </c>
    </row>
    <row r="147" spans="2:6" x14ac:dyDescent="0.2">
      <c r="B147" s="218">
        <f ca="1">IF(Nb_sat="1 satellite",X_satellite)</f>
        <v>98.964688107976272</v>
      </c>
      <c r="C147" s="214">
        <f>IF(Nb_sat="1 satellite",0)</f>
        <v>0</v>
      </c>
    </row>
    <row r="148" spans="2:6" x14ac:dyDescent="0.2">
      <c r="B148" s="210" t="s">
        <v>50</v>
      </c>
      <c r="C148" s="211" t="s">
        <v>46</v>
      </c>
    </row>
    <row r="149" spans="2:6" x14ac:dyDescent="0.2">
      <c r="B149" s="213">
        <f>IF(Nb_sat="1 satellite",T_satellite)</f>
        <v>3.2</v>
      </c>
      <c r="C149" s="214">
        <f ca="1">IF(Nb_sat="1 satellite",Alt_sat)</f>
        <v>487.84771914632313</v>
      </c>
      <c r="D149" s="221"/>
    </row>
    <row r="150" spans="2:6" x14ac:dyDescent="0.2">
      <c r="B150" s="213">
        <f ca="1">(B149+B151)/2</f>
        <v>22.474043109609063</v>
      </c>
      <c r="C150" s="214">
        <f ca="1">(C149+C151)/2</f>
        <v>243.92385957316156</v>
      </c>
      <c r="D150" s="221"/>
    </row>
    <row r="151" spans="2:6" x14ac:dyDescent="0.2">
      <c r="B151" s="213">
        <f ca="1">IF(Nb_sat="1 satellite",H51)</f>
        <v>41.748086219218123</v>
      </c>
      <c r="C151" s="214">
        <f>IF(Nb_sat="1 satellite",0)</f>
        <v>0</v>
      </c>
    </row>
    <row r="152" spans="2:6" x14ac:dyDescent="0.2">
      <c r="B152" s="213">
        <f ca="1">IF(Nb_sat="1 satellite",H51+E133*sS/2*zZ_sat-E134*sS*tT_sat)</f>
        <v>40.018739410999196</v>
      </c>
      <c r="C152" s="214">
        <f ca="1">IF(Nb_sat="1 satellite",Alt_sat-V_satellite*(H51-T_satellite)+E133*sS*Altitude_culmi/H51*zZ_sat+E134*sS/2*Altitude_culmi/H51*tT_sat)</f>
        <v>144.19347297730647</v>
      </c>
      <c r="D152" s="221"/>
    </row>
    <row r="153" spans="2:6" x14ac:dyDescent="0.2">
      <c r="B153" s="213">
        <f ca="1">IF(Nb_sat="1 satellite",H51)</f>
        <v>41.748086219218123</v>
      </c>
      <c r="C153" s="214">
        <f>IF(Nb_sat="1 satellite",0)</f>
        <v>0</v>
      </c>
    </row>
    <row r="154" spans="2:6" x14ac:dyDescent="0.2">
      <c r="B154" s="213">
        <f ca="1">IF(Nb_sat="1 satellite",H51-sS/2*zZ_sat-E134*sS*tT_sat)</f>
        <v>37.217433027437004</v>
      </c>
      <c r="C154" s="214">
        <f ca="1">IF(Nb_sat="1 satellite",Alt_sat-V_satellite*(H51-T_satellite)+E133*sS*Altitude_culmi/H51*zZ_sat-E134*sS/2*Altitude_culmi/H51*tT_sat)</f>
        <v>40.827943678200455</v>
      </c>
      <c r="E154" s="239" t="s">
        <v>173</v>
      </c>
      <c r="F154" s="240">
        <f ca="1">(T_balistique-T_satellite)/T_balistique</f>
        <v>0.90724637681159481</v>
      </c>
    </row>
    <row r="155" spans="2:6" x14ac:dyDescent="0.2">
      <c r="B155" s="215">
        <f ca="1">IF(Nb_sat="1 satellite",H51)</f>
        <v>41.748086219218123</v>
      </c>
      <c r="C155" s="216">
        <f>IF(Nb_sat="1 satellite",0)</f>
        <v>0</v>
      </c>
      <c r="E155" s="237" t="s">
        <v>174</v>
      </c>
      <c r="F155" s="238">
        <f ca="1">V_satellite*(T_balistique-T_satellite)/Alt_sat</f>
        <v>0.81197286480062991</v>
      </c>
    </row>
    <row r="157" spans="2:6" x14ac:dyDescent="0.2">
      <c r="B157" s="210" t="s">
        <v>2</v>
      </c>
      <c r="C157" s="228" t="s">
        <v>29</v>
      </c>
      <c r="D157" s="211" t="s">
        <v>3</v>
      </c>
    </row>
    <row r="158" spans="2:6" x14ac:dyDescent="0.2">
      <c r="B158" s="231">
        <f>T_para/4</f>
        <v>3.9</v>
      </c>
      <c r="C158" s="82">
        <f ca="1">Alt_para/2</f>
        <v>689.3471292770231</v>
      </c>
      <c r="D158" s="214">
        <f ca="1">X_para/4</f>
        <v>108.72893787023058</v>
      </c>
    </row>
    <row r="159" spans="2:6" x14ac:dyDescent="0.2">
      <c r="B159" s="229">
        <f ca="1">Temps_culmi + (T_balistique-Temps_culmi)/2</f>
        <v>25.05000000000009</v>
      </c>
      <c r="C159" s="230">
        <f ca="1">Altitude_culmi/2</f>
        <v>689.3471292770231</v>
      </c>
      <c r="D159" s="216">
        <f ca="1">X_culmi+(Portee_balistique-X_culmi)*2/3</f>
        <v>658.65789542809262</v>
      </c>
    </row>
    <row r="161" spans="2:6" x14ac:dyDescent="0.2">
      <c r="B161" s="210" t="s">
        <v>304</v>
      </c>
      <c r="C161" s="228" t="s">
        <v>303</v>
      </c>
      <c r="D161" s="422" t="s">
        <v>305</v>
      </c>
    </row>
    <row r="162" spans="2:6" x14ac:dyDescent="0.2">
      <c r="B162" s="231" t="e">
        <f ca="1">IF(AND(Altitude_culmi&gt;80, Altitude_culmi&lt;=350), 49, NA())</f>
        <v>#N/A</v>
      </c>
      <c r="C162" s="5">
        <v>0</v>
      </c>
      <c r="D162" s="82">
        <f t="shared" ref="D162:D177" ca="1" si="0">X_culmi+C162</f>
        <v>434.91575148092232</v>
      </c>
      <c r="E162" s="422"/>
      <c r="F162" s="423" t="s">
        <v>305</v>
      </c>
    </row>
    <row r="163" spans="2:6" x14ac:dyDescent="0.2">
      <c r="B163" s="231" t="e">
        <f ca="1">IF(AND(Altitude_culmi&gt;80, Altitude_culmi&lt;=350), 49, NA())</f>
        <v>#N/A</v>
      </c>
      <c r="C163" s="5">
        <v>23</v>
      </c>
      <c r="D163" s="82">
        <f t="shared" ca="1" si="0"/>
        <v>457.91575148092232</v>
      </c>
      <c r="E163" s="82"/>
      <c r="F163" s="214">
        <f t="shared" ref="F163:F178" ca="1" si="1">X_culmi-C162</f>
        <v>434.91575148092232</v>
      </c>
    </row>
    <row r="164" spans="2:6" x14ac:dyDescent="0.2">
      <c r="B164" s="231" t="e">
        <f ca="1">IF(AND(Altitude_culmi&gt;80, Altitude_culmi&lt;=350), 43, NA())</f>
        <v>#N/A</v>
      </c>
      <c r="C164" s="5">
        <v>23</v>
      </c>
      <c r="D164" s="82">
        <f t="shared" ca="1" si="0"/>
        <v>457.91575148092232</v>
      </c>
      <c r="E164" s="82"/>
      <c r="F164" s="214">
        <f t="shared" ca="1" si="1"/>
        <v>411.91575148092232</v>
      </c>
    </row>
    <row r="165" spans="2:6" x14ac:dyDescent="0.2">
      <c r="B165" s="231" t="e">
        <f ca="1">IF(AND(Altitude_culmi&gt;80, Altitude_culmi&lt;=350), 43, NA())</f>
        <v>#N/A</v>
      </c>
      <c r="C165" s="5">
        <v>0</v>
      </c>
      <c r="D165" s="82">
        <f t="shared" ca="1" si="0"/>
        <v>434.91575148092232</v>
      </c>
      <c r="E165" s="82"/>
      <c r="F165" s="214">
        <f t="shared" ca="1" si="1"/>
        <v>411.91575148092232</v>
      </c>
    </row>
    <row r="166" spans="2:6" x14ac:dyDescent="0.2">
      <c r="B166" s="231" t="e">
        <f ca="1">IF(AND(Altitude_culmi&gt;80, Altitude_culmi&lt;=350), 43, NA())</f>
        <v>#N/A</v>
      </c>
      <c r="C166" s="5">
        <v>23</v>
      </c>
      <c r="D166" s="82">
        <f t="shared" ca="1" si="0"/>
        <v>457.91575148092232</v>
      </c>
      <c r="E166" s="82"/>
      <c r="F166" s="214">
        <f t="shared" ca="1" si="1"/>
        <v>434.91575148092232</v>
      </c>
    </row>
    <row r="167" spans="2:6" x14ac:dyDescent="0.2">
      <c r="B167" s="231" t="e">
        <f ca="1">IF(AND(Altitude_culmi&gt;80, Altitude_culmi&lt;=350), 0.5, NA())</f>
        <v>#N/A</v>
      </c>
      <c r="C167" s="5">
        <v>23</v>
      </c>
      <c r="D167" s="82">
        <f t="shared" ca="1" si="0"/>
        <v>457.91575148092232</v>
      </c>
      <c r="E167" s="82"/>
      <c r="F167" s="214">
        <f t="shared" ca="1" si="1"/>
        <v>411.91575148092232</v>
      </c>
    </row>
    <row r="168" spans="2:6" x14ac:dyDescent="0.2">
      <c r="B168" s="231" t="e">
        <f ca="1">IF(AND(Altitude_culmi&gt;80, Altitude_culmi&lt;=350), 0.5, NA())</f>
        <v>#N/A</v>
      </c>
      <c r="C168" s="5">
        <v>8</v>
      </c>
      <c r="D168" s="82">
        <f t="shared" ca="1" si="0"/>
        <v>442.91575148092232</v>
      </c>
      <c r="E168" s="82"/>
      <c r="F168" s="214">
        <f t="shared" ca="1" si="1"/>
        <v>411.91575148092232</v>
      </c>
    </row>
    <row r="169" spans="2:6" x14ac:dyDescent="0.2">
      <c r="B169" s="231" t="e">
        <f ca="1">IF(AND(Altitude_culmi&gt;80, Altitude_culmi&lt;=350), 27, NA())</f>
        <v>#N/A</v>
      </c>
      <c r="C169" s="5">
        <v>8</v>
      </c>
      <c r="D169" s="82">
        <f t="shared" ca="1" si="0"/>
        <v>442.91575148092232</v>
      </c>
      <c r="E169" s="82"/>
      <c r="F169" s="214">
        <f t="shared" ca="1" si="1"/>
        <v>426.91575148092232</v>
      </c>
    </row>
    <row r="170" spans="2:6" x14ac:dyDescent="0.2">
      <c r="B170" s="231" t="e">
        <f ca="1">IF(AND(Altitude_culmi&gt;80, Altitude_culmi&lt;=350), 27, NA())</f>
        <v>#N/A</v>
      </c>
      <c r="C170" s="5">
        <v>23</v>
      </c>
      <c r="D170" s="82">
        <f t="shared" ca="1" si="0"/>
        <v>457.91575148092232</v>
      </c>
      <c r="E170" s="82"/>
      <c r="F170" s="214">
        <f t="shared" ca="1" si="1"/>
        <v>426.91575148092232</v>
      </c>
    </row>
    <row r="171" spans="2:6" x14ac:dyDescent="0.2">
      <c r="B171" s="231" t="e">
        <f ca="1">IF(AND(Altitude_culmi&gt;80, Altitude_culmi&lt;=350), 27, NA())</f>
        <v>#N/A</v>
      </c>
      <c r="C171" s="5">
        <v>8</v>
      </c>
      <c r="D171" s="82">
        <f t="shared" ca="1" si="0"/>
        <v>442.91575148092232</v>
      </c>
      <c r="E171" s="82"/>
      <c r="F171" s="214">
        <f t="shared" ca="1" si="1"/>
        <v>411.91575148092232</v>
      </c>
    </row>
    <row r="172" spans="2:6" x14ac:dyDescent="0.2">
      <c r="B172" s="231" t="e">
        <f ca="1">IF(AND(Altitude_culmi&gt;80, Altitude_culmi&lt;=350), 29, NA())</f>
        <v>#N/A</v>
      </c>
      <c r="C172" s="5">
        <v>7.6</v>
      </c>
      <c r="D172" s="82">
        <f t="shared" ca="1" si="0"/>
        <v>442.51575148092235</v>
      </c>
      <c r="E172" s="82"/>
      <c r="F172" s="214">
        <f t="shared" ca="1" si="1"/>
        <v>426.91575148092232</v>
      </c>
    </row>
    <row r="173" spans="2:6" x14ac:dyDescent="0.2">
      <c r="B173" s="231" t="e">
        <f ca="1">IF(AND(Altitude_culmi&gt;80, Altitude_culmi&lt;=350), 31, NA())</f>
        <v>#N/A</v>
      </c>
      <c r="C173" s="5">
        <v>6.8</v>
      </c>
      <c r="D173" s="82">
        <f t="shared" ca="1" si="0"/>
        <v>441.71575148092234</v>
      </c>
      <c r="E173" s="82"/>
      <c r="F173" s="214">
        <f t="shared" ca="1" si="1"/>
        <v>427.3157514809223</v>
      </c>
    </row>
    <row r="174" spans="2:6" x14ac:dyDescent="0.2">
      <c r="B174" s="231" t="e">
        <f ca="1">IF(AND(Altitude_culmi&gt;80, Altitude_culmi&lt;=350), 32, NA())</f>
        <v>#N/A</v>
      </c>
      <c r="C174" s="5">
        <v>6</v>
      </c>
      <c r="D174" s="82">
        <f t="shared" ca="1" si="0"/>
        <v>440.91575148092232</v>
      </c>
      <c r="E174" s="82"/>
      <c r="F174" s="214">
        <f t="shared" ca="1" si="1"/>
        <v>428.11575148092231</v>
      </c>
    </row>
    <row r="175" spans="2:6" x14ac:dyDescent="0.2">
      <c r="B175" s="231" t="e">
        <f ca="1">IF(AND(Altitude_culmi&gt;80, Altitude_culmi&lt;=350), 33, NA())</f>
        <v>#N/A</v>
      </c>
      <c r="C175" s="5">
        <v>5</v>
      </c>
      <c r="D175" s="82">
        <f t="shared" ca="1" si="0"/>
        <v>439.91575148092232</v>
      </c>
      <c r="E175" s="82"/>
      <c r="F175" s="214">
        <f t="shared" ca="1" si="1"/>
        <v>428.91575148092232</v>
      </c>
    </row>
    <row r="176" spans="2:6" x14ac:dyDescent="0.2">
      <c r="B176" s="231" t="e">
        <f ca="1">IF(AND(Altitude_culmi&gt;80, Altitude_culmi&lt;=350), 34, NA())</f>
        <v>#N/A</v>
      </c>
      <c r="C176" s="5">
        <v>3.8</v>
      </c>
      <c r="D176" s="82">
        <f t="shared" ca="1" si="0"/>
        <v>438.71575148092234</v>
      </c>
      <c r="E176" s="82"/>
      <c r="F176" s="214">
        <f t="shared" ca="1" si="1"/>
        <v>429.91575148092232</v>
      </c>
    </row>
    <row r="177" spans="2:6" x14ac:dyDescent="0.2">
      <c r="B177" s="229" t="e">
        <f ca="1">IF(AND(Altitude_culmi&gt;80, Altitude_culmi&lt;=350), 35, NA())</f>
        <v>#N/A</v>
      </c>
      <c r="C177" s="421">
        <v>0</v>
      </c>
      <c r="D177" s="230">
        <f t="shared" ca="1" si="0"/>
        <v>434.91575148092232</v>
      </c>
      <c r="E177" s="82"/>
      <c r="F177" s="214">
        <f t="shared" ca="1" si="1"/>
        <v>431.11575148092231</v>
      </c>
    </row>
    <row r="178" spans="2:6" x14ac:dyDescent="0.2">
      <c r="E178" s="230"/>
      <c r="F178" s="216">
        <f t="shared" ca="1" si="1"/>
        <v>434.91575148092232</v>
      </c>
    </row>
    <row r="179" spans="2:6" x14ac:dyDescent="0.2">
      <c r="B179" s="210" t="s">
        <v>306</v>
      </c>
      <c r="C179" s="228" t="s">
        <v>307</v>
      </c>
      <c r="D179" s="228" t="s">
        <v>308</v>
      </c>
    </row>
    <row r="180" spans="2:6" x14ac:dyDescent="0.2">
      <c r="B180" s="231">
        <f ca="1">IF(Altitude_culmi&gt;350, 324, NA())</f>
        <v>324</v>
      </c>
      <c r="C180" s="5">
        <v>0</v>
      </c>
      <c r="D180" s="82">
        <f t="shared" ref="D180:D200" ca="1" si="2">X_culmi+C180</f>
        <v>434.91575148092232</v>
      </c>
      <c r="E180" s="228"/>
      <c r="F180" s="211" t="s">
        <v>308</v>
      </c>
    </row>
    <row r="181" spans="2:6" x14ac:dyDescent="0.2">
      <c r="B181" s="231">
        <f ca="1">IF(Altitude_culmi&gt;350, 300, NA())</f>
        <v>300</v>
      </c>
      <c r="C181" s="5">
        <v>0</v>
      </c>
      <c r="D181" s="82">
        <f t="shared" ca="1" si="2"/>
        <v>434.91575148092232</v>
      </c>
      <c r="E181" s="82"/>
      <c r="F181" s="214">
        <f t="shared" ref="F181:F201" ca="1" si="3">X_culmi-C180</f>
        <v>434.91575148092232</v>
      </c>
    </row>
    <row r="182" spans="2:6" x14ac:dyDescent="0.2">
      <c r="B182" s="231">
        <f ca="1">IF(Altitude_culmi&gt;350, 280, NA())</f>
        <v>280</v>
      </c>
      <c r="C182" s="5">
        <v>10</v>
      </c>
      <c r="D182" s="82">
        <f t="shared" ca="1" si="2"/>
        <v>444.91575148092232</v>
      </c>
      <c r="E182" s="82"/>
      <c r="F182" s="214">
        <f t="shared" ca="1" si="3"/>
        <v>434.91575148092232</v>
      </c>
    </row>
    <row r="183" spans="2:6" x14ac:dyDescent="0.2">
      <c r="B183" s="231">
        <f ca="1">IF(Altitude_culmi&gt;350, 280, NA())</f>
        <v>280</v>
      </c>
      <c r="C183" s="5">
        <v>0</v>
      </c>
      <c r="D183" s="82">
        <f t="shared" ca="1" si="2"/>
        <v>434.91575148092232</v>
      </c>
      <c r="E183" s="82"/>
      <c r="F183" s="214">
        <f t="shared" ca="1" si="3"/>
        <v>424.91575148092232</v>
      </c>
    </row>
    <row r="184" spans="2:6" x14ac:dyDescent="0.2">
      <c r="B184" s="231">
        <f ca="1">IF(Altitude_culmi&gt;350, 280, NA())</f>
        <v>280</v>
      </c>
      <c r="C184" s="5">
        <v>10</v>
      </c>
      <c r="D184" s="82">
        <f t="shared" ca="1" si="2"/>
        <v>444.91575148092232</v>
      </c>
      <c r="E184" s="82"/>
      <c r="F184" s="214">
        <f t="shared" ca="1" si="3"/>
        <v>434.91575148092232</v>
      </c>
    </row>
    <row r="185" spans="2:6" x14ac:dyDescent="0.2">
      <c r="B185" s="231">
        <f ca="1">IF(Altitude_culmi&gt;350, 200, NA())</f>
        <v>200</v>
      </c>
      <c r="C185" s="5">
        <v>13</v>
      </c>
      <c r="D185" s="82">
        <f t="shared" ca="1" si="2"/>
        <v>447.91575148092232</v>
      </c>
      <c r="E185" s="82"/>
      <c r="F185" s="214">
        <f t="shared" ca="1" si="3"/>
        <v>424.91575148092232</v>
      </c>
    </row>
    <row r="186" spans="2:6" x14ac:dyDescent="0.2">
      <c r="B186" s="231">
        <f ca="1">IF(Altitude_culmi&gt;350, 160, NA())</f>
        <v>160</v>
      </c>
      <c r="C186" s="5">
        <v>17</v>
      </c>
      <c r="D186" s="82">
        <f t="shared" ca="1" si="2"/>
        <v>451.91575148092232</v>
      </c>
      <c r="E186" s="82"/>
      <c r="F186" s="214">
        <f t="shared" ca="1" si="3"/>
        <v>421.91575148092232</v>
      </c>
    </row>
    <row r="187" spans="2:6" x14ac:dyDescent="0.2">
      <c r="B187" s="231">
        <f ca="1">IF(Altitude_culmi&gt;350, 115, NA())</f>
        <v>115</v>
      </c>
      <c r="C187" s="5">
        <v>20</v>
      </c>
      <c r="D187" s="82">
        <f t="shared" ca="1" si="2"/>
        <v>454.91575148092232</v>
      </c>
      <c r="E187" s="82"/>
      <c r="F187" s="214">
        <f t="shared" ca="1" si="3"/>
        <v>417.91575148092232</v>
      </c>
    </row>
    <row r="188" spans="2:6" x14ac:dyDescent="0.2">
      <c r="B188" s="231">
        <f ca="1">IF(Altitude_culmi&gt;350, 90, NA())</f>
        <v>90</v>
      </c>
      <c r="C188" s="5">
        <v>25</v>
      </c>
      <c r="D188" s="82">
        <f t="shared" ca="1" si="2"/>
        <v>459.91575148092232</v>
      </c>
      <c r="E188" s="82"/>
      <c r="F188" s="214">
        <f t="shared" ca="1" si="3"/>
        <v>414.91575148092232</v>
      </c>
    </row>
    <row r="189" spans="2:6" x14ac:dyDescent="0.2">
      <c r="B189" s="231">
        <f ca="1">IF(Altitude_culmi&gt;350, 57, NA())</f>
        <v>57</v>
      </c>
      <c r="C189" s="5">
        <v>30</v>
      </c>
      <c r="D189" s="82">
        <f t="shared" ca="1" si="2"/>
        <v>464.91575148092232</v>
      </c>
      <c r="E189" s="82"/>
      <c r="F189" s="214">
        <f t="shared" ca="1" si="3"/>
        <v>409.91575148092232</v>
      </c>
    </row>
    <row r="190" spans="2:6" x14ac:dyDescent="0.2">
      <c r="B190" s="231">
        <f ca="1">IF(Altitude_culmi&gt;350, 40, NA())</f>
        <v>40</v>
      </c>
      <c r="C190" s="5">
        <v>36</v>
      </c>
      <c r="D190" s="82">
        <f t="shared" ca="1" si="2"/>
        <v>470.91575148092232</v>
      </c>
      <c r="E190" s="82"/>
      <c r="F190" s="214">
        <f t="shared" ca="1" si="3"/>
        <v>404.91575148092232</v>
      </c>
    </row>
    <row r="191" spans="2:6" x14ac:dyDescent="0.2">
      <c r="B191" s="231">
        <f ca="1">IF(Altitude_culmi&gt;350, 20, NA())</f>
        <v>20</v>
      </c>
      <c r="C191" s="5">
        <v>48</v>
      </c>
      <c r="D191" s="82">
        <f t="shared" ca="1" si="2"/>
        <v>482.91575148092232</v>
      </c>
      <c r="E191" s="82"/>
      <c r="F191" s="214">
        <f t="shared" ca="1" si="3"/>
        <v>398.91575148092232</v>
      </c>
    </row>
    <row r="192" spans="2:6" x14ac:dyDescent="0.2">
      <c r="B192" s="231">
        <f ca="1">IF(Altitude_culmi&gt;350, 0.5, NA())</f>
        <v>0.5</v>
      </c>
      <c r="C192" s="5">
        <v>62</v>
      </c>
      <c r="D192" s="82">
        <f t="shared" ca="1" si="2"/>
        <v>496.91575148092232</v>
      </c>
      <c r="E192" s="82"/>
      <c r="F192" s="214">
        <f t="shared" ca="1" si="3"/>
        <v>386.91575148092232</v>
      </c>
    </row>
    <row r="193" spans="2:6" x14ac:dyDescent="0.2">
      <c r="B193" s="231">
        <f ca="1">IF(Altitude_culmi&gt;350, 0.5, NA())</f>
        <v>0.5</v>
      </c>
      <c r="C193" s="5">
        <v>37</v>
      </c>
      <c r="D193" s="82">
        <f t="shared" ca="1" si="2"/>
        <v>471.91575148092232</v>
      </c>
      <c r="E193" s="82"/>
      <c r="F193" s="214">
        <f t="shared" ca="1" si="3"/>
        <v>372.91575148092232</v>
      </c>
    </row>
    <row r="194" spans="2:6" x14ac:dyDescent="0.2">
      <c r="B194" s="231">
        <f ca="1">IF(Altitude_culmi&gt;350, 15, NA())</f>
        <v>15</v>
      </c>
      <c r="C194" s="5">
        <v>30</v>
      </c>
      <c r="D194" s="82">
        <f t="shared" ca="1" si="2"/>
        <v>464.91575148092232</v>
      </c>
      <c r="E194" s="82"/>
      <c r="F194" s="214">
        <f t="shared" ca="1" si="3"/>
        <v>397.91575148092232</v>
      </c>
    </row>
    <row r="195" spans="2:6" x14ac:dyDescent="0.2">
      <c r="B195" s="231">
        <f ca="1">IF(Altitude_culmi&gt;350, 30, NA())</f>
        <v>30</v>
      </c>
      <c r="C195" s="5">
        <v>15</v>
      </c>
      <c r="D195" s="82">
        <f t="shared" ca="1" si="2"/>
        <v>449.91575148092232</v>
      </c>
      <c r="E195" s="82"/>
      <c r="F195" s="214">
        <f t="shared" ca="1" si="3"/>
        <v>404.91575148092232</v>
      </c>
    </row>
    <row r="196" spans="2:6" x14ac:dyDescent="0.2">
      <c r="B196" s="231">
        <f ca="1">IF(Altitude_culmi&gt;350, 37, NA())</f>
        <v>37</v>
      </c>
      <c r="C196" s="5">
        <v>0</v>
      </c>
      <c r="D196" s="82">
        <f t="shared" ca="1" si="2"/>
        <v>434.91575148092232</v>
      </c>
      <c r="E196" s="82"/>
      <c r="F196" s="214">
        <f t="shared" ca="1" si="3"/>
        <v>419.91575148092232</v>
      </c>
    </row>
    <row r="197" spans="2:6" x14ac:dyDescent="0.2">
      <c r="B197" s="231">
        <f ca="1">IF(Altitude_culmi&gt;350, 67, NA())</f>
        <v>67</v>
      </c>
      <c r="C197" s="5">
        <v>0</v>
      </c>
      <c r="D197" s="82">
        <f t="shared" ca="1" si="2"/>
        <v>434.91575148092232</v>
      </c>
      <c r="E197" s="82"/>
      <c r="F197" s="214">
        <f t="shared" ca="1" si="3"/>
        <v>434.91575148092232</v>
      </c>
    </row>
    <row r="198" spans="2:6" x14ac:dyDescent="0.2">
      <c r="B198" s="231">
        <f ca="1">IF(Altitude_culmi&gt;350, 67, NA())</f>
        <v>67</v>
      </c>
      <c r="C198" s="5">
        <v>17</v>
      </c>
      <c r="D198" s="82">
        <f t="shared" ca="1" si="2"/>
        <v>451.91575148092232</v>
      </c>
      <c r="E198" s="82"/>
      <c r="F198" s="214">
        <f t="shared" ca="1" si="3"/>
        <v>434.91575148092232</v>
      </c>
    </row>
    <row r="199" spans="2:6" x14ac:dyDescent="0.2">
      <c r="B199" s="231">
        <f ca="1">IF(Altitude_culmi&gt;350, 100, NA())</f>
        <v>100</v>
      </c>
      <c r="C199" s="5">
        <v>11</v>
      </c>
      <c r="D199" s="82">
        <f t="shared" ca="1" si="2"/>
        <v>445.91575148092232</v>
      </c>
      <c r="E199" s="82"/>
      <c r="F199" s="214">
        <f t="shared" ca="1" si="3"/>
        <v>417.91575148092232</v>
      </c>
    </row>
    <row r="200" spans="2:6" x14ac:dyDescent="0.2">
      <c r="B200" s="229">
        <f ca="1">IF(Altitude_culmi&gt;350, 100, NA())</f>
        <v>100</v>
      </c>
      <c r="C200" s="421">
        <v>0</v>
      </c>
      <c r="D200" s="230">
        <f t="shared" ca="1" si="2"/>
        <v>434.91575148092232</v>
      </c>
      <c r="E200" s="82"/>
      <c r="F200" s="214">
        <f t="shared" ca="1" si="3"/>
        <v>423.91575148092232</v>
      </c>
    </row>
    <row r="201" spans="2:6" x14ac:dyDescent="0.2">
      <c r="E201" s="230"/>
      <c r="F201" s="216">
        <f t="shared" ca="1" si="3"/>
        <v>434.91575148092232</v>
      </c>
    </row>
  </sheetData>
  <sheetProtection algorithmName="SHA-512" hashValue="54/g8dQ2RC65LqncMwJ2cd0LY+Ermcd3MHxRhdQ+5eIlTGzg9ayjpzMYUZU3QN55EKjPPfR4x04d0m+MFsILQw==" saltValue="8KZEyW6NBSE9XCBw0cMAWg==" spinCount="100000" sheet="1" objects="1" scenarios="1"/>
  <protectedRanges>
    <protectedRange sqref="C26" name="Plage1"/>
  </protectedRanges>
  <mergeCells count="43">
    <mergeCell ref="F51:G51"/>
    <mergeCell ref="F42:G42"/>
    <mergeCell ref="F43:G43"/>
    <mergeCell ref="F44:G44"/>
    <mergeCell ref="F45:G45"/>
    <mergeCell ref="F50:G50"/>
    <mergeCell ref="F46:G46"/>
    <mergeCell ref="F47:G47"/>
    <mergeCell ref="F49:G49"/>
    <mergeCell ref="F48:G48"/>
    <mergeCell ref="C16:D16"/>
    <mergeCell ref="C11:D11"/>
    <mergeCell ref="C20:D20"/>
    <mergeCell ref="C21:D21"/>
    <mergeCell ref="C12:D12"/>
    <mergeCell ref="C14:D14"/>
    <mergeCell ref="C15:D15"/>
    <mergeCell ref="C19:D19"/>
    <mergeCell ref="C23:D23"/>
    <mergeCell ref="C18:D18"/>
    <mergeCell ref="F24:G24"/>
    <mergeCell ref="F28:G28"/>
    <mergeCell ref="F27:G27"/>
    <mergeCell ref="F25:G25"/>
    <mergeCell ref="F26:G26"/>
    <mergeCell ref="H35:I35"/>
    <mergeCell ref="H34:I34"/>
    <mergeCell ref="F29:G29"/>
    <mergeCell ref="H33:I33"/>
    <mergeCell ref="A40:D40"/>
    <mergeCell ref="H36:I36"/>
    <mergeCell ref="F36:G36"/>
    <mergeCell ref="F35:G35"/>
    <mergeCell ref="F34:G34"/>
    <mergeCell ref="F40:G40"/>
    <mergeCell ref="C10:D10"/>
    <mergeCell ref="C5:D5"/>
    <mergeCell ref="C2:D3"/>
    <mergeCell ref="C7:D7"/>
    <mergeCell ref="C8:D8"/>
    <mergeCell ref="C9:D9"/>
    <mergeCell ref="C6:D6"/>
    <mergeCell ref="C4:D4"/>
  </mergeCells>
  <phoneticPr fontId="8" type="noConversion"/>
  <conditionalFormatting sqref="C27">
    <cfRule type="expression" dxfId="25" priority="247" stopIfTrue="1">
      <formula>NOT(OR(C26=F110,C26=F104))</formula>
    </cfRule>
  </conditionalFormatting>
  <conditionalFormatting sqref="C32">
    <cfRule type="cellIs" dxfId="24" priority="42" stopIfTrue="1" operator="notBetween">
      <formula>5</formula>
      <formula>15</formula>
    </cfRule>
  </conditionalFormatting>
  <conditionalFormatting sqref="D25">
    <cfRule type="expression" dxfId="23" priority="39" stopIfTrue="1">
      <formula>Nb_sat="0 satellite"</formula>
    </cfRule>
  </conditionalFormatting>
  <conditionalFormatting sqref="D26">
    <cfRule type="expression" dxfId="22" priority="2" stopIfTrue="1">
      <formula>Nb_sat="0 satellite"</formula>
    </cfRule>
  </conditionalFormatting>
  <conditionalFormatting sqref="D27:D31 D33:D35">
    <cfRule type="expression" dxfId="21" priority="59" stopIfTrue="1">
      <formula>Nb_sat="0 satellite"</formula>
    </cfRule>
  </conditionalFormatting>
  <conditionalFormatting sqref="D32">
    <cfRule type="expression" dxfId="20" priority="40" stopIfTrue="1">
      <formula>Nb_sat="0 satellite"</formula>
    </cfRule>
    <cfRule type="cellIs" dxfId="19" priority="49" stopIfTrue="1" operator="notBetween">
      <formula>5</formula>
      <formula>15</formula>
    </cfRule>
  </conditionalFormatting>
  <conditionalFormatting sqref="F26">
    <cfRule type="expression" dxfId="18" priority="26" stopIfTrue="1">
      <formula>Nb_sat="0 satellite"</formula>
    </cfRule>
  </conditionalFormatting>
  <conditionalFormatting sqref="F36:I36 F50:M50">
    <cfRule type="expression" dxfId="17" priority="22" stopIfTrue="1">
      <formula>Nb_sat="0 satellite"</formula>
    </cfRule>
  </conditionalFormatting>
  <conditionalFormatting sqref="F51:M51">
    <cfRule type="expression" dxfId="16" priority="21" stopIfTrue="1">
      <formula>Nb_sat="0 satellite"</formula>
    </cfRule>
  </conditionalFormatting>
  <conditionalFormatting sqref="H28 H48">
    <cfRule type="expression" dxfId="15" priority="4" stopIfTrue="1">
      <formula>ABS(Temps_culmi-T_para)&gt;2</formula>
    </cfRule>
  </conditionalFormatting>
  <conditionalFormatting sqref="H34:I34">
    <cfRule type="cellIs" dxfId="14" priority="14" stopIfTrue="1" operator="equal">
      <formula>"Brun/Orange…"</formula>
    </cfRule>
  </conditionalFormatting>
  <conditionalFormatting sqref="H35:I35">
    <cfRule type="cellIs" dxfId="13" priority="13" stopIfTrue="1" operator="equal">
      <formula>"Rouge…"</formula>
    </cfRule>
  </conditionalFormatting>
  <conditionalFormatting sqref="H26:M26">
    <cfRule type="expression" dxfId="12" priority="41" stopIfTrue="1">
      <formula>Nb_sat="0 satellite"</formula>
    </cfRule>
  </conditionalFormatting>
  <conditionalFormatting sqref="J29 J47">
    <cfRule type="expression" dxfId="11" priority="6" stopIfTrue="1">
      <formula>AND(Portee_balistique&gt;200,LEFT(Type_propu,4)="Mini")</formula>
    </cfRule>
  </conditionalFormatting>
  <conditionalFormatting sqref="K24 K43">
    <cfRule type="expression" dxfId="10" priority="44" stopIfTrue="1">
      <formula>AND(Vsortie_de_rampe&lt;18, OR(LEFT(Type_fusee,1)=",",LEFT(Type_fusee,4)="Mini",LEFT(Type_fusee,1)="R"))</formula>
    </cfRule>
    <cfRule type="expression" dxfId="9" priority="45" stopIfTrue="1">
      <formula>AND(Vsortie_de_rampe&lt;20, RIGHT(Type_fusee,1)=".")</formula>
    </cfRule>
  </conditionalFormatting>
  <conditionalFormatting sqref="K42">
    <cfRule type="expression" dxfId="8" priority="34" stopIfTrue="1">
      <formula>AND( $K$22=0, OR( $I$22&gt;0, $J$22&gt;0 ) )</formula>
    </cfRule>
  </conditionalFormatting>
  <conditionalFormatting sqref="N35">
    <cfRule type="expression" dxfId="7" priority="15" stopIfTrue="1">
      <formula>ROUND(SUM(C24:L36),0)=2221</formula>
    </cfRule>
  </conditionalFormatting>
  <conditionalFormatting sqref="N36">
    <cfRule type="expression" dxfId="6" priority="244" stopIfTrue="1">
      <formula>$N$36="propu NOK"</formula>
    </cfRule>
  </conditionalFormatting>
  <dataValidations count="15">
    <dataValidation type="decimal" operator="greaterThanOrEqual" showErrorMessage="1" sqref="H42:K42 C31 D27:D29 C27" xr:uid="{00000000-0002-0000-0100-000000000000}">
      <formula1>0</formula1>
    </dataValidation>
    <dataValidation type="list" allowBlank="1" showInputMessage="1" showErrorMessage="1" sqref="H52" xr:uid="{00000000-0002-0000-0100-000001000000}">
      <formula1>gao</formula1>
    </dataValidation>
    <dataValidation operator="greaterThanOrEqual" showErrorMessage="1" sqref="D31 C29" xr:uid="{00000000-0002-0000-0100-000002000000}"/>
    <dataValidation type="decimal" errorStyle="warning" allowBlank="1" showErrorMessage="1" errorTitle="Cx para" error="Le Cx du parachute est souvent compris entre 0 et 2._x000a_Cx of parachute might be between 0 a 2." sqref="C30:D30" xr:uid="{00000000-0002-0000-0100-000003000000}">
      <formula1>0</formula1>
      <formula2>2</formula2>
    </dataValidation>
    <dataValidation sqref="C12:D12" xr:uid="{00000000-0002-0000-0100-000004000000}"/>
    <dataValidation operator="greaterThanOrEqual" sqref="C11:D11" xr:uid="{00000000-0002-0000-0100-000005000000}"/>
    <dataValidation type="decimal" errorStyle="warning" showErrorMessage="1" errorTitle="Cx" error="Le Cx est souvent compris entre 0,3 et 0,7._x000a_Cx may be between 0,3 &amp; 0,7." sqref="C16:D16" xr:uid="{00000000-0002-0000-0100-000006000000}">
      <formula1>0.3</formula1>
      <formula2>0.7</formula2>
    </dataValidation>
    <dataValidation type="decimal" operator="greaterThanOrEqual" allowBlank="1" showErrorMessage="1" sqref="C19:D19" xr:uid="{00000000-0002-0000-0100-000007000000}">
      <formula1>0</formula1>
    </dataValidation>
    <dataValidation type="decimal" errorStyle="information" allowBlank="1" showInputMessage="1" showErrorMessage="1" errorTitle="Angle de la rampe" error="Il est conseillé d'incliner à rampe entre 75° et 85° par rapport à l'horizontale._x000a_This Angle is recommended between 75° &amp; 85°." sqref="C20:D20" xr:uid="{00000000-0002-0000-0100-000008000000}">
      <formula1>75</formula1>
      <formula2>85</formula2>
    </dataValidation>
    <dataValidation type="whole" operator="greaterThanOrEqual" allowBlank="1" showErrorMessage="1" sqref="C21:D21" xr:uid="{00000000-0002-0000-0100-000009000000}">
      <formula1>0</formula1>
    </dataValidation>
    <dataValidation type="whole" allowBlank="1" showErrorMessage="1" sqref="M42" xr:uid="{00000000-0002-0000-0100-00000A000000}">
      <formula1>-360</formula1>
      <formula2>360</formula2>
    </dataValidation>
    <dataValidation type="list" showInputMessage="1" showErrorMessage="1" sqref="D24" xr:uid="{00000000-0002-0000-0100-00000B000000}">
      <formula1>Menu_sat</formula1>
    </dataValidation>
    <dataValidation type="whole" operator="greaterThanOrEqual" showErrorMessage="1" sqref="B44 B46 B52 B54" xr:uid="{00000000-0002-0000-0100-00000C000000}">
      <formula1>0</formula1>
    </dataValidation>
    <dataValidation type="list" showInputMessage="1" showErrorMessage="1" sqref="C26" xr:uid="{00000000-0002-0000-0100-00000D000000}">
      <formula1>IF(Depotage&lt;&gt;0,IF(LEFT(Type_propu,5)="Micro",$F$110,$F$105:$F$110),$F$104)</formula1>
    </dataValidation>
    <dataValidation type="list" operator="greaterThanOrEqual" showErrorMessage="1" sqref="C28" xr:uid="{901BEB42-9630-4910-AFF4-B844211D2B99}">
      <formula1>Liste_Type_para</formula1>
    </dataValidation>
  </dataValidations>
  <hyperlinks>
    <hyperlink ref="B12" location="Stabilito!C17" display="Stabilito!C17" xr:uid="{00000000-0004-0000-0100-000000000000}"/>
  </hyperlinks>
  <printOptions horizontalCentered="1" verticalCentered="1"/>
  <pageMargins left="7.874015748031496E-2" right="7.874015748031496E-2" top="7.874015748031496E-2" bottom="7.874015748031496E-2" header="0" footer="0"/>
  <pageSetup paperSize="9" firstPageNumber="0" orientation="landscape" horizontalDpi="300" verticalDpi="300" r:id="rId1"/>
  <headerFooter alignWithMargins="0"/>
  <ignoredErrors>
    <ignoredError sqref="B127:B133 B139:B150 C152 C154 C139:C141 C143:C150 C127:C133" formula="1"/>
    <ignoredError sqref="H46:I46 H49 J46:M46" evalError="1"/>
    <ignoredError sqref="G105:G109" numberStoredAsText="1"/>
    <ignoredError sqref="D25" unlockedFormula="1"/>
  </ignoredErrors>
  <drawing r:id="rId2"/>
  <legacyDrawing r:id="rId3"/>
  <oleObjects>
    <mc:AlternateContent xmlns:mc="http://schemas.openxmlformats.org/markup-compatibility/2006">
      <mc:Choice Requires="x14">
        <oleObject progId="Equation.3" shapeId="1425294" r:id="rId4">
          <objectPr defaultSize="0" autoPict="0" r:id="rId5">
            <anchor moveWithCells="1">
              <from>
                <xdr:col>1</xdr:col>
                <xdr:colOff>28575</xdr:colOff>
                <xdr:row>94</xdr:row>
                <xdr:rowOff>76200</xdr:rowOff>
              </from>
              <to>
                <xdr:col>3</xdr:col>
                <xdr:colOff>762000</xdr:colOff>
                <xdr:row>100</xdr:row>
                <xdr:rowOff>95250</xdr:rowOff>
              </to>
            </anchor>
          </objectPr>
        </oleObject>
      </mc:Choice>
      <mc:Fallback>
        <oleObject progId="Equation.3" shapeId="1425294" r:id="rId4"/>
      </mc:Fallback>
    </mc:AlternateContent>
  </oleObjects>
  <mc:AlternateContent xmlns:mc="http://schemas.openxmlformats.org/markup-compatibility/2006">
    <mc:Choice Requires="x14">
      <controls>
        <mc:AlternateContent xmlns:mc="http://schemas.openxmlformats.org/markup-compatibility/2006">
          <mc:Choice Requires="x14">
            <control shapeId="1424424" r:id="rId6" name="Spinner 1064">
              <controlPr defaultSize="0" print="0" autoPict="0">
                <anchor moveWithCells="1" sizeWithCells="1">
                  <from>
                    <xdr:col>3</xdr:col>
                    <xdr:colOff>647700</xdr:colOff>
                    <xdr:row>9</xdr:row>
                    <xdr:rowOff>161925</xdr:rowOff>
                  </from>
                  <to>
                    <xdr:col>4</xdr:col>
                    <xdr:colOff>0</xdr:colOff>
                    <xdr:row>11</xdr:row>
                    <xdr:rowOff>9525</xdr:rowOff>
                  </to>
                </anchor>
              </controlPr>
            </control>
          </mc:Choice>
        </mc:AlternateContent>
        <mc:AlternateContent xmlns:mc="http://schemas.openxmlformats.org/markup-compatibility/2006">
          <mc:Choice Requires="x14">
            <control shapeId="1424589" r:id="rId7" name="Spinner 1229">
              <controlPr defaultSize="0" print="0" autoPict="0">
                <anchor moveWithCells="1" sizeWithCells="1">
                  <from>
                    <xdr:col>1</xdr:col>
                    <xdr:colOff>1181100</xdr:colOff>
                    <xdr:row>43</xdr:row>
                    <xdr:rowOff>9525</xdr:rowOff>
                  </from>
                  <to>
                    <xdr:col>2</xdr:col>
                    <xdr:colOff>0</xdr:colOff>
                    <xdr:row>44</xdr:row>
                    <xdr:rowOff>0</xdr:rowOff>
                  </to>
                </anchor>
              </controlPr>
            </control>
          </mc:Choice>
        </mc:AlternateContent>
        <mc:AlternateContent xmlns:mc="http://schemas.openxmlformats.org/markup-compatibility/2006">
          <mc:Choice Requires="x14">
            <control shapeId="1424590" r:id="rId8" name="Spinner 1230">
              <controlPr defaultSize="0" print="0" autoPict="0">
                <anchor moveWithCells="1" sizeWithCells="1">
                  <from>
                    <xdr:col>1</xdr:col>
                    <xdr:colOff>1181100</xdr:colOff>
                    <xdr:row>45</xdr:row>
                    <xdr:rowOff>9525</xdr:rowOff>
                  </from>
                  <to>
                    <xdr:col>2</xdr:col>
                    <xdr:colOff>0</xdr:colOff>
                    <xdr:row>46</xdr:row>
                    <xdr:rowOff>0</xdr:rowOff>
                  </to>
                </anchor>
              </controlPr>
            </control>
          </mc:Choice>
        </mc:AlternateContent>
        <mc:AlternateContent xmlns:mc="http://schemas.openxmlformats.org/markup-compatibility/2006">
          <mc:Choice Requires="x14">
            <control shapeId="1424591" r:id="rId9" name="Spinner 1231">
              <controlPr defaultSize="0" print="0" autoPict="0">
                <anchor moveWithCells="1" sizeWithCells="1">
                  <from>
                    <xdr:col>1</xdr:col>
                    <xdr:colOff>1181100</xdr:colOff>
                    <xdr:row>51</xdr:row>
                    <xdr:rowOff>9525</xdr:rowOff>
                  </from>
                  <to>
                    <xdr:col>2</xdr:col>
                    <xdr:colOff>0</xdr:colOff>
                    <xdr:row>52</xdr:row>
                    <xdr:rowOff>0</xdr:rowOff>
                  </to>
                </anchor>
              </controlPr>
            </control>
          </mc:Choice>
        </mc:AlternateContent>
        <mc:AlternateContent xmlns:mc="http://schemas.openxmlformats.org/markup-compatibility/2006">
          <mc:Choice Requires="x14">
            <control shapeId="4779462" r:id="rId10" name="Spinner 4550">
              <controlPr defaultSize="0" print="0" autoPict="0">
                <anchor moveWithCells="1" sizeWithCells="1">
                  <from>
                    <xdr:col>1</xdr:col>
                    <xdr:colOff>1181100</xdr:colOff>
                    <xdr:row>53</xdr:row>
                    <xdr:rowOff>9525</xdr:rowOff>
                  </from>
                  <to>
                    <xdr:col>2</xdr:col>
                    <xdr:colOff>0</xdr:colOff>
                    <xdr:row>54</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pageSetUpPr fitToPage="1"/>
  </sheetPr>
  <dimension ref="B75:B146"/>
  <sheetViews>
    <sheetView showGridLines="0" zoomScaleNormal="100" workbookViewId="0">
      <selection activeCell="M48" sqref="M48"/>
    </sheetView>
  </sheetViews>
  <sheetFormatPr baseColWidth="10" defaultRowHeight="12.75" x14ac:dyDescent="0.2"/>
  <sheetData>
    <row r="75" spans="2:2" x14ac:dyDescent="0.2">
      <c r="B75" t="s">
        <v>43</v>
      </c>
    </row>
    <row r="76" spans="2:2" x14ac:dyDescent="0.2">
      <c r="B76" t="str">
        <f>IF(Lang="Français","Ces courbes représentent la trajectoire de la fusée dans l'hypothèse d'une descente balistique (sans ouverture du parachute). ","These curves show the rocket trajectory in case of ballistic fall (without parachute).")</f>
        <v xml:space="preserve">Ces courbes représentent la trajectoire de la fusée dans l'hypothèse d'une descente balistique (sans ouverture du parachute). </v>
      </c>
    </row>
    <row r="77" spans="2:2" x14ac:dyDescent="0.2">
      <c r="B77" t="str">
        <f>IF(Lang="Français","L'accélération longitudinale gravitationnelle définit le mouvement (dérivée de la vitesse) : Acc = (Poussee - Traînée ± Poids) / m",IF(Lang="English","Longitudinal Gravitaionnal Acceleration defines the motion (velocity derivative) : Acc = (Thrust - Drag ± Weight)/m",""))</f>
        <v>L'accélération longitudinale gravitationnelle définit le mouvement (dérivée de la vitesse) : Acc = (Poussee - Traînée ± Poids) / m</v>
      </c>
    </row>
    <row r="78" spans="2:2" x14ac:dyDescent="0.2">
      <c r="B78" t="str">
        <f>IF(Lang="Français","La charge ''non-gravitationnelle'' vue par un capteur d'accélération (masse-ressort) est : Charge = (Poussée - Traînée) / m",IF(Lang="English","''Non-Gravitaionnal'' Load seen by an acceleration sensor (mass-spring) is : Load = (Thrust - Drag) / m",""))</f>
        <v>La charge ''non-gravitationnelle'' vue par un capteur d'accélération (masse-ressort) est : Charge = (Poussée - Traînée) / m</v>
      </c>
    </row>
    <row r="79" spans="2:2" x14ac:dyDescent="0.2">
      <c r="B79" t="str">
        <f>IF(Lang="Français","Exemples : Si Poussée = Poids, Vitesse constante, Acc nulle, Charge = 1G ; En chute libre, Acc = -1G, Charge = 0",IF(Lang="English","",""))</f>
        <v>Exemples : Si Poussée = Poids, Vitesse constante, Acc nulle, Charge = 1G ; En chute libre, Acc = -1G, Charge = 0</v>
      </c>
    </row>
    <row r="131" spans="2:2" x14ac:dyDescent="0.2">
      <c r="B131" s="24" t="str">
        <f>IF(Lang="Français","Textes pour les graphiques :","Texts for graphics :")</f>
        <v>Textes pour les graphiques :</v>
      </c>
    </row>
    <row r="133" spans="2:2" x14ac:dyDescent="0.2">
      <c r="B133" t="str">
        <f>IF(Lang="Français","Traînée",IF(Lang="English","Drag",""))</f>
        <v>Traînée</v>
      </c>
    </row>
    <row r="134" spans="2:2" x14ac:dyDescent="0.2">
      <c r="B134" t="str">
        <f>IF(Lang="Français","Poussée",IF(Lang="English","Thrust",""))</f>
        <v>Poussée</v>
      </c>
    </row>
    <row r="135" spans="2:2" x14ac:dyDescent="0.2">
      <c r="B135" t="str">
        <f>IF(Lang="Français","Poids",IF(Lang="English","Weight",""))</f>
        <v>Poids</v>
      </c>
    </row>
    <row r="137" spans="2:2" x14ac:dyDescent="0.2">
      <c r="B137" t="str">
        <f>IF(Lang="Français","Accélération longitudinale",IF(Lang="English","Longitudinal Acceleration",""))</f>
        <v>Accélération longitudinale</v>
      </c>
    </row>
    <row r="138" spans="2:2" x14ac:dyDescent="0.2">
      <c r="B138" t="str">
        <f>IF(Lang="Français","Charge vue par un capteur",IF(Lang="English","Load seen by a sensor",""))</f>
        <v>Charge vue par un capteur</v>
      </c>
    </row>
    <row r="140" spans="2:2" x14ac:dyDescent="0.2">
      <c r="B140" t="str">
        <f>IF(Lang="Français","Vitesse",IF(Lang="English","Velocity",""))</f>
        <v>Vitesse</v>
      </c>
    </row>
    <row r="141" spans="2:2" x14ac:dyDescent="0.2">
      <c r="B141" t="str">
        <f>IF(Lang="Français","Vitesse [m/s]",IF(Lang="English","Velocity [m/s]",""))</f>
        <v>Vitesse [m/s]</v>
      </c>
    </row>
    <row r="143" spans="2:2" x14ac:dyDescent="0.2">
      <c r="B143" t="s">
        <v>6</v>
      </c>
    </row>
    <row r="144" spans="2:2" x14ac:dyDescent="0.2">
      <c r="B144" t="str">
        <f>IF(Lang="Français","Portée",IF(Lang="English","Range",""))</f>
        <v>Portée</v>
      </c>
    </row>
    <row r="146" spans="2:2" x14ac:dyDescent="0.2">
      <c r="B146" t="str">
        <f>IF(Lang="Français","Temps [s]",IF(Lang="English","Time [s]",""))</f>
        <v>Temps [s]</v>
      </c>
    </row>
  </sheetData>
  <sheetProtection password="C6AC" sheet="1"/>
  <phoneticPr fontId="8" type="noConversion"/>
  <printOptions horizontalCentered="1" verticalCentered="1"/>
  <pageMargins left="0.39370078740157483" right="0.39370078740157483" top="0.39370078740157483" bottom="0.39370078740157483" header="0" footer="0"/>
  <pageSetup scale="76" firstPageNumber="0"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5">
    <pageSetUpPr fitToPage="1"/>
  </sheetPr>
  <dimension ref="A1:Z346"/>
  <sheetViews>
    <sheetView showGridLines="0" zoomScale="80" zoomScaleNormal="80" workbookViewId="0">
      <selection activeCell="B2" sqref="B2"/>
    </sheetView>
  </sheetViews>
  <sheetFormatPr baseColWidth="10" defaultRowHeight="12.75" x14ac:dyDescent="0.2"/>
  <cols>
    <col min="1" max="1" width="22.5703125" bestFit="1" customWidth="1"/>
  </cols>
  <sheetData>
    <row r="1" spans="1:26" ht="13.5" thickBot="1" x14ac:dyDescent="0.25">
      <c r="A1" s="362" t="str">
        <f>IF(Lang="Français","Moteur sélectionné","Selected motor")</f>
        <v>Moteur sélectionné</v>
      </c>
      <c r="B1" s="362" t="s">
        <v>32</v>
      </c>
    </row>
    <row r="2" spans="1:26" ht="13.5" thickBot="1" x14ac:dyDescent="0.25">
      <c r="A2" s="352" t="str">
        <f>Propu</f>
        <v>Pro54-5G WT</v>
      </c>
      <c r="B2" s="352">
        <f>VLOOKUP(A2,A26:B314,2,FALSE)</f>
        <v>284</v>
      </c>
      <c r="C2" s="363" t="s">
        <v>115</v>
      </c>
      <c r="D2" s="353">
        <f ca="1">INDIRECT(ADDRESS(B2,4))</f>
        <v>1998.2428999999995</v>
      </c>
      <c r="E2" s="363" t="s">
        <v>114</v>
      </c>
      <c r="F2" s="354">
        <f ca="1">INDIRECT(ADDRESS(B2,6))</f>
        <v>207.42819268753979</v>
      </c>
      <c r="G2" s="363" t="s">
        <v>56</v>
      </c>
      <c r="H2" s="355">
        <f ca="1">INDIRECT(ADDRESS(B2,8))</f>
        <v>1.6319999999999999</v>
      </c>
      <c r="I2" s="363" t="s">
        <v>273</v>
      </c>
      <c r="J2" s="356">
        <f ca="1">INDIRECT(ADDRESS(B2,10))</f>
        <v>0.98199999999999987</v>
      </c>
      <c r="K2" s="363" t="s">
        <v>58</v>
      </c>
      <c r="L2" s="355">
        <f ca="1">INDIRECT(ADDRESS(B2,12))</f>
        <v>0.65</v>
      </c>
      <c r="M2" s="363" t="s">
        <v>57</v>
      </c>
      <c r="N2" s="357">
        <f ca="1">INDIRECT(ADDRESS(B2,14))</f>
        <v>250</v>
      </c>
      <c r="O2" s="363" t="s">
        <v>59</v>
      </c>
      <c r="P2" s="357">
        <f ca="1">INDIRECT(ADDRESS(B2,16))</f>
        <v>240</v>
      </c>
      <c r="Q2" s="363" t="s">
        <v>60</v>
      </c>
      <c r="R2" s="357">
        <f ca="1">INDIRECT(ADDRESS(B2,18))</f>
        <v>488</v>
      </c>
      <c r="S2" s="363" t="s">
        <v>61</v>
      </c>
      <c r="T2" s="357">
        <f ca="1">INDIRECT(ADDRESS(B2,20))</f>
        <v>54</v>
      </c>
      <c r="U2" s="363" t="s">
        <v>54</v>
      </c>
      <c r="V2" s="358" t="str">
        <f ca="1">INDIRECT(ADDRESS(B2,22))</f>
        <v>Fusex</v>
      </c>
      <c r="W2" s="463" t="s">
        <v>394</v>
      </c>
      <c r="X2" s="464">
        <f ca="1">INDIRECT(ADDRESS(B2,24))</f>
        <v>0</v>
      </c>
      <c r="Y2" s="463" t="s">
        <v>393</v>
      </c>
      <c r="Z2" s="358">
        <f ca="1">INDIRECT(ADDRESS(B2,26))</f>
        <v>0</v>
      </c>
    </row>
    <row r="3" spans="1:26" x14ac:dyDescent="0.2">
      <c r="A3" s="362" t="str">
        <f>IF(Lang="Français","Temps (en s)","Time (s)")</f>
        <v>Temps (en s)</v>
      </c>
      <c r="B3" s="364">
        <f t="shared" ref="B3:Y3" ca="1" si="0">INDIRECT(ADDRESS($B2+1,COLUMN(B3)))</f>
        <v>0</v>
      </c>
      <c r="C3" s="365">
        <f t="shared" ca="1" si="0"/>
        <v>0.01</v>
      </c>
      <c r="D3" s="365">
        <f t="shared" ca="1" si="0"/>
        <v>0.02</v>
      </c>
      <c r="E3" s="365">
        <f t="shared" ca="1" si="0"/>
        <v>0.05</v>
      </c>
      <c r="F3" s="365">
        <f t="shared" ca="1" si="0"/>
        <v>0.1</v>
      </c>
      <c r="G3" s="365">
        <f t="shared" ca="1" si="0"/>
        <v>0.2</v>
      </c>
      <c r="H3" s="365">
        <f t="shared" ca="1" si="0"/>
        <v>0.4</v>
      </c>
      <c r="I3" s="365">
        <f t="shared" ca="1" si="0"/>
        <v>0.8</v>
      </c>
      <c r="J3" s="365">
        <f t="shared" ca="1" si="0"/>
        <v>0.9</v>
      </c>
      <c r="K3" s="365">
        <f t="shared" ca="1" si="0"/>
        <v>1</v>
      </c>
      <c r="L3" s="365">
        <f t="shared" ca="1" si="0"/>
        <v>1.1000000000000001</v>
      </c>
      <c r="M3" s="365">
        <f t="shared" ca="1" si="0"/>
        <v>1.2</v>
      </c>
      <c r="N3" s="365">
        <f t="shared" ca="1" si="0"/>
        <v>1.3</v>
      </c>
      <c r="O3" s="365">
        <f t="shared" ca="1" si="0"/>
        <v>1.4</v>
      </c>
      <c r="P3" s="365">
        <f t="shared" ca="1" si="0"/>
        <v>1.55</v>
      </c>
      <c r="Q3" s="365">
        <f t="shared" ca="1" si="0"/>
        <v>1.6</v>
      </c>
      <c r="R3" s="365">
        <f t="shared" ca="1" si="0"/>
        <v>1.62</v>
      </c>
      <c r="S3" s="365">
        <f t="shared" ca="1" si="0"/>
        <v>1.64</v>
      </c>
      <c r="T3" s="365">
        <f t="shared" ca="1" si="0"/>
        <v>1.66</v>
      </c>
      <c r="U3" s="365">
        <f t="shared" ca="1" si="0"/>
        <v>1.67</v>
      </c>
      <c r="V3" s="365">
        <f t="shared" ca="1" si="0"/>
        <v>1.68</v>
      </c>
      <c r="W3" s="365">
        <f t="shared" ca="1" si="0"/>
        <v>1.69</v>
      </c>
      <c r="X3" s="365">
        <f ca="1">INDIRECT(ADDRESS($B2+1,COLUMN(X3)))</f>
        <v>1.7</v>
      </c>
      <c r="Y3" s="366">
        <f t="shared" ca="1" si="0"/>
        <v>1000</v>
      </c>
    </row>
    <row r="4" spans="1:26" ht="13.5" thickBot="1" x14ac:dyDescent="0.25">
      <c r="A4" s="379" t="str">
        <f>IF(Lang="Français","Poussée (en N)","Thrust (N)")</f>
        <v>Poussée (en N)</v>
      </c>
      <c r="B4" s="367">
        <f t="shared" ref="B4:Y4" ca="1" si="1">INDIRECT(ADDRESS($B2+2,COLUMN(B3)))</f>
        <v>0</v>
      </c>
      <c r="C4" s="368">
        <f t="shared" ca="1" si="1"/>
        <v>492.25</v>
      </c>
      <c r="D4" s="368">
        <f t="shared" ca="1" si="1"/>
        <v>1369.46</v>
      </c>
      <c r="E4" s="368">
        <f t="shared" ca="1" si="1"/>
        <v>1236.01</v>
      </c>
      <c r="F4" s="368">
        <f t="shared" ca="1" si="1"/>
        <v>1279.47</v>
      </c>
      <c r="G4" s="368">
        <f t="shared" ca="1" si="1"/>
        <v>1311.39</v>
      </c>
      <c r="H4" s="368">
        <f t="shared" ca="1" si="1"/>
        <v>1331.39</v>
      </c>
      <c r="I4" s="368">
        <f t="shared" ca="1" si="1"/>
        <v>1304.08</v>
      </c>
      <c r="J4" s="368">
        <f t="shared" ca="1" si="1"/>
        <v>1280.6199999999999</v>
      </c>
      <c r="K4" s="368">
        <f t="shared" ca="1" si="1"/>
        <v>1249.8599999999999</v>
      </c>
      <c r="L4" s="368">
        <f t="shared" ca="1" si="1"/>
        <v>1217.94</v>
      </c>
      <c r="M4" s="368">
        <f t="shared" ca="1" si="1"/>
        <v>1199.29</v>
      </c>
      <c r="N4" s="368">
        <f t="shared" ca="1" si="1"/>
        <v>1158.77</v>
      </c>
      <c r="O4" s="368">
        <f t="shared" ca="1" si="1"/>
        <v>1112.56</v>
      </c>
      <c r="P4" s="368">
        <f t="shared" ca="1" si="1"/>
        <v>941.81</v>
      </c>
      <c r="Q4" s="368">
        <f t="shared" ca="1" si="1"/>
        <v>726.07</v>
      </c>
      <c r="R4" s="368">
        <f t="shared" ca="1" si="1"/>
        <v>559.16999999999996</v>
      </c>
      <c r="S4" s="368">
        <f t="shared" ca="1" si="1"/>
        <v>399.95</v>
      </c>
      <c r="T4" s="368">
        <f t="shared" ca="1" si="1"/>
        <v>317.66000000000003</v>
      </c>
      <c r="U4" s="368">
        <f t="shared" ca="1" si="1"/>
        <v>247.28</v>
      </c>
      <c r="V4" s="368">
        <f t="shared" ca="1" si="1"/>
        <v>198.05</v>
      </c>
      <c r="W4" s="368">
        <f t="shared" ca="1" si="1"/>
        <v>67.3</v>
      </c>
      <c r="X4" s="368">
        <f ca="1">INDIRECT(ADDRESS($B2+2,COLUMN(X3)))</f>
        <v>0</v>
      </c>
      <c r="Y4" s="369">
        <f t="shared" ca="1" si="1"/>
        <v>0</v>
      </c>
    </row>
    <row r="5" spans="1:26" x14ac:dyDescent="0.2">
      <c r="B5" s="12"/>
      <c r="C5" s="12"/>
      <c r="D5" s="12"/>
      <c r="E5" s="12"/>
      <c r="F5" s="12"/>
      <c r="G5" s="12"/>
      <c r="H5" s="12"/>
      <c r="I5" s="12"/>
      <c r="J5" s="12"/>
      <c r="K5" s="12"/>
      <c r="L5" s="12"/>
      <c r="M5" s="12"/>
      <c r="N5" s="12"/>
      <c r="O5" s="12"/>
      <c r="P5" s="12"/>
      <c r="Q5" s="12"/>
      <c r="R5" s="12"/>
      <c r="S5" s="12"/>
      <c r="T5" s="12"/>
      <c r="U5" s="12"/>
      <c r="V5" s="12"/>
      <c r="W5" s="12"/>
      <c r="X5" s="12"/>
      <c r="Y5" s="12"/>
    </row>
    <row r="6" spans="1:26" x14ac:dyDescent="0.2">
      <c r="B6" s="12"/>
      <c r="C6" s="12"/>
      <c r="D6" s="12"/>
      <c r="E6" s="12"/>
      <c r="F6" s="12"/>
      <c r="G6" s="12"/>
      <c r="H6" s="12"/>
      <c r="I6" s="12"/>
      <c r="J6" s="12"/>
      <c r="K6" s="12"/>
      <c r="L6" s="12"/>
      <c r="M6" s="12"/>
      <c r="N6" s="12"/>
      <c r="O6" s="12"/>
      <c r="P6" s="12"/>
      <c r="Q6" s="12"/>
      <c r="R6" s="12"/>
      <c r="S6" s="12"/>
      <c r="T6" s="12"/>
      <c r="U6" s="12"/>
      <c r="V6" s="12"/>
      <c r="W6" s="12"/>
      <c r="X6" s="12"/>
      <c r="Y6" s="12"/>
    </row>
    <row r="7" spans="1:26" x14ac:dyDescent="0.2">
      <c r="B7" s="12"/>
      <c r="C7" s="12"/>
      <c r="D7" s="12"/>
      <c r="E7" s="12"/>
      <c r="F7" s="12"/>
      <c r="G7" s="12"/>
      <c r="H7" s="12"/>
      <c r="I7" s="12"/>
      <c r="J7" s="12"/>
      <c r="K7" s="12"/>
      <c r="L7" s="12"/>
      <c r="M7" s="12"/>
    </row>
    <row r="8" spans="1:26" x14ac:dyDescent="0.2">
      <c r="B8" s="12"/>
      <c r="C8" s="12"/>
      <c r="D8" s="12"/>
      <c r="E8" s="12"/>
      <c r="F8" s="12"/>
      <c r="G8" s="12"/>
      <c r="H8" s="12"/>
      <c r="I8" s="12"/>
      <c r="J8" s="12"/>
      <c r="K8" s="12"/>
      <c r="L8" s="12"/>
      <c r="M8" s="12"/>
    </row>
    <row r="9" spans="1:26" x14ac:dyDescent="0.2">
      <c r="B9" s="12"/>
      <c r="C9" s="12"/>
      <c r="D9" s="12"/>
      <c r="E9" s="12"/>
      <c r="F9" s="12"/>
      <c r="G9" s="12"/>
      <c r="H9" s="12"/>
      <c r="I9" s="12"/>
      <c r="J9" s="12"/>
      <c r="K9" s="12"/>
      <c r="L9" s="12"/>
      <c r="M9" s="12"/>
    </row>
    <row r="10" spans="1:26" x14ac:dyDescent="0.2">
      <c r="B10" s="12"/>
      <c r="C10" s="12"/>
      <c r="D10" s="12"/>
      <c r="E10" s="12"/>
      <c r="F10" s="12"/>
      <c r="G10" s="12"/>
      <c r="H10" s="12"/>
      <c r="I10" s="12"/>
      <c r="J10" s="12"/>
    </row>
    <row r="11" spans="1:26" x14ac:dyDescent="0.2">
      <c r="B11" s="12"/>
      <c r="C11" s="12"/>
      <c r="D11" s="12"/>
      <c r="E11" s="12"/>
      <c r="F11" s="12"/>
      <c r="G11" s="12"/>
      <c r="H11" s="12"/>
      <c r="I11" s="12"/>
      <c r="J11" s="12"/>
    </row>
    <row r="12" spans="1:26" x14ac:dyDescent="0.2">
      <c r="B12" s="12"/>
      <c r="C12" s="12"/>
      <c r="D12" s="12"/>
      <c r="E12" s="12"/>
      <c r="F12" s="12"/>
      <c r="G12" s="12"/>
      <c r="H12" s="12"/>
      <c r="I12" s="12"/>
      <c r="J12" s="12"/>
    </row>
    <row r="13" spans="1:26" x14ac:dyDescent="0.2">
      <c r="B13" s="12"/>
      <c r="C13" s="12"/>
      <c r="D13" s="12"/>
      <c r="E13" s="12"/>
      <c r="F13" s="12"/>
      <c r="G13" s="12"/>
      <c r="H13" s="12"/>
      <c r="I13" s="12"/>
      <c r="J13" s="12"/>
    </row>
    <row r="14" spans="1:26" x14ac:dyDescent="0.2">
      <c r="B14" s="12"/>
      <c r="C14" s="12"/>
      <c r="D14" s="12"/>
      <c r="E14" s="12"/>
      <c r="F14" s="12"/>
      <c r="G14" s="12"/>
      <c r="H14" s="12"/>
      <c r="I14" s="12"/>
      <c r="J14" s="12"/>
    </row>
    <row r="15" spans="1:26" x14ac:dyDescent="0.2">
      <c r="B15" s="12"/>
      <c r="C15" s="12"/>
      <c r="D15" s="12"/>
      <c r="E15" s="12"/>
      <c r="F15" s="12"/>
      <c r="G15" s="12"/>
      <c r="H15" s="12"/>
      <c r="I15" s="12"/>
      <c r="J15" s="12"/>
      <c r="K15" s="12"/>
      <c r="L15" s="12"/>
      <c r="M15" s="12"/>
    </row>
    <row r="16" spans="1:26" x14ac:dyDescent="0.2">
      <c r="B16" s="12"/>
      <c r="C16" s="12"/>
      <c r="D16" s="12"/>
      <c r="E16" s="12"/>
      <c r="F16" s="12"/>
      <c r="G16" s="12"/>
      <c r="H16" s="12"/>
      <c r="I16" s="12"/>
      <c r="J16" s="12"/>
      <c r="K16" s="12"/>
      <c r="L16" s="12"/>
      <c r="M16" s="12"/>
    </row>
    <row r="17" spans="1:25" x14ac:dyDescent="0.2">
      <c r="B17" s="12"/>
      <c r="C17" s="12"/>
      <c r="D17" s="12"/>
      <c r="E17" s="12"/>
      <c r="F17" s="12"/>
      <c r="G17" s="12"/>
      <c r="H17" s="12"/>
      <c r="I17" s="12"/>
      <c r="J17" s="12"/>
      <c r="K17" s="12"/>
      <c r="L17" s="12"/>
      <c r="M17" s="12"/>
    </row>
    <row r="18" spans="1:25" x14ac:dyDescent="0.2">
      <c r="B18" s="12"/>
      <c r="C18" s="12"/>
      <c r="D18" s="12"/>
      <c r="E18" s="12"/>
      <c r="F18" s="12"/>
      <c r="G18" s="12"/>
      <c r="H18" s="12"/>
      <c r="I18" s="12"/>
      <c r="J18" s="12"/>
      <c r="K18" s="12"/>
      <c r="L18" s="12"/>
      <c r="M18" s="12"/>
      <c r="N18" s="12"/>
      <c r="O18" s="12"/>
      <c r="P18" s="12"/>
      <c r="Q18" s="12"/>
      <c r="R18" s="12"/>
      <c r="S18" s="12"/>
      <c r="T18" s="12"/>
      <c r="U18" s="12"/>
      <c r="V18" s="12"/>
      <c r="W18" s="12"/>
      <c r="X18" s="12"/>
      <c r="Y18" s="12"/>
    </row>
    <row r="19" spans="1:25" x14ac:dyDescent="0.2">
      <c r="B19" s="12"/>
      <c r="C19" s="12"/>
      <c r="D19" s="12"/>
      <c r="E19" s="12"/>
      <c r="F19" s="12"/>
      <c r="G19" s="12"/>
      <c r="H19" s="12"/>
      <c r="I19" s="12"/>
      <c r="J19" s="12"/>
      <c r="K19" s="12"/>
      <c r="L19" s="12"/>
      <c r="M19" s="12"/>
      <c r="N19" s="12"/>
      <c r="O19" s="12"/>
      <c r="P19" s="12"/>
      <c r="Q19" s="12"/>
      <c r="R19" s="12"/>
      <c r="S19" s="12"/>
      <c r="T19" s="12"/>
      <c r="U19" s="12"/>
      <c r="V19" s="12"/>
      <c r="W19" s="12"/>
      <c r="X19" s="12"/>
      <c r="Y19" s="12"/>
    </row>
    <row r="20" spans="1:25" x14ac:dyDescent="0.2">
      <c r="B20" s="12"/>
      <c r="C20" s="12"/>
      <c r="D20" s="12"/>
      <c r="E20" s="12"/>
      <c r="F20" s="12"/>
      <c r="G20" s="12"/>
      <c r="H20" s="12"/>
      <c r="I20" s="12"/>
      <c r="J20" s="12"/>
      <c r="K20" s="12"/>
      <c r="L20" s="12"/>
      <c r="M20" s="12"/>
      <c r="N20" s="12"/>
      <c r="O20" s="12"/>
      <c r="P20" s="12"/>
      <c r="Q20" s="12"/>
      <c r="R20" s="12"/>
      <c r="S20" s="12"/>
      <c r="T20" s="12"/>
      <c r="U20" s="12"/>
      <c r="V20" s="12"/>
      <c r="W20" s="12"/>
      <c r="X20" s="12"/>
      <c r="Y20" s="12"/>
    </row>
    <row r="21" spans="1:25" x14ac:dyDescent="0.2">
      <c r="B21" s="12"/>
      <c r="C21" s="12"/>
      <c r="D21" s="12"/>
      <c r="E21" s="12"/>
      <c r="F21" s="12"/>
      <c r="G21" s="12"/>
      <c r="H21" s="12"/>
      <c r="I21" s="12"/>
      <c r="J21" s="12"/>
      <c r="K21" s="12"/>
      <c r="L21" s="12"/>
      <c r="M21" s="12"/>
      <c r="N21" s="12"/>
      <c r="O21" s="12"/>
      <c r="P21" s="12"/>
      <c r="Q21" s="12"/>
      <c r="R21" s="12"/>
      <c r="S21" s="12"/>
      <c r="T21" s="12"/>
      <c r="U21" s="12"/>
      <c r="V21" s="12"/>
      <c r="W21" s="12"/>
      <c r="X21" s="12"/>
      <c r="Y21" s="12"/>
    </row>
    <row r="22" spans="1:25" x14ac:dyDescent="0.2">
      <c r="B22" s="12"/>
      <c r="C22" s="12"/>
      <c r="D22" s="12"/>
      <c r="E22" s="12"/>
      <c r="F22" s="12"/>
      <c r="G22" s="12"/>
      <c r="H22" s="12"/>
      <c r="I22" s="12"/>
      <c r="J22" s="12"/>
      <c r="K22" s="12"/>
      <c r="L22" s="12"/>
      <c r="M22" s="12"/>
      <c r="N22" s="12"/>
      <c r="O22" s="12"/>
      <c r="P22" s="12"/>
      <c r="Q22" s="12"/>
      <c r="R22" s="12"/>
      <c r="S22" s="12"/>
      <c r="T22" s="12"/>
      <c r="U22" s="12"/>
      <c r="V22" s="12"/>
      <c r="W22" s="12"/>
      <c r="X22" s="12"/>
      <c r="Y22" s="12"/>
    </row>
    <row r="23" spans="1:25" x14ac:dyDescent="0.2">
      <c r="B23" s="12"/>
      <c r="C23" s="12"/>
      <c r="D23" s="12"/>
      <c r="E23" s="12"/>
      <c r="F23" s="12"/>
      <c r="G23" s="12"/>
      <c r="H23" s="12"/>
      <c r="I23" s="12"/>
      <c r="J23" s="12"/>
      <c r="K23" s="12"/>
      <c r="L23" s="12"/>
      <c r="M23" s="12"/>
      <c r="N23" s="12"/>
      <c r="O23" s="12"/>
      <c r="P23" s="12"/>
      <c r="Q23" s="12"/>
      <c r="R23" s="12"/>
      <c r="S23" s="12"/>
      <c r="T23" s="12"/>
      <c r="U23" s="12"/>
      <c r="V23" s="12"/>
      <c r="W23" s="12"/>
      <c r="X23" s="12"/>
      <c r="Y23" s="12"/>
    </row>
    <row r="25" spans="1:25" ht="13.5" thickBot="1" x14ac:dyDescent="0.25">
      <c r="A25" s="6" t="s">
        <v>276</v>
      </c>
    </row>
    <row r="26" spans="1:25" ht="13.5" thickBot="1" x14ac:dyDescent="0.25">
      <c r="A26" s="361" t="s">
        <v>309</v>
      </c>
      <c r="B26" s="359">
        <f>ROW(A26)</f>
        <v>26</v>
      </c>
      <c r="C26" s="363" t="s">
        <v>115</v>
      </c>
      <c r="D26" s="353">
        <f>SUM(B29:Y29)</f>
        <v>9.8449999999999989</v>
      </c>
      <c r="E26" s="363" t="s">
        <v>114</v>
      </c>
      <c r="F26" s="399">
        <f>D26/g/J26</f>
        <v>3.3452259599048584</v>
      </c>
      <c r="G26" s="363" t="s">
        <v>56</v>
      </c>
      <c r="H26" s="64">
        <v>0.3</v>
      </c>
      <c r="I26" s="363" t="s">
        <v>271</v>
      </c>
      <c r="J26" s="355">
        <f>H26-L26</f>
        <v>0.3</v>
      </c>
      <c r="K26" s="363" t="s">
        <v>272</v>
      </c>
      <c r="L26" s="64">
        <v>0</v>
      </c>
      <c r="M26" s="363" t="s">
        <v>57</v>
      </c>
      <c r="N26" s="65">
        <f>0.2*R26</f>
        <v>60</v>
      </c>
      <c r="O26" s="363" t="s">
        <v>59</v>
      </c>
      <c r="P26" s="65">
        <v>150</v>
      </c>
      <c r="Q26" s="363" t="s">
        <v>60</v>
      </c>
      <c r="R26" s="65">
        <v>300</v>
      </c>
      <c r="S26" s="363" t="s">
        <v>61</v>
      </c>
      <c r="T26" s="65">
        <v>90</v>
      </c>
      <c r="U26" s="363" t="s">
        <v>54</v>
      </c>
      <c r="V26" s="66" t="s">
        <v>276</v>
      </c>
      <c r="W26" s="12"/>
      <c r="X26" s="12"/>
      <c r="Y26" s="12"/>
    </row>
    <row r="27" spans="1:25" x14ac:dyDescent="0.2">
      <c r="A27" s="362" t="s">
        <v>33</v>
      </c>
      <c r="B27" s="370">
        <v>0</v>
      </c>
      <c r="C27" s="371">
        <v>1E-3</v>
      </c>
      <c r="D27" s="371">
        <v>0.02</v>
      </c>
      <c r="E27" s="371">
        <v>3.7999999999999999E-2</v>
      </c>
      <c r="F27" s="371">
        <v>0.04</v>
      </c>
      <c r="G27" s="371">
        <v>0.04</v>
      </c>
      <c r="H27" s="371">
        <v>0.04</v>
      </c>
      <c r="I27" s="371">
        <v>0.04</v>
      </c>
      <c r="J27" s="371">
        <v>0.04</v>
      </c>
      <c r="K27" s="371">
        <v>0.04</v>
      </c>
      <c r="L27" s="371">
        <v>0.04</v>
      </c>
      <c r="M27" s="371">
        <v>0.04</v>
      </c>
      <c r="N27" s="371">
        <v>0.04</v>
      </c>
      <c r="O27" s="371">
        <v>0.04</v>
      </c>
      <c r="P27" s="371">
        <v>0.04</v>
      </c>
      <c r="Q27" s="371">
        <v>0.04</v>
      </c>
      <c r="R27" s="371">
        <v>0.04</v>
      </c>
      <c r="S27" s="371">
        <v>0.04</v>
      </c>
      <c r="T27" s="371">
        <v>0.04</v>
      </c>
      <c r="U27" s="371">
        <v>0.04</v>
      </c>
      <c r="V27" s="371">
        <v>0.04</v>
      </c>
      <c r="W27" s="371">
        <v>0.04</v>
      </c>
      <c r="X27" s="371">
        <v>0.04</v>
      </c>
      <c r="Y27" s="381">
        <v>1000</v>
      </c>
    </row>
    <row r="28" spans="1:25" x14ac:dyDescent="0.2">
      <c r="A28" s="378" t="s">
        <v>34</v>
      </c>
      <c r="B28" s="372">
        <v>0</v>
      </c>
      <c r="C28" s="373">
        <v>310</v>
      </c>
      <c r="D28" s="373">
        <v>250</v>
      </c>
      <c r="E28" s="373">
        <v>212</v>
      </c>
      <c r="F28" s="373">
        <v>0</v>
      </c>
      <c r="G28" s="373">
        <v>0</v>
      </c>
      <c r="H28" s="373">
        <v>0</v>
      </c>
      <c r="I28" s="373">
        <v>0</v>
      </c>
      <c r="J28" s="373">
        <v>0</v>
      </c>
      <c r="K28" s="373">
        <v>0</v>
      </c>
      <c r="L28" s="373">
        <v>0</v>
      </c>
      <c r="M28" s="373">
        <v>0</v>
      </c>
      <c r="N28" s="373">
        <v>0</v>
      </c>
      <c r="O28" s="373">
        <v>0</v>
      </c>
      <c r="P28" s="373">
        <v>0</v>
      </c>
      <c r="Q28" s="373">
        <v>0</v>
      </c>
      <c r="R28" s="373">
        <v>0</v>
      </c>
      <c r="S28" s="373">
        <v>0</v>
      </c>
      <c r="T28" s="373">
        <v>0</v>
      </c>
      <c r="U28" s="373">
        <v>0</v>
      </c>
      <c r="V28" s="373">
        <v>0</v>
      </c>
      <c r="W28" s="373">
        <v>0</v>
      </c>
      <c r="X28" s="373">
        <v>0</v>
      </c>
      <c r="Y28" s="382">
        <v>0</v>
      </c>
    </row>
    <row r="29" spans="1:25" ht="13.5" thickBot="1" x14ac:dyDescent="0.25">
      <c r="A29" s="379" t="s">
        <v>116</v>
      </c>
      <c r="B29" s="374">
        <f t="shared" ref="B29:X29" si="2">(C28+B28)*(C27-B27)/2</f>
        <v>0.155</v>
      </c>
      <c r="C29" s="375">
        <f t="shared" si="2"/>
        <v>5.32</v>
      </c>
      <c r="D29" s="375">
        <f t="shared" si="2"/>
        <v>4.1579999999999995</v>
      </c>
      <c r="E29" s="375">
        <f t="shared" si="2"/>
        <v>0.21200000000000019</v>
      </c>
      <c r="F29" s="375">
        <f t="shared" si="2"/>
        <v>0</v>
      </c>
      <c r="G29" s="375">
        <f t="shared" si="2"/>
        <v>0</v>
      </c>
      <c r="H29" s="375">
        <f t="shared" si="2"/>
        <v>0</v>
      </c>
      <c r="I29" s="375">
        <f t="shared" si="2"/>
        <v>0</v>
      </c>
      <c r="J29" s="375">
        <f t="shared" si="2"/>
        <v>0</v>
      </c>
      <c r="K29" s="375">
        <f t="shared" si="2"/>
        <v>0</v>
      </c>
      <c r="L29" s="375">
        <f t="shared" si="2"/>
        <v>0</v>
      </c>
      <c r="M29" s="375">
        <f t="shared" si="2"/>
        <v>0</v>
      </c>
      <c r="N29" s="375">
        <f t="shared" si="2"/>
        <v>0</v>
      </c>
      <c r="O29" s="375">
        <f t="shared" si="2"/>
        <v>0</v>
      </c>
      <c r="P29" s="375">
        <f t="shared" si="2"/>
        <v>0</v>
      </c>
      <c r="Q29" s="375">
        <f t="shared" si="2"/>
        <v>0</v>
      </c>
      <c r="R29" s="375">
        <f t="shared" si="2"/>
        <v>0</v>
      </c>
      <c r="S29" s="375">
        <f t="shared" si="2"/>
        <v>0</v>
      </c>
      <c r="T29" s="375">
        <f t="shared" si="2"/>
        <v>0</v>
      </c>
      <c r="U29" s="375">
        <f t="shared" si="2"/>
        <v>0</v>
      </c>
      <c r="V29" s="375">
        <f t="shared" si="2"/>
        <v>0</v>
      </c>
      <c r="W29" s="375">
        <f t="shared" si="2"/>
        <v>0</v>
      </c>
      <c r="X29" s="375">
        <f t="shared" si="2"/>
        <v>0</v>
      </c>
      <c r="Y29" s="369"/>
    </row>
    <row r="30" spans="1:25" ht="13.5" thickBot="1" x14ac:dyDescent="0.25">
      <c r="A30" s="12"/>
      <c r="L30" s="12"/>
      <c r="M30" s="12"/>
      <c r="N30" s="12"/>
      <c r="O30" s="12"/>
      <c r="P30" s="12"/>
      <c r="Q30" s="12"/>
      <c r="R30" s="12"/>
      <c r="S30" s="12"/>
      <c r="T30" s="12"/>
      <c r="U30" s="12"/>
      <c r="V30" s="12"/>
      <c r="W30" s="12"/>
      <c r="X30" s="12"/>
      <c r="Y30" s="12"/>
    </row>
    <row r="31" spans="1:25" ht="13.5" thickBot="1" x14ac:dyDescent="0.25">
      <c r="A31" s="361" t="s">
        <v>310</v>
      </c>
      <c r="B31" s="359">
        <f>ROW(A31)</f>
        <v>31</v>
      </c>
      <c r="C31" s="363" t="s">
        <v>115</v>
      </c>
      <c r="D31" s="353">
        <f>SUM(B34:Y34)</f>
        <v>13.814500000000002</v>
      </c>
      <c r="E31" s="363" t="s">
        <v>114</v>
      </c>
      <c r="F31" s="399">
        <f>D31/g/J31</f>
        <v>3.1293464718541175</v>
      </c>
      <c r="G31" s="363" t="s">
        <v>56</v>
      </c>
      <c r="H31" s="64">
        <v>0.45</v>
      </c>
      <c r="I31" s="363" t="s">
        <v>271</v>
      </c>
      <c r="J31" s="355">
        <f>H31-L31</f>
        <v>0.45</v>
      </c>
      <c r="K31" s="363" t="s">
        <v>272</v>
      </c>
      <c r="L31" s="64">
        <v>0</v>
      </c>
      <c r="M31" s="363" t="s">
        <v>57</v>
      </c>
      <c r="N31" s="65">
        <f>0.3*R31</f>
        <v>90</v>
      </c>
      <c r="O31" s="363" t="s">
        <v>59</v>
      </c>
      <c r="P31" s="65">
        <v>150</v>
      </c>
      <c r="Q31" s="363" t="s">
        <v>60</v>
      </c>
      <c r="R31" s="65">
        <v>300</v>
      </c>
      <c r="S31" s="363" t="s">
        <v>61</v>
      </c>
      <c r="T31" s="65">
        <v>90</v>
      </c>
      <c r="U31" s="363" t="s">
        <v>54</v>
      </c>
      <c r="V31" s="66" t="s">
        <v>276</v>
      </c>
      <c r="W31" s="12"/>
      <c r="X31" s="12"/>
      <c r="Y31" s="12"/>
    </row>
    <row r="32" spans="1:25" x14ac:dyDescent="0.2">
      <c r="A32" s="362" t="s">
        <v>33</v>
      </c>
      <c r="B32" s="370">
        <v>0</v>
      </c>
      <c r="C32" s="371">
        <v>1E-3</v>
      </c>
      <c r="D32" s="371">
        <v>0.02</v>
      </c>
      <c r="E32" s="371">
        <v>0.04</v>
      </c>
      <c r="F32" s="371">
        <v>6.0999999999999999E-2</v>
      </c>
      <c r="G32" s="371">
        <v>6.2E-2</v>
      </c>
      <c r="H32" s="371">
        <v>6.2E-2</v>
      </c>
      <c r="I32" s="371">
        <v>6.2E-2</v>
      </c>
      <c r="J32" s="371">
        <v>6.2E-2</v>
      </c>
      <c r="K32" s="371">
        <v>6.2E-2</v>
      </c>
      <c r="L32" s="371">
        <v>6.2E-2</v>
      </c>
      <c r="M32" s="371">
        <v>6.2E-2</v>
      </c>
      <c r="N32" s="371">
        <v>6.2E-2</v>
      </c>
      <c r="O32" s="371">
        <v>6.2E-2</v>
      </c>
      <c r="P32" s="371">
        <v>6.2E-2</v>
      </c>
      <c r="Q32" s="371">
        <v>6.2E-2</v>
      </c>
      <c r="R32" s="371">
        <v>6.2E-2</v>
      </c>
      <c r="S32" s="371">
        <v>6.2E-2</v>
      </c>
      <c r="T32" s="371">
        <v>6.2E-2</v>
      </c>
      <c r="U32" s="371">
        <v>6.2E-2</v>
      </c>
      <c r="V32" s="371">
        <v>6.2E-2</v>
      </c>
      <c r="W32" s="371">
        <v>6.2E-2</v>
      </c>
      <c r="X32" s="371">
        <v>6.2E-2</v>
      </c>
      <c r="Y32" s="381">
        <v>1000</v>
      </c>
    </row>
    <row r="33" spans="1:25" x14ac:dyDescent="0.2">
      <c r="A33" s="378" t="s">
        <v>34</v>
      </c>
      <c r="B33" s="372">
        <v>0</v>
      </c>
      <c r="C33" s="373">
        <v>310</v>
      </c>
      <c r="D33" s="373">
        <v>245</v>
      </c>
      <c r="E33" s="373">
        <v>200</v>
      </c>
      <c r="F33" s="373">
        <v>167</v>
      </c>
      <c r="G33" s="373">
        <v>0</v>
      </c>
      <c r="H33" s="373">
        <v>0</v>
      </c>
      <c r="I33" s="373">
        <v>0</v>
      </c>
      <c r="J33" s="373">
        <v>0</v>
      </c>
      <c r="K33" s="373">
        <v>0</v>
      </c>
      <c r="L33" s="373">
        <v>0</v>
      </c>
      <c r="M33" s="373">
        <v>0</v>
      </c>
      <c r="N33" s="373">
        <v>0</v>
      </c>
      <c r="O33" s="373">
        <v>0</v>
      </c>
      <c r="P33" s="373">
        <v>0</v>
      </c>
      <c r="Q33" s="373">
        <v>0</v>
      </c>
      <c r="R33" s="373">
        <v>0</v>
      </c>
      <c r="S33" s="373">
        <v>0</v>
      </c>
      <c r="T33" s="373">
        <v>0</v>
      </c>
      <c r="U33" s="373">
        <v>0</v>
      </c>
      <c r="V33" s="373">
        <v>0</v>
      </c>
      <c r="W33" s="373">
        <v>0</v>
      </c>
      <c r="X33" s="373">
        <v>0</v>
      </c>
      <c r="Y33" s="382">
        <v>0</v>
      </c>
    </row>
    <row r="34" spans="1:25" ht="13.5" thickBot="1" x14ac:dyDescent="0.25">
      <c r="A34" s="379" t="s">
        <v>116</v>
      </c>
      <c r="B34" s="374">
        <f t="shared" ref="B34:X34" si="3">(C33+B33)*(C32-B32)/2</f>
        <v>0.155</v>
      </c>
      <c r="C34" s="375">
        <f t="shared" si="3"/>
        <v>5.2725</v>
      </c>
      <c r="D34" s="375">
        <f t="shared" si="3"/>
        <v>4.45</v>
      </c>
      <c r="E34" s="375">
        <f t="shared" si="3"/>
        <v>3.8534999999999995</v>
      </c>
      <c r="F34" s="375">
        <f t="shared" si="3"/>
        <v>8.3500000000000074E-2</v>
      </c>
      <c r="G34" s="375">
        <f t="shared" si="3"/>
        <v>0</v>
      </c>
      <c r="H34" s="375">
        <f t="shared" si="3"/>
        <v>0</v>
      </c>
      <c r="I34" s="375">
        <f t="shared" si="3"/>
        <v>0</v>
      </c>
      <c r="J34" s="375">
        <f t="shared" si="3"/>
        <v>0</v>
      </c>
      <c r="K34" s="375">
        <f t="shared" si="3"/>
        <v>0</v>
      </c>
      <c r="L34" s="375">
        <f t="shared" si="3"/>
        <v>0</v>
      </c>
      <c r="M34" s="375">
        <f t="shared" si="3"/>
        <v>0</v>
      </c>
      <c r="N34" s="375">
        <f t="shared" si="3"/>
        <v>0</v>
      </c>
      <c r="O34" s="375">
        <f t="shared" si="3"/>
        <v>0</v>
      </c>
      <c r="P34" s="375">
        <f t="shared" si="3"/>
        <v>0</v>
      </c>
      <c r="Q34" s="375">
        <f t="shared" si="3"/>
        <v>0</v>
      </c>
      <c r="R34" s="375">
        <f t="shared" si="3"/>
        <v>0</v>
      </c>
      <c r="S34" s="375">
        <f t="shared" si="3"/>
        <v>0</v>
      </c>
      <c r="T34" s="375">
        <f t="shared" si="3"/>
        <v>0</v>
      </c>
      <c r="U34" s="375">
        <f t="shared" si="3"/>
        <v>0</v>
      </c>
      <c r="V34" s="375">
        <f t="shared" si="3"/>
        <v>0</v>
      </c>
      <c r="W34" s="375">
        <f t="shared" si="3"/>
        <v>0</v>
      </c>
      <c r="X34" s="375">
        <f t="shared" si="3"/>
        <v>0</v>
      </c>
      <c r="Y34" s="369"/>
    </row>
    <row r="35" spans="1:25" ht="13.5" thickBot="1" x14ac:dyDescent="0.25">
      <c r="B35" s="12"/>
      <c r="C35" s="12"/>
      <c r="D35" s="12"/>
      <c r="E35" s="12"/>
      <c r="F35" s="12"/>
      <c r="G35" s="12"/>
      <c r="H35" s="12"/>
      <c r="I35" s="12"/>
      <c r="J35" s="12"/>
      <c r="K35" s="12"/>
      <c r="L35" s="12"/>
      <c r="M35" s="12"/>
      <c r="N35" s="12"/>
      <c r="O35" s="12"/>
      <c r="P35" s="12"/>
      <c r="Q35" s="12"/>
      <c r="R35" s="12"/>
      <c r="S35" s="12"/>
      <c r="T35" s="12"/>
      <c r="U35" s="12"/>
      <c r="V35" s="12"/>
      <c r="W35" s="12"/>
      <c r="X35" s="12"/>
      <c r="Y35" s="12"/>
    </row>
    <row r="36" spans="1:25" ht="13.5" thickBot="1" x14ac:dyDescent="0.25">
      <c r="A36" s="361" t="s">
        <v>311</v>
      </c>
      <c r="B36" s="359">
        <f>ROW(A36)</f>
        <v>36</v>
      </c>
      <c r="C36" s="363" t="s">
        <v>115</v>
      </c>
      <c r="D36" s="353">
        <f>SUM(B39:Y39)</f>
        <v>17.144499999999997</v>
      </c>
      <c r="E36" s="363" t="s">
        <v>114</v>
      </c>
      <c r="F36" s="399">
        <f>D36/g/J36</f>
        <v>2.9127590893645934</v>
      </c>
      <c r="G36" s="363" t="s">
        <v>56</v>
      </c>
      <c r="H36" s="64">
        <v>0.6</v>
      </c>
      <c r="I36" s="363" t="s">
        <v>271</v>
      </c>
      <c r="J36" s="355">
        <f>H36-L36</f>
        <v>0.6</v>
      </c>
      <c r="K36" s="363" t="s">
        <v>272</v>
      </c>
      <c r="L36" s="64">
        <v>0</v>
      </c>
      <c r="M36" s="363" t="s">
        <v>57</v>
      </c>
      <c r="N36" s="65">
        <f>0.4*R36</f>
        <v>120</v>
      </c>
      <c r="O36" s="363" t="s">
        <v>59</v>
      </c>
      <c r="P36" s="65">
        <v>150</v>
      </c>
      <c r="Q36" s="363" t="s">
        <v>60</v>
      </c>
      <c r="R36" s="65">
        <v>300</v>
      </c>
      <c r="S36" s="363" t="s">
        <v>61</v>
      </c>
      <c r="T36" s="65">
        <v>90</v>
      </c>
      <c r="U36" s="363" t="s">
        <v>54</v>
      </c>
      <c r="V36" s="66" t="s">
        <v>276</v>
      </c>
      <c r="W36" s="12"/>
      <c r="X36" s="12"/>
      <c r="Y36" s="12"/>
    </row>
    <row r="37" spans="1:25" x14ac:dyDescent="0.2">
      <c r="A37" s="362" t="s">
        <v>33</v>
      </c>
      <c r="B37" s="370">
        <v>0</v>
      </c>
      <c r="C37" s="371">
        <v>1E-3</v>
      </c>
      <c r="D37" s="371">
        <v>0.02</v>
      </c>
      <c r="E37" s="371">
        <v>0.04</v>
      </c>
      <c r="F37" s="371">
        <v>0.06</v>
      </c>
      <c r="G37" s="371">
        <v>0.08</v>
      </c>
      <c r="H37" s="371">
        <v>8.7999999999999995E-2</v>
      </c>
      <c r="I37" s="371">
        <v>8.8999999999999996E-2</v>
      </c>
      <c r="J37" s="371">
        <v>8.8999999999999996E-2</v>
      </c>
      <c r="K37" s="371">
        <v>8.8999999999999996E-2</v>
      </c>
      <c r="L37" s="371">
        <v>8.8999999999999996E-2</v>
      </c>
      <c r="M37" s="371">
        <v>8.8999999999999996E-2</v>
      </c>
      <c r="N37" s="371">
        <v>8.8999999999999996E-2</v>
      </c>
      <c r="O37" s="371">
        <v>8.8999999999999996E-2</v>
      </c>
      <c r="P37" s="371">
        <v>8.8999999999999996E-2</v>
      </c>
      <c r="Q37" s="371">
        <v>8.8999999999999996E-2</v>
      </c>
      <c r="R37" s="371">
        <v>8.8999999999999996E-2</v>
      </c>
      <c r="S37" s="371">
        <v>8.8999999999999996E-2</v>
      </c>
      <c r="T37" s="371">
        <v>8.8999999999999996E-2</v>
      </c>
      <c r="U37" s="371">
        <v>8.8999999999999996E-2</v>
      </c>
      <c r="V37" s="371">
        <v>8.8999999999999996E-2</v>
      </c>
      <c r="W37" s="371">
        <v>8.8999999999999996E-2</v>
      </c>
      <c r="X37" s="371">
        <v>8.8999999999999996E-2</v>
      </c>
      <c r="Y37" s="381">
        <v>1000</v>
      </c>
    </row>
    <row r="38" spans="1:25" x14ac:dyDescent="0.2">
      <c r="A38" s="378" t="s">
        <v>34</v>
      </c>
      <c r="B38" s="372">
        <v>0</v>
      </c>
      <c r="C38" s="373">
        <v>310</v>
      </c>
      <c r="D38" s="373">
        <v>240</v>
      </c>
      <c r="E38" s="373">
        <v>190</v>
      </c>
      <c r="F38" s="373">
        <v>157</v>
      </c>
      <c r="G38" s="373">
        <v>133</v>
      </c>
      <c r="H38" s="373">
        <v>125</v>
      </c>
      <c r="I38" s="373">
        <v>0</v>
      </c>
      <c r="J38" s="373">
        <v>0</v>
      </c>
      <c r="K38" s="373">
        <v>0</v>
      </c>
      <c r="L38" s="373">
        <v>0</v>
      </c>
      <c r="M38" s="373">
        <v>0</v>
      </c>
      <c r="N38" s="373">
        <v>0</v>
      </c>
      <c r="O38" s="373">
        <v>0</v>
      </c>
      <c r="P38" s="373">
        <v>0</v>
      </c>
      <c r="Q38" s="373">
        <v>0</v>
      </c>
      <c r="R38" s="373">
        <v>0</v>
      </c>
      <c r="S38" s="373">
        <v>0</v>
      </c>
      <c r="T38" s="373">
        <v>0</v>
      </c>
      <c r="U38" s="373">
        <v>0</v>
      </c>
      <c r="V38" s="373">
        <v>0</v>
      </c>
      <c r="W38" s="373">
        <v>0</v>
      </c>
      <c r="X38" s="373">
        <v>0</v>
      </c>
      <c r="Y38" s="382">
        <v>0</v>
      </c>
    </row>
    <row r="39" spans="1:25" ht="13.5" thickBot="1" x14ac:dyDescent="0.25">
      <c r="A39" s="379" t="s">
        <v>116</v>
      </c>
      <c r="B39" s="374">
        <f t="shared" ref="B39:X39" si="4">(C38+B38)*(C37-B37)/2</f>
        <v>0.155</v>
      </c>
      <c r="C39" s="375">
        <f t="shared" si="4"/>
        <v>5.2249999999999996</v>
      </c>
      <c r="D39" s="375">
        <f t="shared" si="4"/>
        <v>4.3</v>
      </c>
      <c r="E39" s="375">
        <f t="shared" si="4"/>
        <v>3.4699999999999993</v>
      </c>
      <c r="F39" s="375">
        <f t="shared" si="4"/>
        <v>2.9000000000000004</v>
      </c>
      <c r="G39" s="375">
        <f t="shared" si="4"/>
        <v>1.0319999999999991</v>
      </c>
      <c r="H39" s="375">
        <f t="shared" si="4"/>
        <v>6.2500000000000056E-2</v>
      </c>
      <c r="I39" s="375">
        <f t="shared" si="4"/>
        <v>0</v>
      </c>
      <c r="J39" s="375">
        <f t="shared" si="4"/>
        <v>0</v>
      </c>
      <c r="K39" s="375">
        <f t="shared" si="4"/>
        <v>0</v>
      </c>
      <c r="L39" s="375">
        <f t="shared" si="4"/>
        <v>0</v>
      </c>
      <c r="M39" s="375">
        <f t="shared" si="4"/>
        <v>0</v>
      </c>
      <c r="N39" s="375">
        <f t="shared" si="4"/>
        <v>0</v>
      </c>
      <c r="O39" s="375">
        <f t="shared" si="4"/>
        <v>0</v>
      </c>
      <c r="P39" s="375">
        <f t="shared" si="4"/>
        <v>0</v>
      </c>
      <c r="Q39" s="375">
        <f t="shared" si="4"/>
        <v>0</v>
      </c>
      <c r="R39" s="375">
        <f t="shared" si="4"/>
        <v>0</v>
      </c>
      <c r="S39" s="375">
        <f t="shared" si="4"/>
        <v>0</v>
      </c>
      <c r="T39" s="375">
        <f t="shared" si="4"/>
        <v>0</v>
      </c>
      <c r="U39" s="375">
        <f t="shared" si="4"/>
        <v>0</v>
      </c>
      <c r="V39" s="375">
        <f t="shared" si="4"/>
        <v>0</v>
      </c>
      <c r="W39" s="375">
        <f t="shared" si="4"/>
        <v>0</v>
      </c>
      <c r="X39" s="375">
        <f t="shared" si="4"/>
        <v>0</v>
      </c>
      <c r="Y39" s="369"/>
    </row>
    <row r="40" spans="1:25" ht="13.5" thickBot="1" x14ac:dyDescent="0.25">
      <c r="A40" s="12"/>
      <c r="L40" s="12"/>
      <c r="M40" s="12"/>
      <c r="N40" s="12"/>
      <c r="O40" s="12"/>
      <c r="P40" s="12"/>
      <c r="Q40" s="12"/>
      <c r="R40" s="12"/>
      <c r="S40" s="12"/>
      <c r="T40" s="12"/>
      <c r="U40" s="12"/>
      <c r="V40" s="12"/>
      <c r="W40" s="12"/>
      <c r="X40" s="12"/>
      <c r="Y40" s="12"/>
    </row>
    <row r="41" spans="1:25" ht="13.5" thickBot="1" x14ac:dyDescent="0.25">
      <c r="A41" s="361" t="s">
        <v>312</v>
      </c>
      <c r="B41" s="359">
        <f>ROW(A41)</f>
        <v>41</v>
      </c>
      <c r="C41" s="363" t="s">
        <v>115</v>
      </c>
      <c r="D41" s="353">
        <f>SUM(B44:Y44)</f>
        <v>19.415000000000003</v>
      </c>
      <c r="E41" s="363" t="s">
        <v>114</v>
      </c>
      <c r="F41" s="399">
        <f>D41/g/J41</f>
        <v>2.6388039415562354</v>
      </c>
      <c r="G41" s="363" t="s">
        <v>56</v>
      </c>
      <c r="H41" s="64">
        <v>0.75</v>
      </c>
      <c r="I41" s="363" t="s">
        <v>271</v>
      </c>
      <c r="J41" s="355">
        <f>H41-L41</f>
        <v>0.75</v>
      </c>
      <c r="K41" s="363" t="s">
        <v>272</v>
      </c>
      <c r="L41" s="64">
        <v>0</v>
      </c>
      <c r="M41" s="363" t="s">
        <v>57</v>
      </c>
      <c r="N41" s="65">
        <f>0.5*R41</f>
        <v>150</v>
      </c>
      <c r="O41" s="363" t="s">
        <v>59</v>
      </c>
      <c r="P41" s="65">
        <v>150</v>
      </c>
      <c r="Q41" s="363" t="s">
        <v>60</v>
      </c>
      <c r="R41" s="65">
        <v>300</v>
      </c>
      <c r="S41" s="363" t="s">
        <v>61</v>
      </c>
      <c r="T41" s="65">
        <v>90</v>
      </c>
      <c r="U41" s="363" t="s">
        <v>54</v>
      </c>
      <c r="V41" s="66" t="s">
        <v>276</v>
      </c>
      <c r="W41" s="12"/>
      <c r="X41" s="12"/>
      <c r="Y41" s="12"/>
    </row>
    <row r="42" spans="1:25" x14ac:dyDescent="0.2">
      <c r="A42" s="362" t="s">
        <v>33</v>
      </c>
      <c r="B42" s="370">
        <v>0</v>
      </c>
      <c r="C42" s="371">
        <v>1E-3</v>
      </c>
      <c r="D42" s="371">
        <v>0.02</v>
      </c>
      <c r="E42" s="371">
        <v>0.04</v>
      </c>
      <c r="F42" s="371">
        <v>0.06</v>
      </c>
      <c r="G42" s="371">
        <v>0.08</v>
      </c>
      <c r="H42" s="371">
        <v>0.1</v>
      </c>
      <c r="I42" s="371">
        <v>0.123</v>
      </c>
      <c r="J42" s="371">
        <v>0.124</v>
      </c>
      <c r="K42" s="371">
        <v>0.124</v>
      </c>
      <c r="L42" s="371">
        <v>0.124</v>
      </c>
      <c r="M42" s="371">
        <v>0.124</v>
      </c>
      <c r="N42" s="371">
        <v>0.124</v>
      </c>
      <c r="O42" s="371">
        <v>0.124</v>
      </c>
      <c r="P42" s="371">
        <v>0.124</v>
      </c>
      <c r="Q42" s="371">
        <v>0.124</v>
      </c>
      <c r="R42" s="371">
        <v>0.124</v>
      </c>
      <c r="S42" s="371">
        <v>0.124</v>
      </c>
      <c r="T42" s="371">
        <v>0.124</v>
      </c>
      <c r="U42" s="371">
        <v>0.124</v>
      </c>
      <c r="V42" s="371">
        <v>0.124</v>
      </c>
      <c r="W42" s="371">
        <v>0.124</v>
      </c>
      <c r="X42" s="371">
        <v>0.124</v>
      </c>
      <c r="Y42" s="381">
        <v>1000</v>
      </c>
    </row>
    <row r="43" spans="1:25" x14ac:dyDescent="0.2">
      <c r="A43" s="378" t="s">
        <v>34</v>
      </c>
      <c r="B43" s="372">
        <v>0</v>
      </c>
      <c r="C43" s="373">
        <v>310</v>
      </c>
      <c r="D43" s="373">
        <v>230</v>
      </c>
      <c r="E43" s="373">
        <v>175</v>
      </c>
      <c r="F43" s="373">
        <v>140</v>
      </c>
      <c r="G43" s="373">
        <v>118</v>
      </c>
      <c r="H43" s="373">
        <v>100</v>
      </c>
      <c r="I43" s="373">
        <v>85</v>
      </c>
      <c r="J43" s="373">
        <v>0</v>
      </c>
      <c r="K43" s="373">
        <v>0</v>
      </c>
      <c r="L43" s="373">
        <v>0</v>
      </c>
      <c r="M43" s="373">
        <v>0</v>
      </c>
      <c r="N43" s="373">
        <v>0</v>
      </c>
      <c r="O43" s="373">
        <v>0</v>
      </c>
      <c r="P43" s="373">
        <v>0</v>
      </c>
      <c r="Q43" s="373">
        <v>0</v>
      </c>
      <c r="R43" s="373">
        <v>0</v>
      </c>
      <c r="S43" s="373">
        <v>0</v>
      </c>
      <c r="T43" s="373">
        <v>0</v>
      </c>
      <c r="U43" s="373">
        <v>0</v>
      </c>
      <c r="V43" s="373">
        <v>0</v>
      </c>
      <c r="W43" s="373">
        <v>0</v>
      </c>
      <c r="X43" s="373">
        <v>0</v>
      </c>
      <c r="Y43" s="382">
        <v>0</v>
      </c>
    </row>
    <row r="44" spans="1:25" ht="13.5" thickBot="1" x14ac:dyDescent="0.25">
      <c r="A44" s="379" t="s">
        <v>116</v>
      </c>
      <c r="B44" s="374">
        <f t="shared" ref="B44:X44" si="5">(C43+B43)*(C42-B42)/2</f>
        <v>0.155</v>
      </c>
      <c r="C44" s="375">
        <f t="shared" si="5"/>
        <v>5.13</v>
      </c>
      <c r="D44" s="375">
        <f t="shared" si="5"/>
        <v>4.05</v>
      </c>
      <c r="E44" s="375">
        <f t="shared" si="5"/>
        <v>3.1499999999999995</v>
      </c>
      <c r="F44" s="375">
        <f t="shared" si="5"/>
        <v>2.5800000000000005</v>
      </c>
      <c r="G44" s="375">
        <f t="shared" si="5"/>
        <v>2.1800000000000006</v>
      </c>
      <c r="H44" s="375">
        <f t="shared" si="5"/>
        <v>2.1274999999999995</v>
      </c>
      <c r="I44" s="375">
        <f t="shared" si="5"/>
        <v>4.2500000000000038E-2</v>
      </c>
      <c r="J44" s="375">
        <f t="shared" si="5"/>
        <v>0</v>
      </c>
      <c r="K44" s="375">
        <f t="shared" si="5"/>
        <v>0</v>
      </c>
      <c r="L44" s="375">
        <f t="shared" si="5"/>
        <v>0</v>
      </c>
      <c r="M44" s="375">
        <f t="shared" si="5"/>
        <v>0</v>
      </c>
      <c r="N44" s="375">
        <f t="shared" si="5"/>
        <v>0</v>
      </c>
      <c r="O44" s="375">
        <f t="shared" si="5"/>
        <v>0</v>
      </c>
      <c r="P44" s="375">
        <f t="shared" si="5"/>
        <v>0</v>
      </c>
      <c r="Q44" s="375">
        <f t="shared" si="5"/>
        <v>0</v>
      </c>
      <c r="R44" s="375">
        <f t="shared" si="5"/>
        <v>0</v>
      </c>
      <c r="S44" s="375">
        <f t="shared" si="5"/>
        <v>0</v>
      </c>
      <c r="T44" s="375">
        <f t="shared" si="5"/>
        <v>0</v>
      </c>
      <c r="U44" s="375">
        <f t="shared" si="5"/>
        <v>0</v>
      </c>
      <c r="V44" s="375">
        <f t="shared" si="5"/>
        <v>0</v>
      </c>
      <c r="W44" s="375">
        <f t="shared" si="5"/>
        <v>0</v>
      </c>
      <c r="X44" s="375">
        <f t="shared" si="5"/>
        <v>0</v>
      </c>
      <c r="Y44" s="369"/>
    </row>
    <row r="45" spans="1:25" ht="13.5" thickBot="1" x14ac:dyDescent="0.25"/>
    <row r="46" spans="1:25" ht="13.5" thickBot="1" x14ac:dyDescent="0.25">
      <c r="A46" s="361" t="s">
        <v>277</v>
      </c>
      <c r="B46" s="359">
        <f>ROW(A46)</f>
        <v>46</v>
      </c>
      <c r="C46" s="363" t="s">
        <v>115</v>
      </c>
      <c r="D46" s="353">
        <f>SUM(B49:Y49)</f>
        <v>12.8695</v>
      </c>
      <c r="E46" s="363" t="s">
        <v>114</v>
      </c>
      <c r="F46" s="399">
        <f>D46/g/J46</f>
        <v>3.2796890927624869</v>
      </c>
      <c r="G46" s="363" t="s">
        <v>56</v>
      </c>
      <c r="H46" s="64">
        <v>0.5</v>
      </c>
      <c r="I46" s="363" t="s">
        <v>271</v>
      </c>
      <c r="J46" s="355">
        <f>H46-L46</f>
        <v>0.4</v>
      </c>
      <c r="K46" s="363" t="s">
        <v>272</v>
      </c>
      <c r="L46" s="64">
        <v>0.1</v>
      </c>
      <c r="M46" s="363" t="s">
        <v>57</v>
      </c>
      <c r="N46" s="65">
        <f>0.2*R46</f>
        <v>60</v>
      </c>
      <c r="O46" s="363" t="s">
        <v>59</v>
      </c>
      <c r="P46" s="65">
        <v>150</v>
      </c>
      <c r="Q46" s="363" t="s">
        <v>60</v>
      </c>
      <c r="R46" s="65">
        <v>300</v>
      </c>
      <c r="S46" s="363" t="s">
        <v>61</v>
      </c>
      <c r="T46" s="65">
        <v>98</v>
      </c>
      <c r="U46" s="363" t="s">
        <v>54</v>
      </c>
      <c r="V46" s="66" t="s">
        <v>276</v>
      </c>
      <c r="W46" s="12"/>
      <c r="X46" s="12"/>
      <c r="Y46" s="12"/>
    </row>
    <row r="47" spans="1:25" x14ac:dyDescent="0.2">
      <c r="A47" s="362" t="s">
        <v>33</v>
      </c>
      <c r="B47" s="370">
        <v>0</v>
      </c>
      <c r="C47" s="371">
        <v>1E-3</v>
      </c>
      <c r="D47" s="371">
        <v>0.02</v>
      </c>
      <c r="E47" s="371">
        <v>0.04</v>
      </c>
      <c r="F47" s="371">
        <v>0.05</v>
      </c>
      <c r="G47" s="371">
        <v>5.0999999999999997E-2</v>
      </c>
      <c r="H47" s="371">
        <v>5.0999999999999997E-2</v>
      </c>
      <c r="I47" s="371">
        <v>5.0999999999999997E-2</v>
      </c>
      <c r="J47" s="371">
        <v>5.0999999999999997E-2</v>
      </c>
      <c r="K47" s="371">
        <v>5.0999999999999997E-2</v>
      </c>
      <c r="L47" s="371">
        <v>5.0999999999999997E-2</v>
      </c>
      <c r="M47" s="371">
        <v>5.0999999999999997E-2</v>
      </c>
      <c r="N47" s="371">
        <v>5.0999999999999997E-2</v>
      </c>
      <c r="O47" s="371">
        <v>5.0999999999999997E-2</v>
      </c>
      <c r="P47" s="371">
        <v>5.0999999999999997E-2</v>
      </c>
      <c r="Q47" s="371">
        <v>5.0999999999999997E-2</v>
      </c>
      <c r="R47" s="371">
        <v>5.0999999999999997E-2</v>
      </c>
      <c r="S47" s="371">
        <v>5.0999999999999997E-2</v>
      </c>
      <c r="T47" s="371">
        <v>5.0999999999999997E-2</v>
      </c>
      <c r="U47" s="371">
        <v>5.0999999999999997E-2</v>
      </c>
      <c r="V47" s="371">
        <v>5.0999999999999997E-2</v>
      </c>
      <c r="W47" s="371">
        <v>5.0999999999999997E-2</v>
      </c>
      <c r="X47" s="371">
        <v>5.0999999999999997E-2</v>
      </c>
      <c r="Y47" s="381">
        <v>1000</v>
      </c>
    </row>
    <row r="48" spans="1:25" x14ac:dyDescent="0.2">
      <c r="A48" s="378" t="s">
        <v>34</v>
      </c>
      <c r="B48" s="372">
        <v>0</v>
      </c>
      <c r="C48" s="373">
        <v>310</v>
      </c>
      <c r="D48" s="373">
        <v>264</v>
      </c>
      <c r="E48" s="373">
        <v>230</v>
      </c>
      <c r="F48" s="373">
        <v>213</v>
      </c>
      <c r="G48" s="373">
        <v>0</v>
      </c>
      <c r="H48" s="373">
        <v>0</v>
      </c>
      <c r="I48" s="373">
        <v>0</v>
      </c>
      <c r="J48" s="373">
        <v>0</v>
      </c>
      <c r="K48" s="373">
        <v>0</v>
      </c>
      <c r="L48" s="373">
        <v>0</v>
      </c>
      <c r="M48" s="373">
        <v>0</v>
      </c>
      <c r="N48" s="373">
        <v>0</v>
      </c>
      <c r="O48" s="373">
        <v>0</v>
      </c>
      <c r="P48" s="373">
        <v>0</v>
      </c>
      <c r="Q48" s="373">
        <v>0</v>
      </c>
      <c r="R48" s="373">
        <v>0</v>
      </c>
      <c r="S48" s="373">
        <v>0</v>
      </c>
      <c r="T48" s="373">
        <v>0</v>
      </c>
      <c r="U48" s="373">
        <v>0</v>
      </c>
      <c r="V48" s="373">
        <v>0</v>
      </c>
      <c r="W48" s="373">
        <v>0</v>
      </c>
      <c r="X48" s="373">
        <v>0</v>
      </c>
      <c r="Y48" s="382">
        <v>0</v>
      </c>
    </row>
    <row r="49" spans="1:25" ht="13.5" thickBot="1" x14ac:dyDescent="0.25">
      <c r="A49" s="379" t="s">
        <v>116</v>
      </c>
      <c r="B49" s="374">
        <f t="shared" ref="B49:X49" si="6">(C48+B48)*(C47-B47)/2</f>
        <v>0.155</v>
      </c>
      <c r="C49" s="375">
        <f t="shared" si="6"/>
        <v>5.4530000000000003</v>
      </c>
      <c r="D49" s="375">
        <f t="shared" si="6"/>
        <v>4.9400000000000004</v>
      </c>
      <c r="E49" s="375">
        <f t="shared" si="6"/>
        <v>2.2150000000000003</v>
      </c>
      <c r="F49" s="375">
        <f t="shared" si="6"/>
        <v>0.10649999999999936</v>
      </c>
      <c r="G49" s="375">
        <f t="shared" si="6"/>
        <v>0</v>
      </c>
      <c r="H49" s="375">
        <f t="shared" si="6"/>
        <v>0</v>
      </c>
      <c r="I49" s="375">
        <f t="shared" si="6"/>
        <v>0</v>
      </c>
      <c r="J49" s="375">
        <f t="shared" si="6"/>
        <v>0</v>
      </c>
      <c r="K49" s="375">
        <f t="shared" si="6"/>
        <v>0</v>
      </c>
      <c r="L49" s="375">
        <f t="shared" si="6"/>
        <v>0</v>
      </c>
      <c r="M49" s="375">
        <f t="shared" si="6"/>
        <v>0</v>
      </c>
      <c r="N49" s="375">
        <f t="shared" si="6"/>
        <v>0</v>
      </c>
      <c r="O49" s="375">
        <f t="shared" si="6"/>
        <v>0</v>
      </c>
      <c r="P49" s="375">
        <f t="shared" si="6"/>
        <v>0</v>
      </c>
      <c r="Q49" s="375">
        <f t="shared" si="6"/>
        <v>0</v>
      </c>
      <c r="R49" s="375">
        <f t="shared" si="6"/>
        <v>0</v>
      </c>
      <c r="S49" s="375">
        <f t="shared" si="6"/>
        <v>0</v>
      </c>
      <c r="T49" s="375">
        <f t="shared" si="6"/>
        <v>0</v>
      </c>
      <c r="U49" s="375">
        <f t="shared" si="6"/>
        <v>0</v>
      </c>
      <c r="V49" s="375">
        <f t="shared" si="6"/>
        <v>0</v>
      </c>
      <c r="W49" s="375">
        <f t="shared" si="6"/>
        <v>0</v>
      </c>
      <c r="X49" s="375">
        <f t="shared" si="6"/>
        <v>0</v>
      </c>
      <c r="Y49" s="369"/>
    </row>
    <row r="50" spans="1:25" ht="13.5" thickBot="1" x14ac:dyDescent="0.25">
      <c r="A50" s="12"/>
      <c r="L50" s="12"/>
      <c r="M50" s="12"/>
      <c r="N50" s="12"/>
      <c r="O50" s="12"/>
      <c r="P50" s="12"/>
      <c r="Q50" s="12"/>
      <c r="R50" s="12"/>
      <c r="S50" s="12"/>
      <c r="T50" s="12"/>
      <c r="U50" s="12"/>
      <c r="V50" s="12"/>
      <c r="W50" s="12"/>
      <c r="X50" s="12"/>
      <c r="Y50" s="12"/>
    </row>
    <row r="51" spans="1:25" ht="13.5" thickBot="1" x14ac:dyDescent="0.25">
      <c r="A51" s="361" t="s">
        <v>278</v>
      </c>
      <c r="B51" s="359">
        <f>ROW(A51)</f>
        <v>51</v>
      </c>
      <c r="C51" s="363" t="s">
        <v>115</v>
      </c>
      <c r="D51" s="353">
        <f>SUM(B54:Y54)</f>
        <v>18.123500000000003</v>
      </c>
      <c r="E51" s="363" t="s">
        <v>114</v>
      </c>
      <c r="F51" s="399">
        <f>D51/g/J51</f>
        <v>3.0790859667006463</v>
      </c>
      <c r="G51" s="363" t="s">
        <v>56</v>
      </c>
      <c r="H51" s="64">
        <v>0.7</v>
      </c>
      <c r="I51" s="363" t="s">
        <v>271</v>
      </c>
      <c r="J51" s="355">
        <f>H51-L51</f>
        <v>0.6</v>
      </c>
      <c r="K51" s="363" t="s">
        <v>272</v>
      </c>
      <c r="L51" s="64">
        <v>0.1</v>
      </c>
      <c r="M51" s="363" t="s">
        <v>57</v>
      </c>
      <c r="N51" s="65">
        <f>0.3*R51</f>
        <v>90</v>
      </c>
      <c r="O51" s="363" t="s">
        <v>59</v>
      </c>
      <c r="P51" s="65">
        <v>150</v>
      </c>
      <c r="Q51" s="363" t="s">
        <v>60</v>
      </c>
      <c r="R51" s="65">
        <v>300</v>
      </c>
      <c r="S51" s="363" t="s">
        <v>61</v>
      </c>
      <c r="T51" s="65">
        <v>98</v>
      </c>
      <c r="U51" s="363" t="s">
        <v>54</v>
      </c>
      <c r="V51" s="66" t="s">
        <v>276</v>
      </c>
      <c r="W51" s="12"/>
      <c r="X51" s="12"/>
      <c r="Y51" s="12"/>
    </row>
    <row r="52" spans="1:25" x14ac:dyDescent="0.2">
      <c r="A52" s="362" t="s">
        <v>33</v>
      </c>
      <c r="B52" s="370">
        <v>0</v>
      </c>
      <c r="C52" s="371">
        <v>1E-3</v>
      </c>
      <c r="D52" s="371">
        <v>0.02</v>
      </c>
      <c r="E52" s="371">
        <v>0.04</v>
      </c>
      <c r="F52" s="371">
        <v>0.06</v>
      </c>
      <c r="G52" s="371">
        <v>0.08</v>
      </c>
      <c r="H52" s="371">
        <v>8.1000000000000003E-2</v>
      </c>
      <c r="I52" s="371">
        <v>8.1000000000000003E-2</v>
      </c>
      <c r="J52" s="371">
        <v>8.1000000000000003E-2</v>
      </c>
      <c r="K52" s="371">
        <v>8.1000000000000003E-2</v>
      </c>
      <c r="L52" s="371">
        <v>8.1000000000000003E-2</v>
      </c>
      <c r="M52" s="371">
        <v>8.1000000000000003E-2</v>
      </c>
      <c r="N52" s="371">
        <v>8.1000000000000003E-2</v>
      </c>
      <c r="O52" s="371">
        <v>8.1000000000000003E-2</v>
      </c>
      <c r="P52" s="371">
        <v>8.1000000000000003E-2</v>
      </c>
      <c r="Q52" s="371">
        <v>8.1000000000000003E-2</v>
      </c>
      <c r="R52" s="371">
        <v>8.1000000000000003E-2</v>
      </c>
      <c r="S52" s="371">
        <v>8.1000000000000003E-2</v>
      </c>
      <c r="T52" s="371">
        <v>8.1000000000000003E-2</v>
      </c>
      <c r="U52" s="371">
        <v>8.1000000000000003E-2</v>
      </c>
      <c r="V52" s="371">
        <v>8.1000000000000003E-2</v>
      </c>
      <c r="W52" s="371">
        <v>8.1000000000000003E-2</v>
      </c>
      <c r="X52" s="371">
        <v>8.1000000000000003E-2</v>
      </c>
      <c r="Y52" s="381">
        <v>1000</v>
      </c>
    </row>
    <row r="53" spans="1:25" x14ac:dyDescent="0.2">
      <c r="A53" s="378" t="s">
        <v>34</v>
      </c>
      <c r="B53" s="372">
        <v>0</v>
      </c>
      <c r="C53" s="373">
        <v>310</v>
      </c>
      <c r="D53" s="373">
        <v>260</v>
      </c>
      <c r="E53" s="373">
        <v>220</v>
      </c>
      <c r="F53" s="373">
        <v>190</v>
      </c>
      <c r="G53" s="373">
        <v>167</v>
      </c>
      <c r="H53" s="373">
        <v>0</v>
      </c>
      <c r="I53" s="373">
        <v>0</v>
      </c>
      <c r="J53" s="373">
        <v>0</v>
      </c>
      <c r="K53" s="373">
        <v>0</v>
      </c>
      <c r="L53" s="373">
        <v>0</v>
      </c>
      <c r="M53" s="373">
        <v>0</v>
      </c>
      <c r="N53" s="373">
        <v>0</v>
      </c>
      <c r="O53" s="373">
        <v>0</v>
      </c>
      <c r="P53" s="373">
        <v>0</v>
      </c>
      <c r="Q53" s="373">
        <v>0</v>
      </c>
      <c r="R53" s="373">
        <v>0</v>
      </c>
      <c r="S53" s="373">
        <v>0</v>
      </c>
      <c r="T53" s="373">
        <v>0</v>
      </c>
      <c r="U53" s="373">
        <v>0</v>
      </c>
      <c r="V53" s="373">
        <v>0</v>
      </c>
      <c r="W53" s="373">
        <v>0</v>
      </c>
      <c r="X53" s="373">
        <v>0</v>
      </c>
      <c r="Y53" s="382">
        <v>0</v>
      </c>
    </row>
    <row r="54" spans="1:25" ht="13.5" thickBot="1" x14ac:dyDescent="0.25">
      <c r="A54" s="379" t="s">
        <v>116</v>
      </c>
      <c r="B54" s="374">
        <f t="shared" ref="B54:X54" si="7">(C53+B53)*(C52-B52)/2</f>
        <v>0.155</v>
      </c>
      <c r="C54" s="375">
        <f t="shared" si="7"/>
        <v>5.415</v>
      </c>
      <c r="D54" s="375">
        <f t="shared" si="7"/>
        <v>4.8</v>
      </c>
      <c r="E54" s="375">
        <f t="shared" si="7"/>
        <v>4.0999999999999996</v>
      </c>
      <c r="F54" s="375">
        <f t="shared" si="7"/>
        <v>3.5700000000000007</v>
      </c>
      <c r="G54" s="375">
        <f t="shared" si="7"/>
        <v>8.3500000000000074E-2</v>
      </c>
      <c r="H54" s="375">
        <f t="shared" si="7"/>
        <v>0</v>
      </c>
      <c r="I54" s="375">
        <f t="shared" si="7"/>
        <v>0</v>
      </c>
      <c r="J54" s="375">
        <f t="shared" si="7"/>
        <v>0</v>
      </c>
      <c r="K54" s="375">
        <f t="shared" si="7"/>
        <v>0</v>
      </c>
      <c r="L54" s="375">
        <f t="shared" si="7"/>
        <v>0</v>
      </c>
      <c r="M54" s="375">
        <f t="shared" si="7"/>
        <v>0</v>
      </c>
      <c r="N54" s="375">
        <f t="shared" si="7"/>
        <v>0</v>
      </c>
      <c r="O54" s="375">
        <f t="shared" si="7"/>
        <v>0</v>
      </c>
      <c r="P54" s="375">
        <f t="shared" si="7"/>
        <v>0</v>
      </c>
      <c r="Q54" s="375">
        <f t="shared" si="7"/>
        <v>0</v>
      </c>
      <c r="R54" s="375">
        <f t="shared" si="7"/>
        <v>0</v>
      </c>
      <c r="S54" s="375">
        <f t="shared" si="7"/>
        <v>0</v>
      </c>
      <c r="T54" s="375">
        <f t="shared" si="7"/>
        <v>0</v>
      </c>
      <c r="U54" s="375">
        <f t="shared" si="7"/>
        <v>0</v>
      </c>
      <c r="V54" s="375">
        <f t="shared" si="7"/>
        <v>0</v>
      </c>
      <c r="W54" s="375">
        <f t="shared" si="7"/>
        <v>0</v>
      </c>
      <c r="X54" s="375">
        <f t="shared" si="7"/>
        <v>0</v>
      </c>
      <c r="Y54" s="369"/>
    </row>
    <row r="55" spans="1:25" ht="13.5" thickBot="1" x14ac:dyDescent="0.25">
      <c r="B55" s="12"/>
      <c r="C55" s="12"/>
      <c r="D55" s="12"/>
      <c r="E55" s="12"/>
      <c r="F55" s="12"/>
      <c r="G55" s="12"/>
      <c r="H55" s="12"/>
      <c r="I55" s="12"/>
      <c r="J55" s="12"/>
      <c r="K55" s="12"/>
      <c r="L55" s="12"/>
      <c r="M55" s="12"/>
      <c r="N55" s="12"/>
      <c r="O55" s="12"/>
      <c r="P55" s="12"/>
      <c r="Q55" s="12"/>
      <c r="R55" s="12"/>
      <c r="S55" s="12"/>
      <c r="T55" s="12"/>
      <c r="U55" s="12"/>
      <c r="V55" s="12"/>
      <c r="W55" s="12"/>
      <c r="X55" s="12"/>
      <c r="Y55" s="12"/>
    </row>
    <row r="56" spans="1:25" ht="13.5" thickBot="1" x14ac:dyDescent="0.25">
      <c r="A56" s="361" t="s">
        <v>279</v>
      </c>
      <c r="B56" s="359">
        <f>ROW(A56)</f>
        <v>56</v>
      </c>
      <c r="C56" s="363" t="s">
        <v>115</v>
      </c>
      <c r="D56" s="353">
        <f>SUM(B59:Y59)</f>
        <v>22.610000000000003</v>
      </c>
      <c r="E56" s="363" t="s">
        <v>114</v>
      </c>
      <c r="F56" s="399">
        <f>D56/g/J56</f>
        <v>2.88098878695209</v>
      </c>
      <c r="G56" s="363" t="s">
        <v>56</v>
      </c>
      <c r="H56" s="64">
        <v>0.9</v>
      </c>
      <c r="I56" s="363" t="s">
        <v>271</v>
      </c>
      <c r="J56" s="355">
        <f>H56-L56</f>
        <v>0.8</v>
      </c>
      <c r="K56" s="363" t="s">
        <v>272</v>
      </c>
      <c r="L56" s="64">
        <v>0.1</v>
      </c>
      <c r="M56" s="363" t="s">
        <v>57</v>
      </c>
      <c r="N56" s="65">
        <f>0.4*R56</f>
        <v>120</v>
      </c>
      <c r="O56" s="363" t="s">
        <v>59</v>
      </c>
      <c r="P56" s="65">
        <v>150</v>
      </c>
      <c r="Q56" s="363" t="s">
        <v>60</v>
      </c>
      <c r="R56" s="65">
        <v>300</v>
      </c>
      <c r="S56" s="363" t="s">
        <v>61</v>
      </c>
      <c r="T56" s="65">
        <v>98</v>
      </c>
      <c r="U56" s="363" t="s">
        <v>54</v>
      </c>
      <c r="V56" s="66" t="s">
        <v>276</v>
      </c>
      <c r="W56" s="12"/>
      <c r="X56" s="12"/>
      <c r="Y56" s="12"/>
    </row>
    <row r="57" spans="1:25" x14ac:dyDescent="0.2">
      <c r="A57" s="362" t="s">
        <v>33</v>
      </c>
      <c r="B57" s="370">
        <v>0</v>
      </c>
      <c r="C57" s="371">
        <v>1E-3</v>
      </c>
      <c r="D57" s="371">
        <v>0.02</v>
      </c>
      <c r="E57" s="371">
        <v>0.04</v>
      </c>
      <c r="F57" s="371">
        <v>0.06</v>
      </c>
      <c r="G57" s="371">
        <v>0.08</v>
      </c>
      <c r="H57" s="371">
        <v>0.1</v>
      </c>
      <c r="I57" s="371">
        <v>0.11700000000000001</v>
      </c>
      <c r="J57" s="371">
        <v>0.11799999999999999</v>
      </c>
      <c r="K57" s="371">
        <v>0.11799999999999999</v>
      </c>
      <c r="L57" s="371">
        <v>0.11799999999999999</v>
      </c>
      <c r="M57" s="371">
        <v>0.11799999999999999</v>
      </c>
      <c r="N57" s="371">
        <v>0.11799999999999999</v>
      </c>
      <c r="O57" s="371">
        <v>0.11799999999999999</v>
      </c>
      <c r="P57" s="371">
        <v>0.11799999999999999</v>
      </c>
      <c r="Q57" s="371">
        <v>0.11799999999999999</v>
      </c>
      <c r="R57" s="371">
        <v>0.11799999999999999</v>
      </c>
      <c r="S57" s="371">
        <v>0.11799999999999999</v>
      </c>
      <c r="T57" s="371">
        <v>0.11799999999999999</v>
      </c>
      <c r="U57" s="371">
        <v>0.11799999999999999</v>
      </c>
      <c r="V57" s="371">
        <v>0.11799999999999999</v>
      </c>
      <c r="W57" s="371">
        <v>0.11799999999999999</v>
      </c>
      <c r="X57" s="371">
        <v>0.11799999999999999</v>
      </c>
      <c r="Y57" s="381">
        <v>1000</v>
      </c>
    </row>
    <row r="58" spans="1:25" x14ac:dyDescent="0.2">
      <c r="A58" s="378" t="s">
        <v>34</v>
      </c>
      <c r="B58" s="372">
        <v>0</v>
      </c>
      <c r="C58" s="373">
        <v>310</v>
      </c>
      <c r="D58" s="373">
        <v>250</v>
      </c>
      <c r="E58" s="373">
        <v>210</v>
      </c>
      <c r="F58" s="373">
        <v>180</v>
      </c>
      <c r="G58" s="373">
        <v>156</v>
      </c>
      <c r="H58" s="373">
        <v>140</v>
      </c>
      <c r="I58" s="373">
        <v>125</v>
      </c>
      <c r="J58" s="373">
        <v>0</v>
      </c>
      <c r="K58" s="373">
        <v>0</v>
      </c>
      <c r="L58" s="373">
        <v>0</v>
      </c>
      <c r="M58" s="373">
        <v>0</v>
      </c>
      <c r="N58" s="373">
        <v>0</v>
      </c>
      <c r="O58" s="373">
        <v>0</v>
      </c>
      <c r="P58" s="373">
        <v>0</v>
      </c>
      <c r="Q58" s="373">
        <v>0</v>
      </c>
      <c r="R58" s="373">
        <v>0</v>
      </c>
      <c r="S58" s="373">
        <v>0</v>
      </c>
      <c r="T58" s="373">
        <v>0</v>
      </c>
      <c r="U58" s="373">
        <v>0</v>
      </c>
      <c r="V58" s="373">
        <v>0</v>
      </c>
      <c r="W58" s="373">
        <v>0</v>
      </c>
      <c r="X58" s="373">
        <v>0</v>
      </c>
      <c r="Y58" s="382">
        <v>0</v>
      </c>
    </row>
    <row r="59" spans="1:25" ht="13.5" thickBot="1" x14ac:dyDescent="0.25">
      <c r="A59" s="379" t="s">
        <v>116</v>
      </c>
      <c r="B59" s="374">
        <f t="shared" ref="B59:X59" si="8">(C58+B58)*(C57-B57)/2</f>
        <v>0.155</v>
      </c>
      <c r="C59" s="375">
        <f t="shared" si="8"/>
        <v>5.32</v>
      </c>
      <c r="D59" s="375">
        <f t="shared" si="8"/>
        <v>4.6000000000000005</v>
      </c>
      <c r="E59" s="375">
        <f t="shared" si="8"/>
        <v>3.8999999999999995</v>
      </c>
      <c r="F59" s="375">
        <f t="shared" si="8"/>
        <v>3.3600000000000008</v>
      </c>
      <c r="G59" s="375">
        <f t="shared" si="8"/>
        <v>2.9600000000000004</v>
      </c>
      <c r="H59" s="375">
        <f t="shared" si="8"/>
        <v>2.2524999999999999</v>
      </c>
      <c r="I59" s="375">
        <f t="shared" si="8"/>
        <v>6.2499999999999188E-2</v>
      </c>
      <c r="J59" s="375">
        <f t="shared" si="8"/>
        <v>0</v>
      </c>
      <c r="K59" s="375">
        <f t="shared" si="8"/>
        <v>0</v>
      </c>
      <c r="L59" s="375">
        <f t="shared" si="8"/>
        <v>0</v>
      </c>
      <c r="M59" s="375">
        <f t="shared" si="8"/>
        <v>0</v>
      </c>
      <c r="N59" s="375">
        <f t="shared" si="8"/>
        <v>0</v>
      </c>
      <c r="O59" s="375">
        <f t="shared" si="8"/>
        <v>0</v>
      </c>
      <c r="P59" s="375">
        <f t="shared" si="8"/>
        <v>0</v>
      </c>
      <c r="Q59" s="375">
        <f t="shared" si="8"/>
        <v>0</v>
      </c>
      <c r="R59" s="375">
        <f t="shared" si="8"/>
        <v>0</v>
      </c>
      <c r="S59" s="375">
        <f t="shared" si="8"/>
        <v>0</v>
      </c>
      <c r="T59" s="375">
        <f t="shared" si="8"/>
        <v>0</v>
      </c>
      <c r="U59" s="375">
        <f t="shared" si="8"/>
        <v>0</v>
      </c>
      <c r="V59" s="375">
        <f t="shared" si="8"/>
        <v>0</v>
      </c>
      <c r="W59" s="375">
        <f t="shared" si="8"/>
        <v>0</v>
      </c>
      <c r="X59" s="375">
        <f t="shared" si="8"/>
        <v>0</v>
      </c>
      <c r="Y59" s="369"/>
    </row>
    <row r="60" spans="1:25" ht="13.5" thickBot="1" x14ac:dyDescent="0.25">
      <c r="A60" s="12"/>
      <c r="L60" s="12"/>
      <c r="M60" s="12"/>
      <c r="N60" s="12"/>
      <c r="O60" s="12"/>
      <c r="P60" s="12"/>
      <c r="Q60" s="12"/>
      <c r="R60" s="12"/>
      <c r="S60" s="12"/>
      <c r="T60" s="12"/>
      <c r="U60" s="12"/>
      <c r="V60" s="12"/>
      <c r="W60" s="12"/>
      <c r="X60" s="12"/>
      <c r="Y60" s="12"/>
    </row>
    <row r="61" spans="1:25" ht="13.5" thickBot="1" x14ac:dyDescent="0.25">
      <c r="A61" s="361" t="s">
        <v>280</v>
      </c>
      <c r="B61" s="359">
        <f>ROW(A61)</f>
        <v>61</v>
      </c>
      <c r="C61" s="363" t="s">
        <v>115</v>
      </c>
      <c r="D61" s="353">
        <f>SUM(B64:Y64)</f>
        <v>25.874000000000006</v>
      </c>
      <c r="E61" s="363" t="s">
        <v>114</v>
      </c>
      <c r="F61" s="399">
        <f>D61/g/J61</f>
        <v>2.6375127420998985</v>
      </c>
      <c r="G61" s="363" t="s">
        <v>56</v>
      </c>
      <c r="H61" s="64">
        <v>1.1000000000000001</v>
      </c>
      <c r="I61" s="363" t="s">
        <v>271</v>
      </c>
      <c r="J61" s="355">
        <f>H61-L61</f>
        <v>1</v>
      </c>
      <c r="K61" s="363" t="s">
        <v>272</v>
      </c>
      <c r="L61" s="64">
        <v>0.1</v>
      </c>
      <c r="M61" s="363" t="s">
        <v>57</v>
      </c>
      <c r="N61" s="65">
        <f>0.5*R61</f>
        <v>150</v>
      </c>
      <c r="O61" s="363" t="s">
        <v>59</v>
      </c>
      <c r="P61" s="65">
        <v>150</v>
      </c>
      <c r="Q61" s="363" t="s">
        <v>60</v>
      </c>
      <c r="R61" s="65">
        <v>300</v>
      </c>
      <c r="S61" s="363" t="s">
        <v>61</v>
      </c>
      <c r="T61" s="65">
        <v>98</v>
      </c>
      <c r="U61" s="363" t="s">
        <v>54</v>
      </c>
      <c r="V61" s="66" t="s">
        <v>276</v>
      </c>
      <c r="W61" s="12"/>
      <c r="X61" s="12"/>
      <c r="Y61" s="12"/>
    </row>
    <row r="62" spans="1:25" x14ac:dyDescent="0.2">
      <c r="A62" s="362" t="s">
        <v>33</v>
      </c>
      <c r="B62" s="370">
        <v>0</v>
      </c>
      <c r="C62" s="371">
        <v>1E-3</v>
      </c>
      <c r="D62" s="371">
        <v>0.02</v>
      </c>
      <c r="E62" s="371">
        <v>0.04</v>
      </c>
      <c r="F62" s="371">
        <v>0.06</v>
      </c>
      <c r="G62" s="371">
        <v>0.08</v>
      </c>
      <c r="H62" s="371">
        <v>0.1</v>
      </c>
      <c r="I62" s="371">
        <v>0.12</v>
      </c>
      <c r="J62" s="371">
        <v>0.14000000000000001</v>
      </c>
      <c r="K62" s="371">
        <v>0.16400000000000001</v>
      </c>
      <c r="L62" s="371">
        <v>0.16500000000000001</v>
      </c>
      <c r="M62" s="371">
        <v>0.16500000000000001</v>
      </c>
      <c r="N62" s="371">
        <v>0.16500000000000001</v>
      </c>
      <c r="O62" s="371">
        <v>0.16500000000000001</v>
      </c>
      <c r="P62" s="371">
        <v>0.16500000000000001</v>
      </c>
      <c r="Q62" s="371">
        <v>0.16500000000000001</v>
      </c>
      <c r="R62" s="371">
        <v>0.16500000000000001</v>
      </c>
      <c r="S62" s="371">
        <v>0.16500000000000001</v>
      </c>
      <c r="T62" s="371">
        <v>0.16500000000000001</v>
      </c>
      <c r="U62" s="371">
        <v>0.16500000000000001</v>
      </c>
      <c r="V62" s="371">
        <v>0.16500000000000001</v>
      </c>
      <c r="W62" s="371">
        <v>0.16500000000000001</v>
      </c>
      <c r="X62" s="371">
        <v>0.16500000000000001</v>
      </c>
      <c r="Y62" s="381">
        <v>1000</v>
      </c>
    </row>
    <row r="63" spans="1:25" x14ac:dyDescent="0.2">
      <c r="A63" s="378" t="s">
        <v>34</v>
      </c>
      <c r="B63" s="372">
        <v>0</v>
      </c>
      <c r="C63" s="373">
        <v>310</v>
      </c>
      <c r="D63" s="373">
        <v>245</v>
      </c>
      <c r="E63" s="373">
        <v>200</v>
      </c>
      <c r="F63" s="373">
        <v>165</v>
      </c>
      <c r="G63" s="373">
        <v>143</v>
      </c>
      <c r="H63" s="373">
        <v>124</v>
      </c>
      <c r="I63" s="373">
        <v>108</v>
      </c>
      <c r="J63" s="373">
        <v>97</v>
      </c>
      <c r="K63" s="373">
        <v>85</v>
      </c>
      <c r="L63" s="373">
        <v>0</v>
      </c>
      <c r="M63" s="373">
        <v>0</v>
      </c>
      <c r="N63" s="373">
        <v>0</v>
      </c>
      <c r="O63" s="373">
        <v>0</v>
      </c>
      <c r="P63" s="373">
        <v>0</v>
      </c>
      <c r="Q63" s="373">
        <v>0</v>
      </c>
      <c r="R63" s="373">
        <v>0</v>
      </c>
      <c r="S63" s="373">
        <v>0</v>
      </c>
      <c r="T63" s="373">
        <v>0</v>
      </c>
      <c r="U63" s="373">
        <v>0</v>
      </c>
      <c r="V63" s="373">
        <v>0</v>
      </c>
      <c r="W63" s="373">
        <v>0</v>
      </c>
      <c r="X63" s="373">
        <v>0</v>
      </c>
      <c r="Y63" s="382">
        <v>0</v>
      </c>
    </row>
    <row r="64" spans="1:25" ht="13.5" thickBot="1" x14ac:dyDescent="0.25">
      <c r="A64" s="379" t="s">
        <v>116</v>
      </c>
      <c r="B64" s="374">
        <f t="shared" ref="B64:X64" si="9">(C63+B63)*(C62-B62)/2</f>
        <v>0.155</v>
      </c>
      <c r="C64" s="375">
        <f t="shared" si="9"/>
        <v>5.2725</v>
      </c>
      <c r="D64" s="375">
        <f t="shared" si="9"/>
        <v>4.45</v>
      </c>
      <c r="E64" s="375">
        <f t="shared" si="9"/>
        <v>3.6499999999999995</v>
      </c>
      <c r="F64" s="375">
        <f t="shared" si="9"/>
        <v>3.0800000000000005</v>
      </c>
      <c r="G64" s="375">
        <f t="shared" si="9"/>
        <v>2.6700000000000004</v>
      </c>
      <c r="H64" s="375">
        <f t="shared" si="9"/>
        <v>2.319999999999999</v>
      </c>
      <c r="I64" s="375">
        <f t="shared" si="9"/>
        <v>2.0500000000000016</v>
      </c>
      <c r="J64" s="375">
        <f t="shared" si="9"/>
        <v>2.1839999999999993</v>
      </c>
      <c r="K64" s="375">
        <f t="shared" si="9"/>
        <v>4.2500000000000038E-2</v>
      </c>
      <c r="L64" s="375">
        <f t="shared" si="9"/>
        <v>0</v>
      </c>
      <c r="M64" s="375">
        <f t="shared" si="9"/>
        <v>0</v>
      </c>
      <c r="N64" s="375">
        <f t="shared" si="9"/>
        <v>0</v>
      </c>
      <c r="O64" s="375">
        <f t="shared" si="9"/>
        <v>0</v>
      </c>
      <c r="P64" s="375">
        <f t="shared" si="9"/>
        <v>0</v>
      </c>
      <c r="Q64" s="375">
        <f t="shared" si="9"/>
        <v>0</v>
      </c>
      <c r="R64" s="375">
        <f t="shared" si="9"/>
        <v>0</v>
      </c>
      <c r="S64" s="375">
        <f t="shared" si="9"/>
        <v>0</v>
      </c>
      <c r="T64" s="375">
        <f t="shared" si="9"/>
        <v>0</v>
      </c>
      <c r="U64" s="375">
        <f t="shared" si="9"/>
        <v>0</v>
      </c>
      <c r="V64" s="375">
        <f t="shared" si="9"/>
        <v>0</v>
      </c>
      <c r="W64" s="375">
        <f t="shared" si="9"/>
        <v>0</v>
      </c>
      <c r="X64" s="375">
        <f t="shared" si="9"/>
        <v>0</v>
      </c>
      <c r="Y64" s="369"/>
    </row>
    <row r="66" spans="1:26" ht="13.5" thickBot="1" x14ac:dyDescent="0.25">
      <c r="A66" s="6" t="s">
        <v>181</v>
      </c>
    </row>
    <row r="67" spans="1:26" ht="13.5" thickBot="1" x14ac:dyDescent="0.25">
      <c r="A67" s="361" t="s">
        <v>111</v>
      </c>
      <c r="B67" s="359">
        <f>ROW(A67)</f>
        <v>67</v>
      </c>
      <c r="C67" s="363" t="s">
        <v>115</v>
      </c>
      <c r="D67" s="353">
        <f>SUM(B70:Y70)</f>
        <v>2.65</v>
      </c>
      <c r="E67" s="363" t="s">
        <v>114</v>
      </c>
      <c r="F67" s="354">
        <f>D67/g/J67</f>
        <v>54.026503567787969</v>
      </c>
      <c r="G67" s="363" t="s">
        <v>56</v>
      </c>
      <c r="H67" s="64">
        <v>1.4999999999999999E-2</v>
      </c>
      <c r="I67" s="363" t="s">
        <v>271</v>
      </c>
      <c r="J67" s="355">
        <f>H67-L67</f>
        <v>4.9999999999999992E-3</v>
      </c>
      <c r="K67" s="363" t="s">
        <v>272</v>
      </c>
      <c r="L67" s="64">
        <v>0.01</v>
      </c>
      <c r="M67" s="363" t="s">
        <v>57</v>
      </c>
      <c r="N67" s="65">
        <v>30</v>
      </c>
      <c r="O67" s="363" t="s">
        <v>59</v>
      </c>
      <c r="P67" s="65">
        <v>30</v>
      </c>
      <c r="Q67" s="363" t="s">
        <v>60</v>
      </c>
      <c r="R67" s="65">
        <v>70</v>
      </c>
      <c r="S67" s="363" t="s">
        <v>61</v>
      </c>
      <c r="T67" s="65">
        <v>15</v>
      </c>
      <c r="U67" s="363" t="s">
        <v>54</v>
      </c>
      <c r="V67" s="66" t="s">
        <v>117</v>
      </c>
      <c r="W67" s="463" t="s">
        <v>394</v>
      </c>
      <c r="X67" s="465">
        <v>0.32</v>
      </c>
      <c r="Y67" s="463" t="s">
        <v>393</v>
      </c>
      <c r="Z67" s="358">
        <v>3</v>
      </c>
    </row>
    <row r="68" spans="1:26" x14ac:dyDescent="0.2">
      <c r="A68" s="362" t="s">
        <v>33</v>
      </c>
      <c r="B68" s="370">
        <v>0</v>
      </c>
      <c r="C68" s="371">
        <v>0.2</v>
      </c>
      <c r="D68" s="371">
        <v>0.3</v>
      </c>
      <c r="E68" s="371">
        <v>0.4</v>
      </c>
      <c r="F68" s="371">
        <v>0.5</v>
      </c>
      <c r="G68" s="371">
        <v>0.55000000000000004</v>
      </c>
      <c r="H68" s="371">
        <v>0.6</v>
      </c>
      <c r="I68" s="371">
        <v>0.6</v>
      </c>
      <c r="J68" s="371">
        <v>0.6</v>
      </c>
      <c r="K68" s="371">
        <v>0.6</v>
      </c>
      <c r="L68" s="371">
        <v>0.6</v>
      </c>
      <c r="M68" s="371">
        <v>0.6</v>
      </c>
      <c r="N68" s="371">
        <v>0.6</v>
      </c>
      <c r="O68" s="371">
        <v>0.6</v>
      </c>
      <c r="P68" s="371">
        <v>0.6</v>
      </c>
      <c r="Q68" s="371">
        <v>0.6</v>
      </c>
      <c r="R68" s="371">
        <v>0.6</v>
      </c>
      <c r="S68" s="371">
        <v>0.6</v>
      </c>
      <c r="T68" s="371">
        <v>0.6</v>
      </c>
      <c r="U68" s="371">
        <v>0.6</v>
      </c>
      <c r="V68" s="371">
        <v>0.6</v>
      </c>
      <c r="W68" s="371">
        <v>0.6</v>
      </c>
      <c r="X68" s="371">
        <v>0.6</v>
      </c>
      <c r="Y68" s="381">
        <v>1000</v>
      </c>
    </row>
    <row r="69" spans="1:26" x14ac:dyDescent="0.2">
      <c r="A69" s="378" t="s">
        <v>34</v>
      </c>
      <c r="B69" s="372">
        <v>0</v>
      </c>
      <c r="C69" s="373">
        <v>9</v>
      </c>
      <c r="D69" s="373">
        <v>4.5</v>
      </c>
      <c r="E69" s="373">
        <v>4</v>
      </c>
      <c r="F69" s="373">
        <v>4</v>
      </c>
      <c r="G69" s="373">
        <v>3</v>
      </c>
      <c r="H69" s="373">
        <v>0</v>
      </c>
      <c r="I69" s="373">
        <v>0</v>
      </c>
      <c r="J69" s="373">
        <v>0</v>
      </c>
      <c r="K69" s="373">
        <v>0</v>
      </c>
      <c r="L69" s="373">
        <v>0</v>
      </c>
      <c r="M69" s="373">
        <v>0</v>
      </c>
      <c r="N69" s="373">
        <v>0</v>
      </c>
      <c r="O69" s="373">
        <v>0</v>
      </c>
      <c r="P69" s="373">
        <v>0</v>
      </c>
      <c r="Q69" s="373">
        <v>0</v>
      </c>
      <c r="R69" s="373">
        <v>0</v>
      </c>
      <c r="S69" s="373">
        <v>0</v>
      </c>
      <c r="T69" s="373">
        <v>0</v>
      </c>
      <c r="U69" s="373">
        <v>0</v>
      </c>
      <c r="V69" s="373">
        <v>0</v>
      </c>
      <c r="W69" s="373">
        <v>0</v>
      </c>
      <c r="X69" s="373">
        <v>0</v>
      </c>
      <c r="Y69" s="382">
        <v>0</v>
      </c>
    </row>
    <row r="70" spans="1:26" ht="13.5" thickBot="1" x14ac:dyDescent="0.25">
      <c r="A70" s="379" t="s">
        <v>116</v>
      </c>
      <c r="B70" s="374">
        <f t="shared" ref="B70:X70" si="10">(C69+B69)*(C68-B68)/2</f>
        <v>0.9</v>
      </c>
      <c r="C70" s="375">
        <f t="shared" si="10"/>
        <v>0.67499999999999982</v>
      </c>
      <c r="D70" s="375">
        <f t="shared" si="10"/>
        <v>0.42500000000000016</v>
      </c>
      <c r="E70" s="375">
        <f t="shared" si="10"/>
        <v>0.39999999999999991</v>
      </c>
      <c r="F70" s="375">
        <f t="shared" si="10"/>
        <v>0.17500000000000016</v>
      </c>
      <c r="G70" s="375">
        <f t="shared" si="10"/>
        <v>7.49999999999999E-2</v>
      </c>
      <c r="H70" s="375">
        <f t="shared" si="10"/>
        <v>0</v>
      </c>
      <c r="I70" s="375">
        <f t="shared" si="10"/>
        <v>0</v>
      </c>
      <c r="J70" s="375">
        <f t="shared" si="10"/>
        <v>0</v>
      </c>
      <c r="K70" s="375">
        <f t="shared" si="10"/>
        <v>0</v>
      </c>
      <c r="L70" s="375">
        <f t="shared" si="10"/>
        <v>0</v>
      </c>
      <c r="M70" s="375">
        <f t="shared" si="10"/>
        <v>0</v>
      </c>
      <c r="N70" s="375">
        <f t="shared" si="10"/>
        <v>0</v>
      </c>
      <c r="O70" s="375">
        <f t="shared" si="10"/>
        <v>0</v>
      </c>
      <c r="P70" s="375">
        <f t="shared" si="10"/>
        <v>0</v>
      </c>
      <c r="Q70" s="375">
        <f t="shared" si="10"/>
        <v>0</v>
      </c>
      <c r="R70" s="375">
        <f t="shared" si="10"/>
        <v>0</v>
      </c>
      <c r="S70" s="375">
        <f t="shared" si="10"/>
        <v>0</v>
      </c>
      <c r="T70" s="375">
        <f t="shared" si="10"/>
        <v>0</v>
      </c>
      <c r="U70" s="375">
        <f t="shared" si="10"/>
        <v>0</v>
      </c>
      <c r="V70" s="375">
        <f t="shared" si="10"/>
        <v>0</v>
      </c>
      <c r="W70" s="375">
        <f t="shared" si="10"/>
        <v>0</v>
      </c>
      <c r="X70" s="375">
        <f t="shared" si="10"/>
        <v>0</v>
      </c>
      <c r="Y70" s="369"/>
    </row>
    <row r="71" spans="1:26" ht="13.5" thickBot="1" x14ac:dyDescent="0.25">
      <c r="A71" s="12"/>
      <c r="L71" s="12"/>
      <c r="M71" s="12"/>
      <c r="N71" s="12"/>
      <c r="O71" s="12"/>
      <c r="P71" s="12"/>
      <c r="Q71" s="12"/>
      <c r="R71" s="12"/>
      <c r="S71" s="12"/>
      <c r="T71" s="12"/>
      <c r="U71" s="12"/>
      <c r="V71" s="12"/>
      <c r="W71" s="12"/>
      <c r="X71" s="12"/>
      <c r="Y71" s="12"/>
    </row>
    <row r="72" spans="1:26" ht="13.5" thickBot="1" x14ac:dyDescent="0.25">
      <c r="A72" s="361" t="s">
        <v>112</v>
      </c>
      <c r="B72" s="359">
        <f>ROW(A72)</f>
        <v>72</v>
      </c>
      <c r="C72" s="363" t="s">
        <v>115</v>
      </c>
      <c r="D72" s="353">
        <f>SUM(B75:Y75)</f>
        <v>5.25</v>
      </c>
      <c r="E72" s="363" t="s">
        <v>114</v>
      </c>
      <c r="F72" s="354">
        <f>D72/g/J72</f>
        <v>89.1946992864424</v>
      </c>
      <c r="G72" s="363" t="s">
        <v>56</v>
      </c>
      <c r="H72" s="64">
        <v>0.02</v>
      </c>
      <c r="I72" s="363" t="s">
        <v>271</v>
      </c>
      <c r="J72" s="355">
        <f>H72-L72</f>
        <v>6.0000000000000001E-3</v>
      </c>
      <c r="K72" s="363" t="s">
        <v>272</v>
      </c>
      <c r="L72" s="64">
        <v>1.4E-2</v>
      </c>
      <c r="M72" s="363" t="s">
        <v>57</v>
      </c>
      <c r="N72" s="65">
        <v>30</v>
      </c>
      <c r="O72" s="363" t="s">
        <v>59</v>
      </c>
      <c r="P72" s="65">
        <v>30</v>
      </c>
      <c r="Q72" s="363" t="s">
        <v>60</v>
      </c>
      <c r="R72" s="65">
        <v>70</v>
      </c>
      <c r="S72" s="363" t="s">
        <v>61</v>
      </c>
      <c r="T72" s="65">
        <v>15</v>
      </c>
      <c r="U72" s="363" t="s">
        <v>54</v>
      </c>
      <c r="V72" s="66" t="s">
        <v>117</v>
      </c>
      <c r="W72" s="463" t="s">
        <v>394</v>
      </c>
      <c r="X72" s="465">
        <v>1.2</v>
      </c>
      <c r="Y72" s="463" t="s">
        <v>393</v>
      </c>
      <c r="Z72" s="358">
        <v>4</v>
      </c>
    </row>
    <row r="73" spans="1:26" x14ac:dyDescent="0.2">
      <c r="A73" s="362" t="s">
        <v>33</v>
      </c>
      <c r="B73" s="370">
        <v>0</v>
      </c>
      <c r="C73" s="371">
        <v>0.2</v>
      </c>
      <c r="D73" s="371">
        <v>0.3</v>
      </c>
      <c r="E73" s="371">
        <v>0.55000000000000004</v>
      </c>
      <c r="F73" s="371">
        <v>1.05</v>
      </c>
      <c r="G73" s="371">
        <v>1.1499999999999999</v>
      </c>
      <c r="H73" s="371">
        <v>1.1499999999999999</v>
      </c>
      <c r="I73" s="371">
        <v>1.1499999999999999</v>
      </c>
      <c r="J73" s="371">
        <v>1.1499999999999999</v>
      </c>
      <c r="K73" s="371">
        <v>1.1499999999999999</v>
      </c>
      <c r="L73" s="371">
        <v>1.1499999999999999</v>
      </c>
      <c r="M73" s="371">
        <v>1.1499999999999999</v>
      </c>
      <c r="N73" s="371">
        <v>1.1499999999999999</v>
      </c>
      <c r="O73" s="371">
        <v>1.1499999999999999</v>
      </c>
      <c r="P73" s="371">
        <v>1.1499999999999999</v>
      </c>
      <c r="Q73" s="371">
        <v>1.1499999999999999</v>
      </c>
      <c r="R73" s="371">
        <v>1.1499999999999999</v>
      </c>
      <c r="S73" s="371">
        <v>1.1499999999999999</v>
      </c>
      <c r="T73" s="371">
        <v>1.1499999999999999</v>
      </c>
      <c r="U73" s="371">
        <v>1.1499999999999999</v>
      </c>
      <c r="V73" s="371">
        <v>1.1499999999999999</v>
      </c>
      <c r="W73" s="371">
        <v>1.1499999999999999</v>
      </c>
      <c r="X73" s="371">
        <v>1.1499999999999999</v>
      </c>
      <c r="Y73" s="381">
        <v>1000</v>
      </c>
    </row>
    <row r="74" spans="1:26" x14ac:dyDescent="0.2">
      <c r="A74" s="378" t="s">
        <v>34</v>
      </c>
      <c r="B74" s="372">
        <v>0</v>
      </c>
      <c r="C74" s="373">
        <v>10</v>
      </c>
      <c r="D74" s="373">
        <v>6</v>
      </c>
      <c r="E74" s="373">
        <v>4</v>
      </c>
      <c r="F74" s="373">
        <v>4</v>
      </c>
      <c r="G74" s="373">
        <v>0</v>
      </c>
      <c r="H74" s="373">
        <v>0</v>
      </c>
      <c r="I74" s="373">
        <v>0</v>
      </c>
      <c r="J74" s="373">
        <v>0</v>
      </c>
      <c r="K74" s="373">
        <v>0</v>
      </c>
      <c r="L74" s="373">
        <v>0</v>
      </c>
      <c r="M74" s="373">
        <v>0</v>
      </c>
      <c r="N74" s="373">
        <v>0</v>
      </c>
      <c r="O74" s="373">
        <v>0</v>
      </c>
      <c r="P74" s="373">
        <v>0</v>
      </c>
      <c r="Q74" s="373">
        <v>0</v>
      </c>
      <c r="R74" s="373">
        <v>0</v>
      </c>
      <c r="S74" s="373">
        <v>0</v>
      </c>
      <c r="T74" s="373">
        <v>0</v>
      </c>
      <c r="U74" s="373">
        <v>0</v>
      </c>
      <c r="V74" s="373">
        <v>0</v>
      </c>
      <c r="W74" s="373">
        <v>0</v>
      </c>
      <c r="X74" s="373">
        <v>0</v>
      </c>
      <c r="Y74" s="382">
        <v>0</v>
      </c>
    </row>
    <row r="75" spans="1:26" ht="13.5" thickBot="1" x14ac:dyDescent="0.25">
      <c r="A75" s="379" t="s">
        <v>116</v>
      </c>
      <c r="B75" s="374">
        <f t="shared" ref="B75:V75" si="11">(C74+B74)*(C73-B73)/2</f>
        <v>1</v>
      </c>
      <c r="C75" s="375">
        <f t="shared" si="11"/>
        <v>0.79999999999999982</v>
      </c>
      <c r="D75" s="375">
        <f t="shared" si="11"/>
        <v>1.2500000000000002</v>
      </c>
      <c r="E75" s="375">
        <f t="shared" si="11"/>
        <v>2</v>
      </c>
      <c r="F75" s="375">
        <f t="shared" si="11"/>
        <v>0.19999999999999973</v>
      </c>
      <c r="G75" s="375">
        <f t="shared" si="11"/>
        <v>0</v>
      </c>
      <c r="H75" s="375">
        <f t="shared" si="11"/>
        <v>0</v>
      </c>
      <c r="I75" s="375">
        <f t="shared" si="11"/>
        <v>0</v>
      </c>
      <c r="J75" s="375">
        <f>(K74+J74)*(K73-J73)/2</f>
        <v>0</v>
      </c>
      <c r="K75" s="375">
        <f t="shared" si="11"/>
        <v>0</v>
      </c>
      <c r="L75" s="375">
        <f t="shared" si="11"/>
        <v>0</v>
      </c>
      <c r="M75" s="375">
        <f t="shared" si="11"/>
        <v>0</v>
      </c>
      <c r="N75" s="375">
        <f t="shared" si="11"/>
        <v>0</v>
      </c>
      <c r="O75" s="375">
        <f t="shared" si="11"/>
        <v>0</v>
      </c>
      <c r="P75" s="375">
        <f t="shared" si="11"/>
        <v>0</v>
      </c>
      <c r="Q75" s="375">
        <f t="shared" si="11"/>
        <v>0</v>
      </c>
      <c r="R75" s="375">
        <f t="shared" si="11"/>
        <v>0</v>
      </c>
      <c r="S75" s="375">
        <f>(T74+S74)*(T73-S73)/2</f>
        <v>0</v>
      </c>
      <c r="T75" s="375">
        <f t="shared" si="11"/>
        <v>0</v>
      </c>
      <c r="U75" s="375">
        <f t="shared" si="11"/>
        <v>0</v>
      </c>
      <c r="V75" s="375">
        <f t="shared" si="11"/>
        <v>0</v>
      </c>
      <c r="W75" s="375">
        <f>(X74+W74)*(X73-W73)/2</f>
        <v>0</v>
      </c>
      <c r="X75" s="375">
        <f>(Y74+X74)*(Y73-X73)/2</f>
        <v>0</v>
      </c>
      <c r="Y75" s="369"/>
    </row>
    <row r="76" spans="1:26" ht="13.5" thickBot="1" x14ac:dyDescent="0.25">
      <c r="B76" s="12"/>
      <c r="C76" s="12"/>
      <c r="D76" s="12"/>
      <c r="E76" s="12"/>
      <c r="F76" s="12"/>
      <c r="G76" s="12"/>
      <c r="H76" s="12"/>
      <c r="I76" s="12"/>
      <c r="J76" s="12"/>
      <c r="K76" s="12"/>
      <c r="L76" s="12"/>
      <c r="M76" s="12"/>
      <c r="N76" s="12"/>
      <c r="O76" s="12"/>
      <c r="P76" s="12"/>
      <c r="Q76" s="12"/>
      <c r="R76" s="12"/>
      <c r="S76" s="12"/>
      <c r="T76" s="12"/>
      <c r="U76" s="12"/>
      <c r="V76" s="12"/>
      <c r="W76" s="12"/>
      <c r="X76" s="12"/>
      <c r="Y76" s="12"/>
    </row>
    <row r="77" spans="1:26" ht="13.5" thickBot="1" x14ac:dyDescent="0.25">
      <c r="A77" s="361" t="s">
        <v>113</v>
      </c>
      <c r="B77" s="359">
        <f>ROW(A77)</f>
        <v>77</v>
      </c>
      <c r="C77" s="363" t="s">
        <v>115</v>
      </c>
      <c r="D77" s="353">
        <f>SUM(B80:Y80)</f>
        <v>10.26</v>
      </c>
      <c r="E77" s="363" t="s">
        <v>114</v>
      </c>
      <c r="F77" s="354">
        <f>D77/g/J77</f>
        <v>80.451658433309802</v>
      </c>
      <c r="G77" s="363" t="s">
        <v>56</v>
      </c>
      <c r="H77" s="64">
        <v>2.4E-2</v>
      </c>
      <c r="I77" s="363" t="s">
        <v>271</v>
      </c>
      <c r="J77" s="355">
        <f>H77-L77</f>
        <v>1.3000000000000001E-2</v>
      </c>
      <c r="K77" s="363" t="s">
        <v>272</v>
      </c>
      <c r="L77" s="64">
        <v>1.0999999999999999E-2</v>
      </c>
      <c r="M77" s="363" t="s">
        <v>57</v>
      </c>
      <c r="N77" s="65">
        <v>30</v>
      </c>
      <c r="O77" s="363" t="s">
        <v>59</v>
      </c>
      <c r="P77" s="65">
        <v>30</v>
      </c>
      <c r="Q77" s="363" t="s">
        <v>60</v>
      </c>
      <c r="R77" s="65">
        <v>70</v>
      </c>
      <c r="S77" s="363" t="s">
        <v>61</v>
      </c>
      <c r="T77" s="65">
        <v>15</v>
      </c>
      <c r="U77" s="363" t="s">
        <v>54</v>
      </c>
      <c r="V77" s="66" t="s">
        <v>117</v>
      </c>
      <c r="W77" s="463" t="s">
        <v>394</v>
      </c>
      <c r="X77" s="465">
        <v>1.7</v>
      </c>
      <c r="Y77" s="463" t="s">
        <v>393</v>
      </c>
      <c r="Z77" s="358">
        <v>3</v>
      </c>
    </row>
    <row r="78" spans="1:26" x14ac:dyDescent="0.2">
      <c r="A78" s="362" t="s">
        <v>33</v>
      </c>
      <c r="B78" s="370">
        <v>0</v>
      </c>
      <c r="C78" s="371">
        <v>0.2</v>
      </c>
      <c r="D78" s="371">
        <v>0.3</v>
      </c>
      <c r="E78" s="371">
        <v>0.6</v>
      </c>
      <c r="F78" s="371">
        <v>0.8</v>
      </c>
      <c r="G78" s="371">
        <v>2</v>
      </c>
      <c r="H78" s="371">
        <v>2.1</v>
      </c>
      <c r="I78" s="371">
        <v>2.1</v>
      </c>
      <c r="J78" s="371">
        <v>2.1</v>
      </c>
      <c r="K78" s="371">
        <v>2.1</v>
      </c>
      <c r="L78" s="371">
        <v>2.1</v>
      </c>
      <c r="M78" s="371">
        <v>2.1</v>
      </c>
      <c r="N78" s="371">
        <v>2.1</v>
      </c>
      <c r="O78" s="371">
        <v>2.1</v>
      </c>
      <c r="P78" s="371">
        <v>2.1</v>
      </c>
      <c r="Q78" s="371">
        <v>2.1</v>
      </c>
      <c r="R78" s="371">
        <v>2.1</v>
      </c>
      <c r="S78" s="371">
        <v>2.1</v>
      </c>
      <c r="T78" s="371">
        <v>2.1</v>
      </c>
      <c r="U78" s="371">
        <v>2.1</v>
      </c>
      <c r="V78" s="371">
        <v>2.1</v>
      </c>
      <c r="W78" s="371">
        <v>2.1</v>
      </c>
      <c r="X78" s="371">
        <v>2.1</v>
      </c>
      <c r="Y78" s="381">
        <v>1000</v>
      </c>
    </row>
    <row r="79" spans="1:26" x14ac:dyDescent="0.2">
      <c r="A79" s="378" t="s">
        <v>34</v>
      </c>
      <c r="B79" s="372">
        <v>0</v>
      </c>
      <c r="C79" s="373">
        <v>11</v>
      </c>
      <c r="D79" s="373">
        <v>7</v>
      </c>
      <c r="E79" s="373">
        <v>4</v>
      </c>
      <c r="F79" s="373">
        <v>4.5999999999999996</v>
      </c>
      <c r="G79" s="373">
        <v>4.5999999999999996</v>
      </c>
      <c r="H79" s="373">
        <v>0</v>
      </c>
      <c r="I79" s="373">
        <v>0</v>
      </c>
      <c r="J79" s="373">
        <v>0</v>
      </c>
      <c r="K79" s="373">
        <v>0</v>
      </c>
      <c r="L79" s="373">
        <v>0</v>
      </c>
      <c r="M79" s="373">
        <v>0</v>
      </c>
      <c r="N79" s="373">
        <v>0</v>
      </c>
      <c r="O79" s="373">
        <v>0</v>
      </c>
      <c r="P79" s="373">
        <v>0</v>
      </c>
      <c r="Q79" s="373">
        <v>0</v>
      </c>
      <c r="R79" s="373">
        <v>0</v>
      </c>
      <c r="S79" s="373">
        <v>0</v>
      </c>
      <c r="T79" s="373">
        <v>0</v>
      </c>
      <c r="U79" s="373">
        <v>0</v>
      </c>
      <c r="V79" s="373">
        <v>0</v>
      </c>
      <c r="W79" s="373">
        <v>0</v>
      </c>
      <c r="X79" s="373">
        <v>0</v>
      </c>
      <c r="Y79" s="382">
        <v>0</v>
      </c>
    </row>
    <row r="80" spans="1:26" ht="13.5" thickBot="1" x14ac:dyDescent="0.25">
      <c r="A80" s="379" t="s">
        <v>116</v>
      </c>
      <c r="B80" s="374">
        <f t="shared" ref="B80:G80" si="12">(C79+B79)*(C78-B78)/2</f>
        <v>1.1000000000000001</v>
      </c>
      <c r="C80" s="375">
        <f t="shared" si="12"/>
        <v>0.8999999999999998</v>
      </c>
      <c r="D80" s="375">
        <f t="shared" si="12"/>
        <v>1.65</v>
      </c>
      <c r="E80" s="375">
        <f t="shared" si="12"/>
        <v>0.86000000000000021</v>
      </c>
      <c r="F80" s="375">
        <f t="shared" si="12"/>
        <v>5.52</v>
      </c>
      <c r="G80" s="375">
        <f t="shared" si="12"/>
        <v>0.23000000000000018</v>
      </c>
      <c r="H80" s="375">
        <f t="shared" ref="H80:V80" si="13">(I79+H79)*(I78-H78)/2</f>
        <v>0</v>
      </c>
      <c r="I80" s="375">
        <f t="shared" si="13"/>
        <v>0</v>
      </c>
      <c r="J80" s="375">
        <f>(K79+J79)*(K78-J78)/2</f>
        <v>0</v>
      </c>
      <c r="K80" s="375">
        <f t="shared" si="13"/>
        <v>0</v>
      </c>
      <c r="L80" s="375">
        <f t="shared" si="13"/>
        <v>0</v>
      </c>
      <c r="M80" s="375">
        <f t="shared" si="13"/>
        <v>0</v>
      </c>
      <c r="N80" s="375">
        <f t="shared" si="13"/>
        <v>0</v>
      </c>
      <c r="O80" s="375">
        <f t="shared" si="13"/>
        <v>0</v>
      </c>
      <c r="P80" s="375">
        <f t="shared" si="13"/>
        <v>0</v>
      </c>
      <c r="Q80" s="375">
        <f t="shared" si="13"/>
        <v>0</v>
      </c>
      <c r="R80" s="375">
        <f t="shared" si="13"/>
        <v>0</v>
      </c>
      <c r="S80" s="375">
        <f>(T79+S79)*(T78-S78)/2</f>
        <v>0</v>
      </c>
      <c r="T80" s="375">
        <f t="shared" si="13"/>
        <v>0</v>
      </c>
      <c r="U80" s="375">
        <f t="shared" si="13"/>
        <v>0</v>
      </c>
      <c r="V80" s="375">
        <f t="shared" si="13"/>
        <v>0</v>
      </c>
      <c r="W80" s="375">
        <f>(X79+W79)*(X78-W78)/2</f>
        <v>0</v>
      </c>
      <c r="X80" s="375">
        <f>(Y79+X79)*(Y78-X78)/2</f>
        <v>0</v>
      </c>
      <c r="Y80" s="369"/>
    </row>
    <row r="81" spans="1:26" ht="13.5" thickBot="1" x14ac:dyDescent="0.25">
      <c r="A81" s="12"/>
      <c r="L81" s="12"/>
      <c r="M81" s="12"/>
      <c r="N81" s="12"/>
      <c r="O81" s="12"/>
      <c r="P81" s="12"/>
      <c r="Q81" s="12"/>
      <c r="R81" s="12"/>
      <c r="S81" s="12"/>
      <c r="T81" s="12"/>
      <c r="U81" s="12"/>
      <c r="V81" s="12"/>
      <c r="W81" s="12"/>
      <c r="X81" s="12"/>
      <c r="Y81" s="12"/>
    </row>
    <row r="82" spans="1:26" ht="13.5" thickBot="1" x14ac:dyDescent="0.25">
      <c r="A82" s="361" t="s">
        <v>329</v>
      </c>
      <c r="B82" s="359">
        <f>ROW(A82)</f>
        <v>82</v>
      </c>
      <c r="C82" s="363" t="s">
        <v>115</v>
      </c>
      <c r="D82" s="353">
        <f>SUM(B85:Y85)</f>
        <v>20.52</v>
      </c>
      <c r="E82" s="363" t="s">
        <v>114</v>
      </c>
      <c r="F82" s="354">
        <f>D82/g/J82</f>
        <v>80.451658433309802</v>
      </c>
      <c r="G82" s="363" t="s">
        <v>56</v>
      </c>
      <c r="H82" s="64">
        <f>H77*2</f>
        <v>4.8000000000000001E-2</v>
      </c>
      <c r="I82" s="363" t="s">
        <v>271</v>
      </c>
      <c r="J82" s="355">
        <f>H82-L82</f>
        <v>2.6000000000000002E-2</v>
      </c>
      <c r="K82" s="363" t="s">
        <v>272</v>
      </c>
      <c r="L82" s="64">
        <f>L77*2</f>
        <v>2.1999999999999999E-2</v>
      </c>
      <c r="M82" s="363" t="s">
        <v>57</v>
      </c>
      <c r="N82" s="65">
        <v>30</v>
      </c>
      <c r="O82" s="363" t="s">
        <v>59</v>
      </c>
      <c r="P82" s="65">
        <v>30</v>
      </c>
      <c r="Q82" s="363" t="s">
        <v>60</v>
      </c>
      <c r="R82" s="65">
        <v>70</v>
      </c>
      <c r="S82" s="363" t="s">
        <v>61</v>
      </c>
      <c r="T82" s="65">
        <v>30</v>
      </c>
      <c r="U82" s="363" t="s">
        <v>54</v>
      </c>
      <c r="V82" s="66" t="s">
        <v>117</v>
      </c>
      <c r="W82" s="463" t="s">
        <v>394</v>
      </c>
      <c r="X82" s="465">
        <v>1.7</v>
      </c>
      <c r="Y82" s="463" t="s">
        <v>393</v>
      </c>
      <c r="Z82" s="358">
        <v>3</v>
      </c>
    </row>
    <row r="83" spans="1:26" x14ac:dyDescent="0.2">
      <c r="A83" s="362" t="s">
        <v>33</v>
      </c>
      <c r="B83" s="370">
        <v>0</v>
      </c>
      <c r="C83" s="371">
        <v>0.2</v>
      </c>
      <c r="D83" s="371">
        <v>0.3</v>
      </c>
      <c r="E83" s="371">
        <v>0.6</v>
      </c>
      <c r="F83" s="371">
        <v>0.8</v>
      </c>
      <c r="G83" s="371">
        <v>2</v>
      </c>
      <c r="H83" s="371">
        <v>2.1</v>
      </c>
      <c r="I83" s="371">
        <v>2.1</v>
      </c>
      <c r="J83" s="371">
        <v>2.1</v>
      </c>
      <c r="K83" s="371">
        <v>2.1</v>
      </c>
      <c r="L83" s="371">
        <v>2.1</v>
      </c>
      <c r="M83" s="371">
        <v>2.1</v>
      </c>
      <c r="N83" s="371">
        <v>2.1</v>
      </c>
      <c r="O83" s="371">
        <v>2.1</v>
      </c>
      <c r="P83" s="371">
        <v>2.1</v>
      </c>
      <c r="Q83" s="371">
        <v>2.1</v>
      </c>
      <c r="R83" s="371">
        <v>2.1</v>
      </c>
      <c r="S83" s="371">
        <v>2.1</v>
      </c>
      <c r="T83" s="371">
        <v>2.1</v>
      </c>
      <c r="U83" s="371">
        <v>2.1</v>
      </c>
      <c r="V83" s="371">
        <v>2.1</v>
      </c>
      <c r="W83" s="371">
        <v>2.1</v>
      </c>
      <c r="X83" s="371">
        <v>2.1</v>
      </c>
      <c r="Y83" s="381">
        <v>1000</v>
      </c>
    </row>
    <row r="84" spans="1:26" x14ac:dyDescent="0.2">
      <c r="A84" s="378" t="s">
        <v>34</v>
      </c>
      <c r="B84" s="372">
        <f>B79*2</f>
        <v>0</v>
      </c>
      <c r="C84" s="373">
        <f t="shared" ref="C84:X84" si="14">C79*2</f>
        <v>22</v>
      </c>
      <c r="D84" s="373">
        <f t="shared" si="14"/>
        <v>14</v>
      </c>
      <c r="E84" s="373">
        <f t="shared" si="14"/>
        <v>8</v>
      </c>
      <c r="F84" s="373">
        <f t="shared" si="14"/>
        <v>9.1999999999999993</v>
      </c>
      <c r="G84" s="373">
        <f t="shared" si="14"/>
        <v>9.1999999999999993</v>
      </c>
      <c r="H84" s="373">
        <f t="shared" si="14"/>
        <v>0</v>
      </c>
      <c r="I84" s="373">
        <f t="shared" si="14"/>
        <v>0</v>
      </c>
      <c r="J84" s="373">
        <f t="shared" si="14"/>
        <v>0</v>
      </c>
      <c r="K84" s="373">
        <f t="shared" si="14"/>
        <v>0</v>
      </c>
      <c r="L84" s="373">
        <f t="shared" si="14"/>
        <v>0</v>
      </c>
      <c r="M84" s="373">
        <f t="shared" si="14"/>
        <v>0</v>
      </c>
      <c r="N84" s="373">
        <f t="shared" si="14"/>
        <v>0</v>
      </c>
      <c r="O84" s="373">
        <f t="shared" si="14"/>
        <v>0</v>
      </c>
      <c r="P84" s="373">
        <f t="shared" si="14"/>
        <v>0</v>
      </c>
      <c r="Q84" s="373">
        <f t="shared" si="14"/>
        <v>0</v>
      </c>
      <c r="R84" s="373">
        <f t="shared" si="14"/>
        <v>0</v>
      </c>
      <c r="S84" s="373">
        <f t="shared" si="14"/>
        <v>0</v>
      </c>
      <c r="T84" s="373">
        <f t="shared" si="14"/>
        <v>0</v>
      </c>
      <c r="U84" s="373">
        <f t="shared" si="14"/>
        <v>0</v>
      </c>
      <c r="V84" s="373">
        <f t="shared" si="14"/>
        <v>0</v>
      </c>
      <c r="W84" s="373">
        <f t="shared" si="14"/>
        <v>0</v>
      </c>
      <c r="X84" s="373">
        <f t="shared" si="14"/>
        <v>0</v>
      </c>
      <c r="Y84" s="382">
        <v>0</v>
      </c>
    </row>
    <row r="85" spans="1:26" ht="13.5" thickBot="1" x14ac:dyDescent="0.25">
      <c r="A85" s="379" t="s">
        <v>116</v>
      </c>
      <c r="B85" s="374">
        <f t="shared" ref="B85:X85" si="15">(C84+B84)*(C83-B83)/2</f>
        <v>2.2000000000000002</v>
      </c>
      <c r="C85" s="375">
        <f t="shared" si="15"/>
        <v>1.7999999999999996</v>
      </c>
      <c r="D85" s="375">
        <f t="shared" si="15"/>
        <v>3.3</v>
      </c>
      <c r="E85" s="375">
        <f t="shared" si="15"/>
        <v>1.7200000000000004</v>
      </c>
      <c r="F85" s="375">
        <f t="shared" si="15"/>
        <v>11.04</v>
      </c>
      <c r="G85" s="375">
        <f t="shared" si="15"/>
        <v>0.46000000000000035</v>
      </c>
      <c r="H85" s="375">
        <f t="shared" si="15"/>
        <v>0</v>
      </c>
      <c r="I85" s="375">
        <f t="shared" si="15"/>
        <v>0</v>
      </c>
      <c r="J85" s="375">
        <f t="shared" si="15"/>
        <v>0</v>
      </c>
      <c r="K85" s="375">
        <f t="shared" si="15"/>
        <v>0</v>
      </c>
      <c r="L85" s="375">
        <f t="shared" si="15"/>
        <v>0</v>
      </c>
      <c r="M85" s="375">
        <f t="shared" si="15"/>
        <v>0</v>
      </c>
      <c r="N85" s="375">
        <f t="shared" si="15"/>
        <v>0</v>
      </c>
      <c r="O85" s="375">
        <f t="shared" si="15"/>
        <v>0</v>
      </c>
      <c r="P85" s="375">
        <f t="shared" si="15"/>
        <v>0</v>
      </c>
      <c r="Q85" s="375">
        <f t="shared" si="15"/>
        <v>0</v>
      </c>
      <c r="R85" s="375">
        <f t="shared" si="15"/>
        <v>0</v>
      </c>
      <c r="S85" s="375">
        <f t="shared" si="15"/>
        <v>0</v>
      </c>
      <c r="T85" s="375">
        <f t="shared" si="15"/>
        <v>0</v>
      </c>
      <c r="U85" s="375">
        <f t="shared" si="15"/>
        <v>0</v>
      </c>
      <c r="V85" s="375">
        <f t="shared" si="15"/>
        <v>0</v>
      </c>
      <c r="W85" s="375">
        <f t="shared" si="15"/>
        <v>0</v>
      </c>
      <c r="X85" s="375">
        <f t="shared" si="15"/>
        <v>0</v>
      </c>
      <c r="Y85" s="369"/>
    </row>
    <row r="86" spans="1:26" ht="13.5" thickBot="1" x14ac:dyDescent="0.25">
      <c r="B86" s="12"/>
      <c r="C86" s="12"/>
      <c r="D86" s="12"/>
      <c r="E86" s="12"/>
      <c r="F86" s="12"/>
      <c r="G86" s="12"/>
      <c r="H86" s="12"/>
      <c r="I86" s="12"/>
      <c r="J86" s="12"/>
      <c r="K86" s="12"/>
      <c r="L86" s="12"/>
      <c r="M86" s="12"/>
      <c r="N86" s="12"/>
      <c r="O86" s="12"/>
      <c r="P86" s="12"/>
      <c r="Q86" s="12"/>
      <c r="R86" s="12"/>
      <c r="S86" s="12"/>
      <c r="T86" s="12"/>
      <c r="U86" s="12"/>
      <c r="V86" s="12"/>
      <c r="W86" s="12"/>
      <c r="X86" s="12"/>
      <c r="Y86" s="12"/>
    </row>
    <row r="87" spans="1:26" ht="13.5" thickBot="1" x14ac:dyDescent="0.25">
      <c r="A87" s="361" t="s">
        <v>330</v>
      </c>
      <c r="B87" s="359">
        <f>ROW(A87)</f>
        <v>87</v>
      </c>
      <c r="C87" s="363" t="s">
        <v>115</v>
      </c>
      <c r="D87" s="353">
        <f>SUM(B90:Y90)</f>
        <v>30.779999999999998</v>
      </c>
      <c r="E87" s="363" t="s">
        <v>114</v>
      </c>
      <c r="F87" s="354">
        <f>D87/g/J87</f>
        <v>80.451658433309774</v>
      </c>
      <c r="G87" s="363" t="s">
        <v>56</v>
      </c>
      <c r="H87" s="64">
        <f>H77*3</f>
        <v>7.2000000000000008E-2</v>
      </c>
      <c r="I87" s="363" t="s">
        <v>271</v>
      </c>
      <c r="J87" s="355">
        <f>H87-L87</f>
        <v>3.9000000000000007E-2</v>
      </c>
      <c r="K87" s="363" t="s">
        <v>272</v>
      </c>
      <c r="L87" s="64">
        <f>L77*3</f>
        <v>3.3000000000000002E-2</v>
      </c>
      <c r="M87" s="363" t="s">
        <v>57</v>
      </c>
      <c r="N87" s="65">
        <v>30</v>
      </c>
      <c r="O87" s="363" t="s">
        <v>59</v>
      </c>
      <c r="P87" s="65">
        <v>30</v>
      </c>
      <c r="Q87" s="363" t="s">
        <v>60</v>
      </c>
      <c r="R87" s="65">
        <v>70</v>
      </c>
      <c r="S87" s="363" t="s">
        <v>61</v>
      </c>
      <c r="T87" s="65">
        <v>40</v>
      </c>
      <c r="U87" s="363" t="s">
        <v>54</v>
      </c>
      <c r="V87" s="66" t="s">
        <v>117</v>
      </c>
      <c r="W87" s="463" t="s">
        <v>394</v>
      </c>
      <c r="X87" s="465">
        <v>1.7</v>
      </c>
      <c r="Y87" s="463" t="s">
        <v>393</v>
      </c>
      <c r="Z87" s="358">
        <v>3</v>
      </c>
    </row>
    <row r="88" spans="1:26" x14ac:dyDescent="0.2">
      <c r="A88" s="362" t="s">
        <v>33</v>
      </c>
      <c r="B88" s="370">
        <v>0</v>
      </c>
      <c r="C88" s="371">
        <v>0.2</v>
      </c>
      <c r="D88" s="371">
        <v>0.3</v>
      </c>
      <c r="E88" s="371">
        <v>0.6</v>
      </c>
      <c r="F88" s="371">
        <v>0.8</v>
      </c>
      <c r="G88" s="371">
        <v>2</v>
      </c>
      <c r="H88" s="371">
        <v>2.1</v>
      </c>
      <c r="I88" s="371">
        <v>2.1</v>
      </c>
      <c r="J88" s="371">
        <v>2.1</v>
      </c>
      <c r="K88" s="371">
        <v>2.1</v>
      </c>
      <c r="L88" s="371">
        <v>2.1</v>
      </c>
      <c r="M88" s="371">
        <v>2.1</v>
      </c>
      <c r="N88" s="371">
        <v>2.1</v>
      </c>
      <c r="O88" s="371">
        <v>2.1</v>
      </c>
      <c r="P88" s="371">
        <v>2.1</v>
      </c>
      <c r="Q88" s="371">
        <v>2.1</v>
      </c>
      <c r="R88" s="371">
        <v>2.1</v>
      </c>
      <c r="S88" s="371">
        <v>2.1</v>
      </c>
      <c r="T88" s="371">
        <v>2.1</v>
      </c>
      <c r="U88" s="371">
        <v>2.1</v>
      </c>
      <c r="V88" s="371">
        <v>2.1</v>
      </c>
      <c r="W88" s="371">
        <v>2.1</v>
      </c>
      <c r="X88" s="371">
        <v>2.1</v>
      </c>
      <c r="Y88" s="381">
        <v>1000</v>
      </c>
    </row>
    <row r="89" spans="1:26" x14ac:dyDescent="0.2">
      <c r="A89" s="378" t="s">
        <v>34</v>
      </c>
      <c r="B89" s="372">
        <f>B79*3</f>
        <v>0</v>
      </c>
      <c r="C89" s="373">
        <f t="shared" ref="C89:X89" si="16">C79*3</f>
        <v>33</v>
      </c>
      <c r="D89" s="373">
        <f t="shared" si="16"/>
        <v>21</v>
      </c>
      <c r="E89" s="373">
        <f t="shared" si="16"/>
        <v>12</v>
      </c>
      <c r="F89" s="373">
        <f t="shared" si="16"/>
        <v>13.799999999999999</v>
      </c>
      <c r="G89" s="373">
        <f t="shared" si="16"/>
        <v>13.799999999999999</v>
      </c>
      <c r="H89" s="373">
        <f t="shared" si="16"/>
        <v>0</v>
      </c>
      <c r="I89" s="373">
        <f t="shared" si="16"/>
        <v>0</v>
      </c>
      <c r="J89" s="373">
        <f t="shared" si="16"/>
        <v>0</v>
      </c>
      <c r="K89" s="373">
        <f t="shared" si="16"/>
        <v>0</v>
      </c>
      <c r="L89" s="373">
        <f t="shared" si="16"/>
        <v>0</v>
      </c>
      <c r="M89" s="373">
        <f t="shared" si="16"/>
        <v>0</v>
      </c>
      <c r="N89" s="373">
        <f t="shared" si="16"/>
        <v>0</v>
      </c>
      <c r="O89" s="373">
        <f t="shared" si="16"/>
        <v>0</v>
      </c>
      <c r="P89" s="373">
        <f t="shared" si="16"/>
        <v>0</v>
      </c>
      <c r="Q89" s="373">
        <f t="shared" si="16"/>
        <v>0</v>
      </c>
      <c r="R89" s="373">
        <f t="shared" si="16"/>
        <v>0</v>
      </c>
      <c r="S89" s="373">
        <f t="shared" si="16"/>
        <v>0</v>
      </c>
      <c r="T89" s="373">
        <f t="shared" si="16"/>
        <v>0</v>
      </c>
      <c r="U89" s="373">
        <f t="shared" si="16"/>
        <v>0</v>
      </c>
      <c r="V89" s="373">
        <f t="shared" si="16"/>
        <v>0</v>
      </c>
      <c r="W89" s="373">
        <f t="shared" si="16"/>
        <v>0</v>
      </c>
      <c r="X89" s="373">
        <f t="shared" si="16"/>
        <v>0</v>
      </c>
      <c r="Y89" s="382">
        <v>0</v>
      </c>
    </row>
    <row r="90" spans="1:26" ht="13.5" thickBot="1" x14ac:dyDescent="0.25">
      <c r="A90" s="379" t="s">
        <v>116</v>
      </c>
      <c r="B90" s="374">
        <f t="shared" ref="B90:X90" si="17">(C89+B89)*(C88-B88)/2</f>
        <v>3.3000000000000003</v>
      </c>
      <c r="C90" s="375">
        <f t="shared" si="17"/>
        <v>2.6999999999999993</v>
      </c>
      <c r="D90" s="375">
        <f t="shared" si="17"/>
        <v>4.95</v>
      </c>
      <c r="E90" s="375">
        <f t="shared" si="17"/>
        <v>2.5800000000000005</v>
      </c>
      <c r="F90" s="375">
        <f t="shared" si="17"/>
        <v>16.559999999999999</v>
      </c>
      <c r="G90" s="375">
        <f t="shared" si="17"/>
        <v>0.69000000000000061</v>
      </c>
      <c r="H90" s="375">
        <f t="shared" si="17"/>
        <v>0</v>
      </c>
      <c r="I90" s="375">
        <f t="shared" si="17"/>
        <v>0</v>
      </c>
      <c r="J90" s="375">
        <f t="shared" si="17"/>
        <v>0</v>
      </c>
      <c r="K90" s="375">
        <f t="shared" si="17"/>
        <v>0</v>
      </c>
      <c r="L90" s="375">
        <f t="shared" si="17"/>
        <v>0</v>
      </c>
      <c r="M90" s="375">
        <f t="shared" si="17"/>
        <v>0</v>
      </c>
      <c r="N90" s="375">
        <f t="shared" si="17"/>
        <v>0</v>
      </c>
      <c r="O90" s="375">
        <f t="shared" si="17"/>
        <v>0</v>
      </c>
      <c r="P90" s="375">
        <f t="shared" si="17"/>
        <v>0</v>
      </c>
      <c r="Q90" s="375">
        <f t="shared" si="17"/>
        <v>0</v>
      </c>
      <c r="R90" s="375">
        <f t="shared" si="17"/>
        <v>0</v>
      </c>
      <c r="S90" s="375">
        <f t="shared" si="17"/>
        <v>0</v>
      </c>
      <c r="T90" s="375">
        <f t="shared" si="17"/>
        <v>0</v>
      </c>
      <c r="U90" s="375">
        <f t="shared" si="17"/>
        <v>0</v>
      </c>
      <c r="V90" s="375">
        <f t="shared" si="17"/>
        <v>0</v>
      </c>
      <c r="W90" s="375">
        <f t="shared" si="17"/>
        <v>0</v>
      </c>
      <c r="X90" s="375">
        <f t="shared" si="17"/>
        <v>0</v>
      </c>
      <c r="Y90" s="369"/>
    </row>
    <row r="91" spans="1:26" ht="13.5" thickBot="1" x14ac:dyDescent="0.25">
      <c r="B91" s="12"/>
      <c r="C91" s="12"/>
      <c r="D91" s="12"/>
      <c r="E91" s="12"/>
      <c r="F91" s="12"/>
      <c r="G91" s="12"/>
      <c r="H91" s="12"/>
      <c r="I91" s="12"/>
      <c r="J91" s="12"/>
      <c r="K91" s="12"/>
      <c r="L91" s="12"/>
      <c r="M91" s="12"/>
      <c r="N91" s="12"/>
      <c r="O91" s="12"/>
      <c r="P91" s="12"/>
      <c r="Q91" s="12"/>
      <c r="R91" s="12"/>
      <c r="S91" s="12"/>
      <c r="T91" s="12"/>
      <c r="U91" s="12"/>
      <c r="V91" s="12"/>
      <c r="W91" s="12"/>
      <c r="X91" s="12"/>
      <c r="Y91" s="12"/>
    </row>
    <row r="92" spans="1:26" ht="13.5" thickBot="1" x14ac:dyDescent="0.25">
      <c r="A92" s="361" t="s">
        <v>541</v>
      </c>
      <c r="B92" s="359">
        <f>ROW(A92)</f>
        <v>92</v>
      </c>
      <c r="C92" s="363" t="s">
        <v>115</v>
      </c>
      <c r="D92" s="353">
        <f>SUM(B95:Y95)</f>
        <v>19.961989000000003</v>
      </c>
      <c r="E92" s="363" t="s">
        <v>114</v>
      </c>
      <c r="F92" s="354">
        <f>D92/g/J92</f>
        <v>118.30588744280873</v>
      </c>
      <c r="G92" s="363" t="s">
        <v>56</v>
      </c>
      <c r="H92" s="64">
        <v>2.8199999999999999E-2</v>
      </c>
      <c r="I92" s="363" t="s">
        <v>271</v>
      </c>
      <c r="J92" s="355">
        <f>H92-L92</f>
        <v>1.72E-2</v>
      </c>
      <c r="K92" s="363" t="s">
        <v>272</v>
      </c>
      <c r="L92" s="64">
        <v>1.0999999999999999E-2</v>
      </c>
      <c r="M92" s="363" t="s">
        <v>57</v>
      </c>
      <c r="N92" s="65">
        <v>30</v>
      </c>
      <c r="O92" s="363" t="s">
        <v>59</v>
      </c>
      <c r="P92" s="65">
        <v>30</v>
      </c>
      <c r="Q92" s="363" t="s">
        <v>60</v>
      </c>
      <c r="R92" s="65">
        <v>70</v>
      </c>
      <c r="S92" s="363" t="s">
        <v>61</v>
      </c>
      <c r="T92" s="65">
        <v>18</v>
      </c>
      <c r="U92" s="363" t="s">
        <v>54</v>
      </c>
      <c r="V92" s="66" t="s">
        <v>401</v>
      </c>
      <c r="W92" s="463" t="s">
        <v>394</v>
      </c>
      <c r="X92" s="465">
        <v>2.1</v>
      </c>
      <c r="Y92" s="463" t="s">
        <v>393</v>
      </c>
      <c r="Z92" s="358">
        <v>7</v>
      </c>
    </row>
    <row r="93" spans="1:26" x14ac:dyDescent="0.2">
      <c r="A93" s="362" t="s">
        <v>33</v>
      </c>
      <c r="B93" s="370">
        <v>0</v>
      </c>
      <c r="C93" s="471">
        <v>0.04</v>
      </c>
      <c r="D93" s="471">
        <v>0.11600000000000001</v>
      </c>
      <c r="E93" s="471">
        <v>0.21299999999999999</v>
      </c>
      <c r="F93" s="471">
        <v>0.28599999999999998</v>
      </c>
      <c r="G93" s="471">
        <v>0.32900000000000001</v>
      </c>
      <c r="H93" s="471">
        <v>0.36899999999999999</v>
      </c>
      <c r="I93" s="471">
        <v>0.42</v>
      </c>
      <c r="J93" s="471">
        <v>0.495</v>
      </c>
      <c r="K93" s="471">
        <v>0.59699999999999998</v>
      </c>
      <c r="L93" s="471">
        <v>1.7110000000000001</v>
      </c>
      <c r="M93" s="471">
        <v>1.8260000000000001</v>
      </c>
      <c r="N93" s="471">
        <v>1.917</v>
      </c>
      <c r="O93" s="471">
        <v>1.9750000000000001</v>
      </c>
      <c r="P93" s="471">
        <v>2.206</v>
      </c>
      <c r="Q93" s="471">
        <v>2.242</v>
      </c>
      <c r="R93" s="371">
        <v>2.5</v>
      </c>
      <c r="S93" s="371">
        <v>2.5</v>
      </c>
      <c r="T93" s="371">
        <v>2.5</v>
      </c>
      <c r="U93" s="371">
        <v>2.5</v>
      </c>
      <c r="V93" s="371">
        <v>2.5</v>
      </c>
      <c r="W93" s="371">
        <v>2.5</v>
      </c>
      <c r="X93" s="371">
        <v>2.5</v>
      </c>
      <c r="Y93" s="381">
        <v>1000</v>
      </c>
    </row>
    <row r="94" spans="1:26" x14ac:dyDescent="0.2">
      <c r="A94" s="378" t="s">
        <v>34</v>
      </c>
      <c r="B94" s="372">
        <v>0</v>
      </c>
      <c r="C94" s="471">
        <v>2.1110000000000002</v>
      </c>
      <c r="D94" s="471">
        <v>9.6850000000000005</v>
      </c>
      <c r="E94" s="471">
        <v>25</v>
      </c>
      <c r="F94" s="471">
        <v>15.738</v>
      </c>
      <c r="G94" s="471">
        <v>12.472</v>
      </c>
      <c r="H94" s="471">
        <v>10.67</v>
      </c>
      <c r="I94" s="471">
        <v>9.7129999999999992</v>
      </c>
      <c r="J94" s="471">
        <v>9.1780000000000008</v>
      </c>
      <c r="K94" s="471">
        <v>8.8960000000000008</v>
      </c>
      <c r="L94" s="471">
        <v>8.9250000000000007</v>
      </c>
      <c r="M94" s="471">
        <v>8.6989999999999998</v>
      </c>
      <c r="N94" s="471">
        <v>8.0519999999999996</v>
      </c>
      <c r="O94" s="471">
        <v>6.9539999999999997</v>
      </c>
      <c r="P94" s="471">
        <v>1.07</v>
      </c>
      <c r="Q94" s="471">
        <v>0</v>
      </c>
      <c r="R94" s="373">
        <v>0</v>
      </c>
      <c r="S94" s="373">
        <v>0</v>
      </c>
      <c r="T94" s="373">
        <v>0</v>
      </c>
      <c r="U94" s="373">
        <v>0</v>
      </c>
      <c r="V94" s="373">
        <v>0</v>
      </c>
      <c r="W94" s="373">
        <v>0</v>
      </c>
      <c r="X94" s="373">
        <v>0</v>
      </c>
      <c r="Y94" s="382">
        <v>0</v>
      </c>
    </row>
    <row r="95" spans="1:26" ht="13.5" thickBot="1" x14ac:dyDescent="0.25">
      <c r="A95" s="379" t="s">
        <v>116</v>
      </c>
      <c r="B95" s="374">
        <f t="shared" ref="B95:X95" si="18">(C94+B94)*(C93-B93)/2</f>
        <v>4.2220000000000008E-2</v>
      </c>
      <c r="C95" s="375">
        <f t="shared" si="18"/>
        <v>0.44824800000000009</v>
      </c>
      <c r="D95" s="375">
        <f t="shared" si="18"/>
        <v>1.6822225</v>
      </c>
      <c r="E95" s="375">
        <f t="shared" si="18"/>
        <v>1.4869369999999995</v>
      </c>
      <c r="F95" s="375">
        <f t="shared" si="18"/>
        <v>0.60651500000000058</v>
      </c>
      <c r="G95" s="375">
        <f t="shared" si="18"/>
        <v>0.46283999999999975</v>
      </c>
      <c r="H95" s="375">
        <f t="shared" si="18"/>
        <v>0.51976649999999991</v>
      </c>
      <c r="I95" s="375">
        <f t="shared" si="18"/>
        <v>0.7084125</v>
      </c>
      <c r="J95" s="375">
        <f t="shared" si="18"/>
        <v>0.92177399999999987</v>
      </c>
      <c r="K95" s="375">
        <f t="shared" si="18"/>
        <v>9.9262970000000017</v>
      </c>
      <c r="L95" s="375">
        <f t="shared" si="18"/>
        <v>1.0133799999999999</v>
      </c>
      <c r="M95" s="375">
        <f t="shared" si="18"/>
        <v>0.76217049999999964</v>
      </c>
      <c r="N95" s="375">
        <f t="shared" si="18"/>
        <v>0.43517400000000039</v>
      </c>
      <c r="O95" s="375">
        <f t="shared" si="18"/>
        <v>0.92677199999999937</v>
      </c>
      <c r="P95" s="375">
        <f t="shared" si="18"/>
        <v>1.9260000000000017E-2</v>
      </c>
      <c r="Q95" s="375">
        <f t="shared" si="18"/>
        <v>0</v>
      </c>
      <c r="R95" s="375">
        <f t="shared" si="18"/>
        <v>0</v>
      </c>
      <c r="S95" s="375">
        <f t="shared" si="18"/>
        <v>0</v>
      </c>
      <c r="T95" s="375">
        <f t="shared" si="18"/>
        <v>0</v>
      </c>
      <c r="U95" s="375">
        <f t="shared" si="18"/>
        <v>0</v>
      </c>
      <c r="V95" s="375">
        <f t="shared" si="18"/>
        <v>0</v>
      </c>
      <c r="W95" s="375">
        <f t="shared" si="18"/>
        <v>0</v>
      </c>
      <c r="X95" s="375">
        <f t="shared" si="18"/>
        <v>0</v>
      </c>
      <c r="Y95" s="369"/>
    </row>
    <row r="96" spans="1:26" ht="13.5" thickBot="1" x14ac:dyDescent="0.25">
      <c r="A96" s="12"/>
      <c r="L96" s="12"/>
      <c r="M96" s="12"/>
      <c r="N96" s="12"/>
      <c r="O96" s="12"/>
      <c r="P96" s="12"/>
      <c r="Q96" s="12"/>
      <c r="R96" s="12"/>
      <c r="S96" s="12"/>
      <c r="T96" s="12"/>
      <c r="U96" s="12"/>
      <c r="V96" s="12"/>
      <c r="W96" s="12"/>
      <c r="X96" s="12"/>
      <c r="Y96" s="12"/>
    </row>
    <row r="97" spans="1:26" ht="13.5" thickBot="1" x14ac:dyDescent="0.25">
      <c r="A97" s="361" t="s">
        <v>539</v>
      </c>
      <c r="B97" s="359">
        <f>ROW(A97)</f>
        <v>97</v>
      </c>
      <c r="C97" s="363" t="s">
        <v>115</v>
      </c>
      <c r="D97" s="353">
        <f>SUM(B100:Y100)</f>
        <v>39.923978000000005</v>
      </c>
      <c r="E97" s="363" t="s">
        <v>114</v>
      </c>
      <c r="F97" s="354">
        <f>D97/g/J97</f>
        <v>118.30588744280873</v>
      </c>
      <c r="G97" s="363" t="s">
        <v>56</v>
      </c>
      <c r="H97" s="64">
        <f>H92*2</f>
        <v>5.6399999999999999E-2</v>
      </c>
      <c r="I97" s="363" t="s">
        <v>271</v>
      </c>
      <c r="J97" s="355">
        <f>H97-L97</f>
        <v>3.44E-2</v>
      </c>
      <c r="K97" s="363" t="s">
        <v>272</v>
      </c>
      <c r="L97" s="64">
        <f>L92*2</f>
        <v>2.1999999999999999E-2</v>
      </c>
      <c r="M97" s="363" t="s">
        <v>57</v>
      </c>
      <c r="N97" s="65">
        <v>30</v>
      </c>
      <c r="O97" s="363" t="s">
        <v>59</v>
      </c>
      <c r="P97" s="65">
        <v>30</v>
      </c>
      <c r="Q97" s="363" t="s">
        <v>60</v>
      </c>
      <c r="R97" s="65">
        <v>70</v>
      </c>
      <c r="S97" s="363" t="s">
        <v>61</v>
      </c>
      <c r="T97" s="65">
        <v>30</v>
      </c>
      <c r="U97" s="363" t="s">
        <v>54</v>
      </c>
      <c r="V97" s="66" t="s">
        <v>401</v>
      </c>
      <c r="W97" s="463" t="s">
        <v>394</v>
      </c>
      <c r="X97" s="465">
        <v>2.1</v>
      </c>
      <c r="Y97" s="463" t="s">
        <v>393</v>
      </c>
      <c r="Z97" s="358">
        <v>7</v>
      </c>
    </row>
    <row r="98" spans="1:26" x14ac:dyDescent="0.2">
      <c r="A98" s="362" t="s">
        <v>33</v>
      </c>
      <c r="B98" s="370">
        <v>0</v>
      </c>
      <c r="C98" s="371">
        <f>C93</f>
        <v>0.04</v>
      </c>
      <c r="D98" s="371">
        <f t="shared" ref="D98:X98" si="19">D93</f>
        <v>0.11600000000000001</v>
      </c>
      <c r="E98" s="371">
        <f t="shared" si="19"/>
        <v>0.21299999999999999</v>
      </c>
      <c r="F98" s="371">
        <f t="shared" si="19"/>
        <v>0.28599999999999998</v>
      </c>
      <c r="G98" s="371">
        <f t="shared" si="19"/>
        <v>0.32900000000000001</v>
      </c>
      <c r="H98" s="371">
        <f t="shared" si="19"/>
        <v>0.36899999999999999</v>
      </c>
      <c r="I98" s="371">
        <f t="shared" si="19"/>
        <v>0.42</v>
      </c>
      <c r="J98" s="371">
        <f t="shared" si="19"/>
        <v>0.495</v>
      </c>
      <c r="K98" s="371">
        <f t="shared" si="19"/>
        <v>0.59699999999999998</v>
      </c>
      <c r="L98" s="371">
        <f t="shared" si="19"/>
        <v>1.7110000000000001</v>
      </c>
      <c r="M98" s="371">
        <f t="shared" si="19"/>
        <v>1.8260000000000001</v>
      </c>
      <c r="N98" s="371">
        <f t="shared" si="19"/>
        <v>1.917</v>
      </c>
      <c r="O98" s="371">
        <f t="shared" si="19"/>
        <v>1.9750000000000001</v>
      </c>
      <c r="P98" s="371">
        <f t="shared" si="19"/>
        <v>2.206</v>
      </c>
      <c r="Q98" s="371">
        <f t="shared" si="19"/>
        <v>2.242</v>
      </c>
      <c r="R98" s="371">
        <f t="shared" si="19"/>
        <v>2.5</v>
      </c>
      <c r="S98" s="371">
        <f>S93</f>
        <v>2.5</v>
      </c>
      <c r="T98" s="371">
        <f t="shared" si="19"/>
        <v>2.5</v>
      </c>
      <c r="U98" s="371">
        <f t="shared" si="19"/>
        <v>2.5</v>
      </c>
      <c r="V98" s="371">
        <f t="shared" si="19"/>
        <v>2.5</v>
      </c>
      <c r="W98" s="371">
        <f t="shared" si="19"/>
        <v>2.5</v>
      </c>
      <c r="X98" s="371">
        <f t="shared" si="19"/>
        <v>2.5</v>
      </c>
      <c r="Y98" s="381">
        <v>1000</v>
      </c>
    </row>
    <row r="99" spans="1:26" x14ac:dyDescent="0.2">
      <c r="A99" s="378" t="s">
        <v>34</v>
      </c>
      <c r="B99" s="372">
        <f>B94*2</f>
        <v>0</v>
      </c>
      <c r="C99" s="373">
        <f t="shared" ref="C99:X99" si="20">C94*2</f>
        <v>4.2220000000000004</v>
      </c>
      <c r="D99" s="373">
        <f t="shared" si="20"/>
        <v>19.37</v>
      </c>
      <c r="E99" s="373">
        <f t="shared" si="20"/>
        <v>50</v>
      </c>
      <c r="F99" s="373">
        <f t="shared" si="20"/>
        <v>31.475999999999999</v>
      </c>
      <c r="G99" s="373">
        <f t="shared" si="20"/>
        <v>24.943999999999999</v>
      </c>
      <c r="H99" s="373">
        <f t="shared" si="20"/>
        <v>21.34</v>
      </c>
      <c r="I99" s="373">
        <f t="shared" si="20"/>
        <v>19.425999999999998</v>
      </c>
      <c r="J99" s="373">
        <f t="shared" si="20"/>
        <v>18.356000000000002</v>
      </c>
      <c r="K99" s="373">
        <f t="shared" si="20"/>
        <v>17.792000000000002</v>
      </c>
      <c r="L99" s="373">
        <f t="shared" si="20"/>
        <v>17.850000000000001</v>
      </c>
      <c r="M99" s="373">
        <f t="shared" si="20"/>
        <v>17.398</v>
      </c>
      <c r="N99" s="373">
        <f t="shared" si="20"/>
        <v>16.103999999999999</v>
      </c>
      <c r="O99" s="373">
        <f t="shared" si="20"/>
        <v>13.907999999999999</v>
      </c>
      <c r="P99" s="373">
        <f t="shared" si="20"/>
        <v>2.14</v>
      </c>
      <c r="Q99" s="373">
        <f t="shared" si="20"/>
        <v>0</v>
      </c>
      <c r="R99" s="373">
        <f t="shared" si="20"/>
        <v>0</v>
      </c>
      <c r="S99" s="373">
        <f t="shared" si="20"/>
        <v>0</v>
      </c>
      <c r="T99" s="373">
        <f t="shared" si="20"/>
        <v>0</v>
      </c>
      <c r="U99" s="373">
        <f t="shared" si="20"/>
        <v>0</v>
      </c>
      <c r="V99" s="373">
        <f t="shared" si="20"/>
        <v>0</v>
      </c>
      <c r="W99" s="373">
        <f t="shared" si="20"/>
        <v>0</v>
      </c>
      <c r="X99" s="373">
        <f t="shared" si="20"/>
        <v>0</v>
      </c>
      <c r="Y99" s="382">
        <v>0</v>
      </c>
    </row>
    <row r="100" spans="1:26" ht="13.5" thickBot="1" x14ac:dyDescent="0.25">
      <c r="A100" s="379" t="s">
        <v>116</v>
      </c>
      <c r="B100" s="374">
        <f t="shared" ref="B100:X100" si="21">(C99+B99)*(C98-B98)/2</f>
        <v>8.4440000000000015E-2</v>
      </c>
      <c r="C100" s="375">
        <f t="shared" si="21"/>
        <v>0.89649600000000018</v>
      </c>
      <c r="D100" s="375">
        <f t="shared" si="21"/>
        <v>3.3644449999999999</v>
      </c>
      <c r="E100" s="375">
        <f t="shared" si="21"/>
        <v>2.973873999999999</v>
      </c>
      <c r="F100" s="375">
        <f t="shared" si="21"/>
        <v>1.2130300000000012</v>
      </c>
      <c r="G100" s="375">
        <f t="shared" si="21"/>
        <v>0.9256799999999995</v>
      </c>
      <c r="H100" s="375">
        <f t="shared" si="21"/>
        <v>1.0395329999999998</v>
      </c>
      <c r="I100" s="375">
        <f t="shared" si="21"/>
        <v>1.416825</v>
      </c>
      <c r="J100" s="375">
        <f t="shared" si="21"/>
        <v>1.8435479999999997</v>
      </c>
      <c r="K100" s="375">
        <f t="shared" si="21"/>
        <v>19.852594000000003</v>
      </c>
      <c r="L100" s="375">
        <f t="shared" si="21"/>
        <v>2.0267599999999999</v>
      </c>
      <c r="M100" s="375">
        <f t="shared" si="21"/>
        <v>1.5243409999999993</v>
      </c>
      <c r="N100" s="375">
        <f t="shared" si="21"/>
        <v>0.87034800000000079</v>
      </c>
      <c r="O100" s="375">
        <f t="shared" si="21"/>
        <v>1.8535439999999987</v>
      </c>
      <c r="P100" s="375">
        <f t="shared" si="21"/>
        <v>3.8520000000000033E-2</v>
      </c>
      <c r="Q100" s="375">
        <f t="shared" si="21"/>
        <v>0</v>
      </c>
      <c r="R100" s="375">
        <f t="shared" si="21"/>
        <v>0</v>
      </c>
      <c r="S100" s="375">
        <f t="shared" si="21"/>
        <v>0</v>
      </c>
      <c r="T100" s="375">
        <f t="shared" si="21"/>
        <v>0</v>
      </c>
      <c r="U100" s="375">
        <f t="shared" si="21"/>
        <v>0</v>
      </c>
      <c r="V100" s="375">
        <f t="shared" si="21"/>
        <v>0</v>
      </c>
      <c r="W100" s="375">
        <f t="shared" si="21"/>
        <v>0</v>
      </c>
      <c r="X100" s="375">
        <f t="shared" si="21"/>
        <v>0</v>
      </c>
      <c r="Y100" s="369"/>
    </row>
    <row r="101" spans="1:26" ht="13.5" thickBot="1" x14ac:dyDescent="0.25">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row>
    <row r="102" spans="1:26" ht="13.5" thickBot="1" x14ac:dyDescent="0.25">
      <c r="A102" s="361" t="s">
        <v>540</v>
      </c>
      <c r="B102" s="359">
        <f>ROW(A102)</f>
        <v>102</v>
      </c>
      <c r="C102" s="363" t="s">
        <v>115</v>
      </c>
      <c r="D102" s="353">
        <f>SUM(B105:Y105)</f>
        <v>59.885967000000008</v>
      </c>
      <c r="E102" s="363" t="s">
        <v>114</v>
      </c>
      <c r="F102" s="354">
        <f>D102/g/J102</f>
        <v>118.30588744280874</v>
      </c>
      <c r="G102" s="363" t="s">
        <v>56</v>
      </c>
      <c r="H102" s="64">
        <f>H92*3</f>
        <v>8.4599999999999995E-2</v>
      </c>
      <c r="I102" s="363" t="s">
        <v>271</v>
      </c>
      <c r="J102" s="355">
        <f>H102-L102</f>
        <v>5.1599999999999993E-2</v>
      </c>
      <c r="K102" s="363" t="s">
        <v>272</v>
      </c>
      <c r="L102" s="64">
        <f>L92*3</f>
        <v>3.3000000000000002E-2</v>
      </c>
      <c r="M102" s="363" t="s">
        <v>57</v>
      </c>
      <c r="N102" s="65">
        <v>30</v>
      </c>
      <c r="O102" s="363" t="s">
        <v>59</v>
      </c>
      <c r="P102" s="65">
        <v>30</v>
      </c>
      <c r="Q102" s="363" t="s">
        <v>60</v>
      </c>
      <c r="R102" s="65">
        <v>70</v>
      </c>
      <c r="S102" s="363" t="s">
        <v>61</v>
      </c>
      <c r="T102" s="65">
        <v>40</v>
      </c>
      <c r="U102" s="363" t="s">
        <v>54</v>
      </c>
      <c r="V102" s="66" t="s">
        <v>401</v>
      </c>
      <c r="W102" s="463" t="s">
        <v>394</v>
      </c>
      <c r="X102" s="465">
        <v>2.1</v>
      </c>
      <c r="Y102" s="463" t="s">
        <v>393</v>
      </c>
      <c r="Z102" s="358">
        <v>7</v>
      </c>
    </row>
    <row r="103" spans="1:26" x14ac:dyDescent="0.2">
      <c r="A103" s="362" t="s">
        <v>33</v>
      </c>
      <c r="B103" s="370">
        <v>0</v>
      </c>
      <c r="C103" s="371">
        <f>C93</f>
        <v>0.04</v>
      </c>
      <c r="D103" s="371">
        <f t="shared" ref="D103:X103" si="22">D93</f>
        <v>0.11600000000000001</v>
      </c>
      <c r="E103" s="371">
        <f t="shared" si="22"/>
        <v>0.21299999999999999</v>
      </c>
      <c r="F103" s="371">
        <f t="shared" si="22"/>
        <v>0.28599999999999998</v>
      </c>
      <c r="G103" s="371">
        <f t="shared" si="22"/>
        <v>0.32900000000000001</v>
      </c>
      <c r="H103" s="371">
        <f t="shared" si="22"/>
        <v>0.36899999999999999</v>
      </c>
      <c r="I103" s="371">
        <f t="shared" si="22"/>
        <v>0.42</v>
      </c>
      <c r="J103" s="371">
        <f t="shared" si="22"/>
        <v>0.495</v>
      </c>
      <c r="K103" s="371">
        <f t="shared" si="22"/>
        <v>0.59699999999999998</v>
      </c>
      <c r="L103" s="371">
        <f t="shared" si="22"/>
        <v>1.7110000000000001</v>
      </c>
      <c r="M103" s="371">
        <f t="shared" si="22"/>
        <v>1.8260000000000001</v>
      </c>
      <c r="N103" s="371">
        <f t="shared" si="22"/>
        <v>1.917</v>
      </c>
      <c r="O103" s="371">
        <f t="shared" si="22"/>
        <v>1.9750000000000001</v>
      </c>
      <c r="P103" s="371">
        <f t="shared" si="22"/>
        <v>2.206</v>
      </c>
      <c r="Q103" s="371">
        <f t="shared" si="22"/>
        <v>2.242</v>
      </c>
      <c r="R103" s="371">
        <f t="shared" si="22"/>
        <v>2.5</v>
      </c>
      <c r="S103" s="371">
        <f t="shared" si="22"/>
        <v>2.5</v>
      </c>
      <c r="T103" s="371">
        <f t="shared" si="22"/>
        <v>2.5</v>
      </c>
      <c r="U103" s="371">
        <f t="shared" si="22"/>
        <v>2.5</v>
      </c>
      <c r="V103" s="371">
        <f t="shared" si="22"/>
        <v>2.5</v>
      </c>
      <c r="W103" s="371">
        <f t="shared" si="22"/>
        <v>2.5</v>
      </c>
      <c r="X103" s="371">
        <f t="shared" si="22"/>
        <v>2.5</v>
      </c>
      <c r="Y103" s="381">
        <v>1000</v>
      </c>
    </row>
    <row r="104" spans="1:26" x14ac:dyDescent="0.2">
      <c r="A104" s="378" t="s">
        <v>34</v>
      </c>
      <c r="B104" s="372">
        <f>B94*3</f>
        <v>0</v>
      </c>
      <c r="C104" s="373">
        <f t="shared" ref="C104:X104" si="23">C94*3</f>
        <v>6.3330000000000002</v>
      </c>
      <c r="D104" s="373">
        <f t="shared" si="23"/>
        <v>29.055</v>
      </c>
      <c r="E104" s="373">
        <f t="shared" si="23"/>
        <v>75</v>
      </c>
      <c r="F104" s="373">
        <f t="shared" si="23"/>
        <v>47.213999999999999</v>
      </c>
      <c r="G104" s="373">
        <f t="shared" si="23"/>
        <v>37.415999999999997</v>
      </c>
      <c r="H104" s="373">
        <f t="shared" si="23"/>
        <v>32.01</v>
      </c>
      <c r="I104" s="373">
        <f t="shared" si="23"/>
        <v>29.138999999999996</v>
      </c>
      <c r="J104" s="373">
        <f t="shared" si="23"/>
        <v>27.534000000000002</v>
      </c>
      <c r="K104" s="373">
        <f t="shared" si="23"/>
        <v>26.688000000000002</v>
      </c>
      <c r="L104" s="373">
        <f t="shared" si="23"/>
        <v>26.775000000000002</v>
      </c>
      <c r="M104" s="373">
        <f t="shared" si="23"/>
        <v>26.097000000000001</v>
      </c>
      <c r="N104" s="373">
        <f t="shared" si="23"/>
        <v>24.155999999999999</v>
      </c>
      <c r="O104" s="373">
        <f t="shared" si="23"/>
        <v>20.861999999999998</v>
      </c>
      <c r="P104" s="373">
        <f t="shared" si="23"/>
        <v>3.21</v>
      </c>
      <c r="Q104" s="373">
        <f t="shared" si="23"/>
        <v>0</v>
      </c>
      <c r="R104" s="373">
        <f t="shared" si="23"/>
        <v>0</v>
      </c>
      <c r="S104" s="373">
        <f t="shared" si="23"/>
        <v>0</v>
      </c>
      <c r="T104" s="373">
        <f t="shared" si="23"/>
        <v>0</v>
      </c>
      <c r="U104" s="373">
        <f t="shared" si="23"/>
        <v>0</v>
      </c>
      <c r="V104" s="373">
        <f t="shared" si="23"/>
        <v>0</v>
      </c>
      <c r="W104" s="373">
        <f t="shared" si="23"/>
        <v>0</v>
      </c>
      <c r="X104" s="373">
        <f t="shared" si="23"/>
        <v>0</v>
      </c>
      <c r="Y104" s="382">
        <v>0</v>
      </c>
    </row>
    <row r="105" spans="1:26" ht="13.5" thickBot="1" x14ac:dyDescent="0.25">
      <c r="A105" s="379" t="s">
        <v>116</v>
      </c>
      <c r="B105" s="374">
        <f t="shared" ref="B105:X105" si="24">(C104+B104)*(C103-B103)/2</f>
        <v>0.12665999999999999</v>
      </c>
      <c r="C105" s="375">
        <f t="shared" si="24"/>
        <v>1.3447440000000002</v>
      </c>
      <c r="D105" s="375">
        <f t="shared" si="24"/>
        <v>5.0466674999999999</v>
      </c>
      <c r="E105" s="375">
        <f t="shared" si="24"/>
        <v>4.4608109999999987</v>
      </c>
      <c r="F105" s="375">
        <f t="shared" si="24"/>
        <v>1.8195450000000015</v>
      </c>
      <c r="G105" s="375">
        <f t="shared" si="24"/>
        <v>1.3885199999999991</v>
      </c>
      <c r="H105" s="375">
        <f t="shared" si="24"/>
        <v>1.5592994999999996</v>
      </c>
      <c r="I105" s="375">
        <f t="shared" si="24"/>
        <v>2.1252375000000003</v>
      </c>
      <c r="J105" s="375">
        <f t="shared" si="24"/>
        <v>2.7653219999999998</v>
      </c>
      <c r="K105" s="375">
        <f t="shared" si="24"/>
        <v>29.778891000000009</v>
      </c>
      <c r="L105" s="375">
        <f t="shared" si="24"/>
        <v>3.0401399999999996</v>
      </c>
      <c r="M105" s="375">
        <f t="shared" si="24"/>
        <v>2.2865114999999991</v>
      </c>
      <c r="N105" s="375">
        <f t="shared" si="24"/>
        <v>1.3055220000000012</v>
      </c>
      <c r="O105" s="375">
        <f t="shared" si="24"/>
        <v>2.7803159999999982</v>
      </c>
      <c r="P105" s="375">
        <f t="shared" si="24"/>
        <v>5.7780000000000054E-2</v>
      </c>
      <c r="Q105" s="375">
        <f t="shared" si="24"/>
        <v>0</v>
      </c>
      <c r="R105" s="375">
        <f t="shared" si="24"/>
        <v>0</v>
      </c>
      <c r="S105" s="375">
        <f t="shared" si="24"/>
        <v>0</v>
      </c>
      <c r="T105" s="375">
        <f t="shared" si="24"/>
        <v>0</v>
      </c>
      <c r="U105" s="375">
        <f t="shared" si="24"/>
        <v>0</v>
      </c>
      <c r="V105" s="375">
        <f t="shared" si="24"/>
        <v>0</v>
      </c>
      <c r="W105" s="375">
        <f t="shared" si="24"/>
        <v>0</v>
      </c>
      <c r="X105" s="375">
        <f t="shared" si="24"/>
        <v>0</v>
      </c>
      <c r="Y105" s="369"/>
    </row>
    <row r="107" spans="1:26" ht="13.5" thickBot="1" x14ac:dyDescent="0.25">
      <c r="A107" s="6" t="s">
        <v>317</v>
      </c>
    </row>
    <row r="108" spans="1:26" ht="13.5" thickBot="1" x14ac:dyDescent="0.25">
      <c r="A108" s="361" t="s">
        <v>319</v>
      </c>
      <c r="B108" s="359">
        <f>ROW(A108)</f>
        <v>108</v>
      </c>
      <c r="C108" s="363" t="s">
        <v>115</v>
      </c>
      <c r="D108" s="353">
        <f>SUM(B111:Y111)</f>
        <v>24.269519000000003</v>
      </c>
      <c r="E108" s="363" t="s">
        <v>114</v>
      </c>
      <c r="F108" s="354">
        <f>D108/g/J108</f>
        <v>154.62231778797147</v>
      </c>
      <c r="G108" s="363" t="s">
        <v>56</v>
      </c>
      <c r="H108" s="64">
        <v>5.1999999999999998E-2</v>
      </c>
      <c r="I108" s="363" t="s">
        <v>271</v>
      </c>
      <c r="J108" s="355">
        <f>H108-L108</f>
        <v>1.6E-2</v>
      </c>
      <c r="K108" s="363" t="s">
        <v>272</v>
      </c>
      <c r="L108" s="64">
        <v>3.5999999999999997E-2</v>
      </c>
      <c r="M108" s="363" t="s">
        <v>57</v>
      </c>
      <c r="N108" s="396">
        <v>35</v>
      </c>
      <c r="O108" s="363" t="s">
        <v>59</v>
      </c>
      <c r="P108" s="396">
        <v>35</v>
      </c>
      <c r="Q108" s="363" t="s">
        <v>60</v>
      </c>
      <c r="R108" s="65">
        <v>69</v>
      </c>
      <c r="S108" s="363" t="s">
        <v>61</v>
      </c>
      <c r="T108" s="65">
        <v>24</v>
      </c>
      <c r="U108" s="363" t="s">
        <v>54</v>
      </c>
      <c r="V108" s="66" t="s">
        <v>399</v>
      </c>
      <c r="W108" s="463" t="s">
        <v>394</v>
      </c>
      <c r="X108" s="465">
        <v>1</v>
      </c>
      <c r="Y108" s="463" t="s">
        <v>393</v>
      </c>
      <c r="Z108" s="358">
        <v>13</v>
      </c>
    </row>
    <row r="109" spans="1:26" x14ac:dyDescent="0.2">
      <c r="A109" s="362" t="s">
        <v>33</v>
      </c>
      <c r="B109" s="370">
        <v>0</v>
      </c>
      <c r="C109" s="371">
        <v>8.0000000000000002E-3</v>
      </c>
      <c r="D109" s="371">
        <v>2.5999999999999999E-2</v>
      </c>
      <c r="E109" s="371">
        <v>3.7999999999999999E-2</v>
      </c>
      <c r="F109" s="371">
        <v>6.7000000000000004E-2</v>
      </c>
      <c r="G109" s="371">
        <v>0.10100000000000001</v>
      </c>
      <c r="H109" s="371">
        <v>0.33</v>
      </c>
      <c r="I109" s="371">
        <v>0.52800000000000002</v>
      </c>
      <c r="J109" s="371">
        <v>0.71599999999999997</v>
      </c>
      <c r="K109" s="371">
        <v>0.84099999999999997</v>
      </c>
      <c r="L109" s="371">
        <v>0.91200000000000003</v>
      </c>
      <c r="M109" s="371">
        <v>0.98699999999999999</v>
      </c>
      <c r="N109" s="371">
        <v>1.016</v>
      </c>
      <c r="O109" s="371">
        <v>1.0649999999999999</v>
      </c>
      <c r="P109" s="371">
        <v>1.087</v>
      </c>
      <c r="Q109" s="371">
        <v>2</v>
      </c>
      <c r="R109" s="371">
        <v>2</v>
      </c>
      <c r="S109" s="371">
        <v>2</v>
      </c>
      <c r="T109" s="371">
        <v>2</v>
      </c>
      <c r="U109" s="371">
        <v>2</v>
      </c>
      <c r="V109" s="371">
        <v>2</v>
      </c>
      <c r="W109" s="371">
        <v>2</v>
      </c>
      <c r="X109" s="371">
        <v>2</v>
      </c>
      <c r="Y109" s="381">
        <v>1000</v>
      </c>
    </row>
    <row r="110" spans="1:26" x14ac:dyDescent="0.2">
      <c r="A110" s="378" t="s">
        <v>34</v>
      </c>
      <c r="B110" s="372">
        <v>0</v>
      </c>
      <c r="C110" s="373">
        <v>18.292000000000002</v>
      </c>
      <c r="D110" s="373">
        <v>30</v>
      </c>
      <c r="E110" s="373">
        <v>30.792000000000002</v>
      </c>
      <c r="F110" s="373">
        <v>18.707999999999998</v>
      </c>
      <c r="G110" s="373">
        <v>21.875</v>
      </c>
      <c r="H110" s="373">
        <v>26.082999999999998</v>
      </c>
      <c r="I110" s="373">
        <v>28.042000000000002</v>
      </c>
      <c r="J110" s="373">
        <v>27.875</v>
      </c>
      <c r="K110" s="373">
        <v>23.542000000000002</v>
      </c>
      <c r="L110" s="373">
        <v>17.832999999999998</v>
      </c>
      <c r="M110" s="373">
        <v>7</v>
      </c>
      <c r="N110" s="373">
        <v>3.3330000000000002</v>
      </c>
      <c r="O110" s="373">
        <v>1.083</v>
      </c>
      <c r="P110" s="373">
        <v>0</v>
      </c>
      <c r="Q110" s="373">
        <v>0</v>
      </c>
      <c r="R110" s="373">
        <v>0</v>
      </c>
      <c r="S110" s="373">
        <v>0</v>
      </c>
      <c r="T110" s="373">
        <f>S110</f>
        <v>0</v>
      </c>
      <c r="U110" s="373">
        <f>T110</f>
        <v>0</v>
      </c>
      <c r="V110" s="373">
        <f>U110</f>
        <v>0</v>
      </c>
      <c r="W110" s="373">
        <f>V110</f>
        <v>0</v>
      </c>
      <c r="X110" s="373">
        <f>W110</f>
        <v>0</v>
      </c>
      <c r="Y110" s="382">
        <v>0</v>
      </c>
    </row>
    <row r="111" spans="1:26" ht="13.5" thickBot="1" x14ac:dyDescent="0.25">
      <c r="A111" s="379" t="s">
        <v>116</v>
      </c>
      <c r="B111" s="374">
        <f t="shared" ref="B111:V111" si="25">(C110+B110)*(C109-B109)/2</f>
        <v>7.3168000000000011E-2</v>
      </c>
      <c r="C111" s="375">
        <f t="shared" si="25"/>
        <v>0.43462799999999996</v>
      </c>
      <c r="D111" s="375">
        <f t="shared" si="25"/>
        <v>0.36475200000000002</v>
      </c>
      <c r="E111" s="375">
        <f t="shared" si="25"/>
        <v>0.71775000000000011</v>
      </c>
      <c r="F111" s="375">
        <f t="shared" si="25"/>
        <v>0.68991100000000005</v>
      </c>
      <c r="G111" s="375">
        <f t="shared" si="25"/>
        <v>5.4911909999999997</v>
      </c>
      <c r="H111" s="375">
        <f t="shared" si="25"/>
        <v>5.3583750000000006</v>
      </c>
      <c r="I111" s="375">
        <f t="shared" si="25"/>
        <v>5.2561979999999986</v>
      </c>
      <c r="J111" s="375">
        <f>(K110+J110)*(K109-J109)/2</f>
        <v>3.2135625000000001</v>
      </c>
      <c r="K111" s="375">
        <f t="shared" si="25"/>
        <v>1.4688125000000014</v>
      </c>
      <c r="L111" s="375">
        <f t="shared" si="25"/>
        <v>0.93123749999999939</v>
      </c>
      <c r="M111" s="375">
        <f t="shared" si="25"/>
        <v>0.14982850000000014</v>
      </c>
      <c r="N111" s="375">
        <f t="shared" si="25"/>
        <v>0.10819199999999986</v>
      </c>
      <c r="O111" s="375">
        <f t="shared" si="25"/>
        <v>1.191300000000001E-2</v>
      </c>
      <c r="P111" s="375">
        <f t="shared" si="25"/>
        <v>0</v>
      </c>
      <c r="Q111" s="375">
        <f t="shared" si="25"/>
        <v>0</v>
      </c>
      <c r="R111" s="375">
        <f t="shared" si="25"/>
        <v>0</v>
      </c>
      <c r="S111" s="375">
        <f>(T110+S110)*(T109-S109)/2</f>
        <v>0</v>
      </c>
      <c r="T111" s="375">
        <f t="shared" si="25"/>
        <v>0</v>
      </c>
      <c r="U111" s="375">
        <f t="shared" si="25"/>
        <v>0</v>
      </c>
      <c r="V111" s="375">
        <f t="shared" si="25"/>
        <v>0</v>
      </c>
      <c r="W111" s="375">
        <f>(X110+W110)*(X109-W109)/2</f>
        <v>0</v>
      </c>
      <c r="X111" s="375">
        <f>(Y110+X110)*(Y109-X109)/2</f>
        <v>0</v>
      </c>
      <c r="Y111" s="369"/>
    </row>
    <row r="112" spans="1:26" ht="13.5" thickBot="1" x14ac:dyDescent="0.25"/>
    <row r="113" spans="1:26" ht="13.5" thickBot="1" x14ac:dyDescent="0.25">
      <c r="A113" s="361" t="s">
        <v>417</v>
      </c>
      <c r="B113" s="359">
        <f>ROW(A113)</f>
        <v>113</v>
      </c>
      <c r="C113" s="363" t="s">
        <v>115</v>
      </c>
      <c r="D113" s="353">
        <f>SUM(B116:Y116)</f>
        <v>24.488898000000002</v>
      </c>
      <c r="E113" s="363" t="s">
        <v>114</v>
      </c>
      <c r="F113" s="354">
        <f>D113/g/J113</f>
        <v>121.771701350041</v>
      </c>
      <c r="G113" s="363" t="s">
        <v>56</v>
      </c>
      <c r="H113" s="64">
        <v>5.6500000000000002E-2</v>
      </c>
      <c r="I113" s="363" t="s">
        <v>271</v>
      </c>
      <c r="J113" s="355">
        <f>H113-L113</f>
        <v>2.0500000000000004E-2</v>
      </c>
      <c r="K113" s="363" t="s">
        <v>272</v>
      </c>
      <c r="L113" s="64">
        <v>3.5999999999999997E-2</v>
      </c>
      <c r="M113" s="363" t="s">
        <v>57</v>
      </c>
      <c r="N113" s="396">
        <v>35</v>
      </c>
      <c r="O113" s="363" t="s">
        <v>59</v>
      </c>
      <c r="P113" s="396">
        <v>35</v>
      </c>
      <c r="Q113" s="363" t="s">
        <v>60</v>
      </c>
      <c r="R113" s="65">
        <v>69</v>
      </c>
      <c r="S113" s="363" t="s">
        <v>61</v>
      </c>
      <c r="T113" s="65">
        <v>24</v>
      </c>
      <c r="U113" s="363" t="s">
        <v>54</v>
      </c>
      <c r="V113" s="66" t="s">
        <v>400</v>
      </c>
      <c r="W113" s="463" t="s">
        <v>394</v>
      </c>
      <c r="X113" s="465">
        <v>0.33</v>
      </c>
      <c r="Y113" s="463" t="s">
        <v>393</v>
      </c>
      <c r="Z113" s="358">
        <v>17</v>
      </c>
    </row>
    <row r="114" spans="1:26" x14ac:dyDescent="0.2">
      <c r="A114" s="362" t="s">
        <v>33</v>
      </c>
      <c r="B114" s="370">
        <v>0</v>
      </c>
      <c r="C114" s="371">
        <v>8.9999999999999993E-3</v>
      </c>
      <c r="D114" s="371">
        <v>1.2E-2</v>
      </c>
      <c r="E114" s="371">
        <v>2.3E-2</v>
      </c>
      <c r="F114" s="371">
        <v>2.7E-2</v>
      </c>
      <c r="G114" s="371">
        <v>4.7E-2</v>
      </c>
      <c r="H114" s="371">
        <v>9.1999999999999998E-2</v>
      </c>
      <c r="I114" s="371">
        <v>0.11799999999999999</v>
      </c>
      <c r="J114" s="371">
        <v>0.14099999999999999</v>
      </c>
      <c r="K114" s="371">
        <v>0.192</v>
      </c>
      <c r="L114" s="371">
        <v>0.222</v>
      </c>
      <c r="M114" s="371">
        <v>0.25</v>
      </c>
      <c r="N114" s="371">
        <v>0.26</v>
      </c>
      <c r="O114" s="371">
        <v>0.28100000000000003</v>
      </c>
      <c r="P114" s="371">
        <v>0.28699999999999998</v>
      </c>
      <c r="Q114" s="371">
        <v>0.30599999999999999</v>
      </c>
      <c r="R114" s="371">
        <v>0.314</v>
      </c>
      <c r="S114" s="371">
        <v>0.32600000000000001</v>
      </c>
      <c r="T114" s="371">
        <v>0.32900000000000001</v>
      </c>
      <c r="U114" s="371">
        <v>0.5</v>
      </c>
      <c r="V114" s="371">
        <v>1</v>
      </c>
      <c r="W114" s="371">
        <v>2</v>
      </c>
      <c r="X114" s="371">
        <v>2</v>
      </c>
      <c r="Y114" s="381">
        <v>1000</v>
      </c>
    </row>
    <row r="115" spans="1:26" x14ac:dyDescent="0.2">
      <c r="A115" s="378" t="s">
        <v>34</v>
      </c>
      <c r="B115" s="372">
        <v>0</v>
      </c>
      <c r="C115" s="373">
        <v>84.212999999999994</v>
      </c>
      <c r="D115" s="373">
        <v>95.099000000000004</v>
      </c>
      <c r="E115" s="373">
        <v>77.08</v>
      </c>
      <c r="F115" s="373">
        <v>68.697000000000003</v>
      </c>
      <c r="G115" s="373">
        <v>73.451999999999998</v>
      </c>
      <c r="H115" s="373">
        <v>81.834999999999994</v>
      </c>
      <c r="I115" s="373">
        <v>83.837000000000003</v>
      </c>
      <c r="J115" s="373">
        <v>86.465000000000003</v>
      </c>
      <c r="K115" s="373">
        <v>86.965999999999994</v>
      </c>
      <c r="L115" s="373">
        <v>85.338999999999999</v>
      </c>
      <c r="M115" s="373">
        <v>80.082999999999998</v>
      </c>
      <c r="N115" s="373">
        <v>78.331999999999994</v>
      </c>
      <c r="O115" s="373">
        <v>82.960999999999999</v>
      </c>
      <c r="P115" s="373">
        <v>78.206000000000003</v>
      </c>
      <c r="Q115" s="373">
        <v>24.776</v>
      </c>
      <c r="R115" s="373">
        <v>14.14</v>
      </c>
      <c r="S115" s="373">
        <v>8.5090000000000003</v>
      </c>
      <c r="T115" s="373">
        <v>0</v>
      </c>
      <c r="U115" s="373">
        <f>T115</f>
        <v>0</v>
      </c>
      <c r="V115" s="373">
        <f>U115</f>
        <v>0</v>
      </c>
      <c r="W115" s="373">
        <f>V115</f>
        <v>0</v>
      </c>
      <c r="X115" s="373">
        <f>W115</f>
        <v>0</v>
      </c>
      <c r="Y115" s="382">
        <v>0</v>
      </c>
    </row>
    <row r="116" spans="1:26" ht="13.5" thickBot="1" x14ac:dyDescent="0.25">
      <c r="A116" s="379" t="s">
        <v>116</v>
      </c>
      <c r="B116" s="374">
        <f t="shared" ref="B116:V116" si="26">(C115+B115)*(C114-B114)/2</f>
        <v>0.37895849999999992</v>
      </c>
      <c r="C116" s="375">
        <f t="shared" si="26"/>
        <v>0.2689680000000001</v>
      </c>
      <c r="D116" s="375">
        <f t="shared" si="26"/>
        <v>0.94698450000000001</v>
      </c>
      <c r="E116" s="375">
        <f t="shared" si="26"/>
        <v>0.29155399999999998</v>
      </c>
      <c r="F116" s="375">
        <f t="shared" si="26"/>
        <v>1.4214900000000001</v>
      </c>
      <c r="G116" s="375">
        <f t="shared" si="26"/>
        <v>3.4939574999999992</v>
      </c>
      <c r="H116" s="375">
        <f t="shared" si="26"/>
        <v>2.1537359999999994</v>
      </c>
      <c r="I116" s="375">
        <f t="shared" si="26"/>
        <v>1.9584729999999997</v>
      </c>
      <c r="J116" s="375">
        <f>(K115+J115)*(K114-J114)/2</f>
        <v>4.4224905000000012</v>
      </c>
      <c r="K116" s="375">
        <f t="shared" si="26"/>
        <v>2.5845750000000001</v>
      </c>
      <c r="L116" s="375">
        <f t="shared" si="26"/>
        <v>2.3159079999999999</v>
      </c>
      <c r="M116" s="375">
        <f t="shared" si="26"/>
        <v>0.79207500000000064</v>
      </c>
      <c r="N116" s="375">
        <f t="shared" si="26"/>
        <v>1.6935765000000016</v>
      </c>
      <c r="O116" s="375">
        <f t="shared" si="26"/>
        <v>0.48350099999999596</v>
      </c>
      <c r="P116" s="375">
        <f t="shared" si="26"/>
        <v>0.97832900000000089</v>
      </c>
      <c r="Q116" s="375">
        <f t="shared" si="26"/>
        <v>0.15566400000000014</v>
      </c>
      <c r="R116" s="375">
        <f t="shared" si="26"/>
        <v>0.13589400000000013</v>
      </c>
      <c r="S116" s="375">
        <f>(T115+S115)*(T114-S114)/2</f>
        <v>1.2763500000000013E-2</v>
      </c>
      <c r="T116" s="375">
        <f t="shared" si="26"/>
        <v>0</v>
      </c>
      <c r="U116" s="375">
        <f t="shared" si="26"/>
        <v>0</v>
      </c>
      <c r="V116" s="375">
        <f t="shared" si="26"/>
        <v>0</v>
      </c>
      <c r="W116" s="375">
        <f>(X115+W115)*(X114-W114)/2</f>
        <v>0</v>
      </c>
      <c r="X116" s="375">
        <f>(Y115+X115)*(Y114-X114)/2</f>
        <v>0</v>
      </c>
      <c r="Y116" s="369"/>
    </row>
    <row r="117" spans="1:26" ht="13.5" thickBot="1" x14ac:dyDescent="0.25"/>
    <row r="118" spans="1:26" ht="13.5" thickBot="1" x14ac:dyDescent="0.25">
      <c r="A118" s="361" t="s">
        <v>320</v>
      </c>
      <c r="B118" s="359">
        <f>ROW(A118)</f>
        <v>118</v>
      </c>
      <c r="C118" s="363" t="s">
        <v>115</v>
      </c>
      <c r="D118" s="353">
        <f>SUM(B121:Y121)</f>
        <v>26.083982500000001</v>
      </c>
      <c r="E118" s="363" t="s">
        <v>114</v>
      </c>
      <c r="F118" s="354">
        <f>D118/g/J118</f>
        <v>166.18235537716615</v>
      </c>
      <c r="G118" s="363" t="s">
        <v>56</v>
      </c>
      <c r="H118" s="64">
        <v>5.1999999999999998E-2</v>
      </c>
      <c r="I118" s="363" t="s">
        <v>271</v>
      </c>
      <c r="J118" s="355">
        <f>H118-L118</f>
        <v>1.6E-2</v>
      </c>
      <c r="K118" s="363" t="s">
        <v>272</v>
      </c>
      <c r="L118" s="64">
        <v>3.5999999999999997E-2</v>
      </c>
      <c r="M118" s="363" t="s">
        <v>57</v>
      </c>
      <c r="N118" s="396">
        <v>35</v>
      </c>
      <c r="O118" s="363" t="s">
        <v>59</v>
      </c>
      <c r="P118" s="396">
        <v>35</v>
      </c>
      <c r="Q118" s="363" t="s">
        <v>60</v>
      </c>
      <c r="R118" s="65">
        <v>69</v>
      </c>
      <c r="S118" s="363" t="s">
        <v>61</v>
      </c>
      <c r="T118" s="65">
        <v>24</v>
      </c>
      <c r="U118" s="363" t="s">
        <v>54</v>
      </c>
      <c r="V118" s="66" t="s">
        <v>399</v>
      </c>
      <c r="W118" s="463" t="s">
        <v>394</v>
      </c>
      <c r="X118" s="465">
        <v>0.85</v>
      </c>
      <c r="Y118" s="463" t="s">
        <v>393</v>
      </c>
      <c r="Z118" s="358">
        <v>15</v>
      </c>
    </row>
    <row r="119" spans="1:26" x14ac:dyDescent="0.2">
      <c r="A119" s="362" t="s">
        <v>33</v>
      </c>
      <c r="B119" s="370">
        <v>0</v>
      </c>
      <c r="C119" s="371">
        <v>0.02</v>
      </c>
      <c r="D119" s="371">
        <v>2.7E-2</v>
      </c>
      <c r="E119" s="371">
        <v>4.9000000000000002E-2</v>
      </c>
      <c r="F119" s="371">
        <v>0.113</v>
      </c>
      <c r="G119" s="371">
        <v>0.193</v>
      </c>
      <c r="H119" s="371">
        <v>0.28199999999999997</v>
      </c>
      <c r="I119" s="371">
        <v>0.5</v>
      </c>
      <c r="J119" s="371">
        <v>0.72699999999999998</v>
      </c>
      <c r="K119" s="371">
        <v>0.77100000000000002</v>
      </c>
      <c r="L119" s="371">
        <v>0.80700000000000005</v>
      </c>
      <c r="M119" s="371">
        <v>0.84</v>
      </c>
      <c r="N119" s="371">
        <v>0.87</v>
      </c>
      <c r="O119" s="371">
        <v>1</v>
      </c>
      <c r="P119" s="371">
        <v>1</v>
      </c>
      <c r="Q119" s="371">
        <v>1</v>
      </c>
      <c r="R119" s="371">
        <v>1</v>
      </c>
      <c r="S119" s="371">
        <v>1</v>
      </c>
      <c r="T119" s="371">
        <v>1</v>
      </c>
      <c r="U119" s="371">
        <v>1</v>
      </c>
      <c r="V119" s="371">
        <v>1</v>
      </c>
      <c r="W119" s="371">
        <v>1</v>
      </c>
      <c r="X119" s="371">
        <v>2</v>
      </c>
      <c r="Y119" s="381">
        <v>1000</v>
      </c>
    </row>
    <row r="120" spans="1:26" x14ac:dyDescent="0.2">
      <c r="A120" s="378" t="s">
        <v>34</v>
      </c>
      <c r="B120" s="372">
        <v>0</v>
      </c>
      <c r="C120" s="373">
        <v>43.823999999999998</v>
      </c>
      <c r="D120" s="373">
        <v>39.963999999999999</v>
      </c>
      <c r="E120" s="373">
        <v>26.780999999999999</v>
      </c>
      <c r="F120" s="373">
        <v>32.600999999999999</v>
      </c>
      <c r="G120" s="373">
        <v>34.738999999999997</v>
      </c>
      <c r="H120" s="373">
        <v>35.808</v>
      </c>
      <c r="I120" s="373">
        <v>34.442</v>
      </c>
      <c r="J120" s="373">
        <v>29.276</v>
      </c>
      <c r="K120" s="373">
        <v>22.742999999999999</v>
      </c>
      <c r="L120" s="373">
        <v>9.5609999999999999</v>
      </c>
      <c r="M120" s="373">
        <v>3.5630000000000002</v>
      </c>
      <c r="N120" s="373">
        <v>0</v>
      </c>
      <c r="O120" s="373">
        <v>0</v>
      </c>
      <c r="P120" s="373">
        <v>0</v>
      </c>
      <c r="Q120" s="373">
        <v>0</v>
      </c>
      <c r="R120" s="373">
        <v>0</v>
      </c>
      <c r="S120" s="373">
        <v>0</v>
      </c>
      <c r="T120" s="373">
        <f>S120</f>
        <v>0</v>
      </c>
      <c r="U120" s="373">
        <f>T120</f>
        <v>0</v>
      </c>
      <c r="V120" s="373">
        <f>U120</f>
        <v>0</v>
      </c>
      <c r="W120" s="373">
        <f>V120</f>
        <v>0</v>
      </c>
      <c r="X120" s="373">
        <f>W120</f>
        <v>0</v>
      </c>
      <c r="Y120" s="382">
        <v>0</v>
      </c>
    </row>
    <row r="121" spans="1:26" ht="13.5" thickBot="1" x14ac:dyDescent="0.25">
      <c r="A121" s="379" t="s">
        <v>116</v>
      </c>
      <c r="B121" s="374">
        <f t="shared" ref="B121:V121" si="27">(C120+B120)*(C119-B119)/2</f>
        <v>0.43823999999999996</v>
      </c>
      <c r="C121" s="375">
        <f t="shared" si="27"/>
        <v>0.29325799999999996</v>
      </c>
      <c r="D121" s="375">
        <f t="shared" si="27"/>
        <v>0.73419500000000015</v>
      </c>
      <c r="E121" s="375">
        <f t="shared" si="27"/>
        <v>1.9002239999999999</v>
      </c>
      <c r="F121" s="375">
        <f t="shared" si="27"/>
        <v>2.6936</v>
      </c>
      <c r="G121" s="375">
        <f t="shared" si="27"/>
        <v>3.1393414999999987</v>
      </c>
      <c r="H121" s="375">
        <f t="shared" si="27"/>
        <v>7.6572500000000012</v>
      </c>
      <c r="I121" s="375">
        <f t="shared" si="27"/>
        <v>7.2319930000000001</v>
      </c>
      <c r="J121" s="375">
        <f>(K120+J120)*(K119-J119)/2</f>
        <v>1.144418000000001</v>
      </c>
      <c r="K121" s="375">
        <f t="shared" si="27"/>
        <v>0.58147200000000054</v>
      </c>
      <c r="L121" s="375">
        <f t="shared" si="27"/>
        <v>0.21654599999999946</v>
      </c>
      <c r="M121" s="375">
        <f t="shared" si="27"/>
        <v>5.3445000000000048E-2</v>
      </c>
      <c r="N121" s="375">
        <f t="shared" si="27"/>
        <v>0</v>
      </c>
      <c r="O121" s="375">
        <f t="shared" si="27"/>
        <v>0</v>
      </c>
      <c r="P121" s="375">
        <f t="shared" si="27"/>
        <v>0</v>
      </c>
      <c r="Q121" s="375">
        <f t="shared" si="27"/>
        <v>0</v>
      </c>
      <c r="R121" s="375">
        <f t="shared" si="27"/>
        <v>0</v>
      </c>
      <c r="S121" s="375">
        <f>(T120+S120)*(T119-S119)/2</f>
        <v>0</v>
      </c>
      <c r="T121" s="375">
        <f t="shared" si="27"/>
        <v>0</v>
      </c>
      <c r="U121" s="375">
        <f t="shared" si="27"/>
        <v>0</v>
      </c>
      <c r="V121" s="375">
        <f t="shared" si="27"/>
        <v>0</v>
      </c>
      <c r="W121" s="375">
        <f>(X120+W120)*(X119-W119)/2</f>
        <v>0</v>
      </c>
      <c r="X121" s="375">
        <f>(Y120+X120)*(Y119-X119)/2</f>
        <v>0</v>
      </c>
      <c r="Y121" s="369"/>
    </row>
    <row r="122" spans="1:26" ht="13.5" thickBot="1" x14ac:dyDescent="0.25">
      <c r="A122" s="6" t="s">
        <v>389</v>
      </c>
    </row>
    <row r="123" spans="1:26" ht="13.5" thickBot="1" x14ac:dyDescent="0.25">
      <c r="A123" s="361" t="s">
        <v>390</v>
      </c>
      <c r="B123" s="359">
        <f>ROW(A123)</f>
        <v>123</v>
      </c>
      <c r="C123" s="363" t="s">
        <v>115</v>
      </c>
      <c r="D123" s="353">
        <f>SUM(B126:Y126)</f>
        <v>49.788765499999997</v>
      </c>
      <c r="E123" s="363" t="s">
        <v>114</v>
      </c>
      <c r="F123" s="354">
        <v>231</v>
      </c>
      <c r="G123" s="363" t="s">
        <v>56</v>
      </c>
      <c r="H123" s="64">
        <v>7.2999999999999995E-2</v>
      </c>
      <c r="I123" s="363" t="s">
        <v>271</v>
      </c>
      <c r="J123" s="355">
        <f>H123-L123</f>
        <v>2.7999999999999997E-2</v>
      </c>
      <c r="K123" s="363" t="s">
        <v>272</v>
      </c>
      <c r="L123" s="64">
        <v>4.4999999999999998E-2</v>
      </c>
      <c r="M123" s="363" t="s">
        <v>57</v>
      </c>
      <c r="N123" s="396">
        <v>50</v>
      </c>
      <c r="O123" s="363" t="s">
        <v>59</v>
      </c>
      <c r="P123" s="396">
        <v>50</v>
      </c>
      <c r="Q123" s="363" t="s">
        <v>60</v>
      </c>
      <c r="R123" s="65">
        <v>101</v>
      </c>
      <c r="S123" s="363" t="s">
        <v>61</v>
      </c>
      <c r="T123" s="65">
        <v>24</v>
      </c>
      <c r="U123" s="363" t="s">
        <v>54</v>
      </c>
      <c r="V123" s="66" t="s">
        <v>119</v>
      </c>
      <c r="W123" s="463" t="s">
        <v>394</v>
      </c>
      <c r="X123" s="465">
        <v>1</v>
      </c>
      <c r="Y123" s="463" t="s">
        <v>393</v>
      </c>
      <c r="Z123" s="358">
        <v>13</v>
      </c>
    </row>
    <row r="124" spans="1:26" x14ac:dyDescent="0.2">
      <c r="A124" s="362" t="s">
        <v>33</v>
      </c>
      <c r="B124" s="470">
        <v>0</v>
      </c>
      <c r="C124" s="470">
        <v>1E-3</v>
      </c>
      <c r="D124" s="470">
        <v>2.7E-2</v>
      </c>
      <c r="E124" s="470">
        <v>5.0999999999999997E-2</v>
      </c>
      <c r="F124" s="470">
        <v>0.06</v>
      </c>
      <c r="G124" s="470">
        <v>9.1999999999999998E-2</v>
      </c>
      <c r="H124" s="470">
        <v>0.11899999999999999</v>
      </c>
      <c r="I124" s="470">
        <v>0.17</v>
      </c>
      <c r="J124" s="470">
        <v>0.3</v>
      </c>
      <c r="K124" s="470">
        <v>0.46200000000000002</v>
      </c>
      <c r="L124" s="470">
        <v>0.56899999999999995</v>
      </c>
      <c r="M124" s="470">
        <v>0.67500000000000004</v>
      </c>
      <c r="N124" s="470">
        <v>0.77800000000000002</v>
      </c>
      <c r="O124" s="470">
        <v>0.84599999999999997</v>
      </c>
      <c r="P124" s="470">
        <v>0.91700000000000004</v>
      </c>
      <c r="Q124" s="470">
        <v>1.0089999999999999</v>
      </c>
      <c r="R124" s="470">
        <v>1.032</v>
      </c>
      <c r="S124" s="470">
        <v>1.0449999999999999</v>
      </c>
      <c r="T124" s="371">
        <v>2</v>
      </c>
      <c r="U124" s="371">
        <v>2</v>
      </c>
      <c r="V124" s="371">
        <v>2</v>
      </c>
      <c r="W124" s="371">
        <v>2</v>
      </c>
      <c r="X124" s="371">
        <v>2</v>
      </c>
      <c r="Y124" s="381">
        <v>1000</v>
      </c>
    </row>
    <row r="125" spans="1:26" x14ac:dyDescent="0.2">
      <c r="A125" s="378" t="s">
        <v>34</v>
      </c>
      <c r="B125" s="470">
        <v>0</v>
      </c>
      <c r="C125" s="470">
        <v>5.1449999999999996</v>
      </c>
      <c r="D125" s="470">
        <v>67.975999999999999</v>
      </c>
      <c r="E125" s="470">
        <v>53.807000000000002</v>
      </c>
      <c r="F125" s="470">
        <v>52.88</v>
      </c>
      <c r="G125" s="470">
        <v>55.915999999999997</v>
      </c>
      <c r="H125" s="470">
        <v>57.94</v>
      </c>
      <c r="I125" s="470">
        <v>59.710999999999999</v>
      </c>
      <c r="J125" s="470">
        <v>61.145000000000003</v>
      </c>
      <c r="K125" s="470">
        <v>58.951999999999998</v>
      </c>
      <c r="L125" s="470">
        <v>55.578000000000003</v>
      </c>
      <c r="M125" s="470">
        <v>52.204999999999998</v>
      </c>
      <c r="N125" s="470">
        <v>46.386000000000003</v>
      </c>
      <c r="O125" s="470">
        <v>38.119999999999997</v>
      </c>
      <c r="P125" s="470">
        <v>20.324999999999999</v>
      </c>
      <c r="Q125" s="470">
        <v>3.5419999999999998</v>
      </c>
      <c r="R125" s="470">
        <v>1.6020000000000001</v>
      </c>
      <c r="S125" s="470">
        <v>0</v>
      </c>
      <c r="T125" s="373">
        <f>S125</f>
        <v>0</v>
      </c>
      <c r="U125" s="373">
        <f>T125</f>
        <v>0</v>
      </c>
      <c r="V125" s="373">
        <f>U125</f>
        <v>0</v>
      </c>
      <c r="W125" s="373">
        <f>V125</f>
        <v>0</v>
      </c>
      <c r="X125" s="373">
        <f>W125</f>
        <v>0</v>
      </c>
      <c r="Y125" s="382">
        <v>0</v>
      </c>
    </row>
    <row r="126" spans="1:26" ht="13.5" thickBot="1" x14ac:dyDescent="0.25">
      <c r="A126" s="379" t="s">
        <v>116</v>
      </c>
      <c r="B126" s="374">
        <f t="shared" ref="B126:X126" si="28">(C125+B125)*(C124-B124)/2</f>
        <v>2.5724999999999997E-3</v>
      </c>
      <c r="C126" s="375">
        <f t="shared" si="28"/>
        <v>0.95057299999999989</v>
      </c>
      <c r="D126" s="375">
        <f t="shared" si="28"/>
        <v>1.4613959999999999</v>
      </c>
      <c r="E126" s="375">
        <f t="shared" si="28"/>
        <v>0.48009150000000012</v>
      </c>
      <c r="F126" s="375">
        <f t="shared" si="28"/>
        <v>1.7407359999999998</v>
      </c>
      <c r="G126" s="375">
        <f t="shared" si="28"/>
        <v>1.5370559999999998</v>
      </c>
      <c r="H126" s="375">
        <f t="shared" si="28"/>
        <v>3.0001005000000007</v>
      </c>
      <c r="I126" s="375">
        <f t="shared" si="28"/>
        <v>7.8556399999999984</v>
      </c>
      <c r="J126" s="375">
        <f t="shared" si="28"/>
        <v>9.727857000000002</v>
      </c>
      <c r="K126" s="375">
        <f t="shared" si="28"/>
        <v>6.1273549999999961</v>
      </c>
      <c r="L126" s="375">
        <f t="shared" si="28"/>
        <v>5.7124990000000055</v>
      </c>
      <c r="M126" s="375">
        <f t="shared" si="28"/>
        <v>5.0774364999999992</v>
      </c>
      <c r="N126" s="375">
        <f t="shared" si="28"/>
        <v>2.8732039999999976</v>
      </c>
      <c r="O126" s="375">
        <f t="shared" si="28"/>
        <v>2.0747975000000016</v>
      </c>
      <c r="P126" s="375">
        <f t="shared" si="28"/>
        <v>1.0978819999999982</v>
      </c>
      <c r="Q126" s="375">
        <f t="shared" si="28"/>
        <v>5.915600000000034E-2</v>
      </c>
      <c r="R126" s="375">
        <f t="shared" si="28"/>
        <v>1.0412999999999921E-2</v>
      </c>
      <c r="S126" s="375">
        <f t="shared" si="28"/>
        <v>0</v>
      </c>
      <c r="T126" s="375">
        <f t="shared" si="28"/>
        <v>0</v>
      </c>
      <c r="U126" s="375">
        <f t="shared" si="28"/>
        <v>0</v>
      </c>
      <c r="V126" s="375">
        <f t="shared" si="28"/>
        <v>0</v>
      </c>
      <c r="W126" s="375">
        <f t="shared" si="28"/>
        <v>0</v>
      </c>
      <c r="X126" s="375">
        <f t="shared" si="28"/>
        <v>0</v>
      </c>
      <c r="Y126" s="369"/>
    </row>
    <row r="127" spans="1:26" ht="13.5" thickBot="1" x14ac:dyDescent="0.25"/>
    <row r="128" spans="1:26" ht="13.5" thickBot="1" x14ac:dyDescent="0.25">
      <c r="A128" s="361" t="s">
        <v>391</v>
      </c>
      <c r="B128" s="359">
        <f>ROW(A128)</f>
        <v>128</v>
      </c>
      <c r="C128" s="363" t="s">
        <v>115</v>
      </c>
      <c r="D128" s="353">
        <f>SUM(B131:Y131)</f>
        <v>52.815674000000008</v>
      </c>
      <c r="E128" s="363" t="s">
        <v>114</v>
      </c>
      <c r="F128" s="354">
        <v>239</v>
      </c>
      <c r="G128" s="363" t="s">
        <v>56</v>
      </c>
      <c r="H128" s="64">
        <v>7.2999999999999995E-2</v>
      </c>
      <c r="I128" s="363" t="s">
        <v>271</v>
      </c>
      <c r="J128" s="355">
        <f>H128-L128</f>
        <v>2.8999999999999998E-2</v>
      </c>
      <c r="K128" s="363" t="s">
        <v>272</v>
      </c>
      <c r="L128" s="64">
        <v>4.3999999999999997E-2</v>
      </c>
      <c r="M128" s="363" t="s">
        <v>57</v>
      </c>
      <c r="N128" s="396">
        <v>50</v>
      </c>
      <c r="O128" s="363" t="s">
        <v>59</v>
      </c>
      <c r="P128" s="396">
        <v>50</v>
      </c>
      <c r="Q128" s="363" t="s">
        <v>60</v>
      </c>
      <c r="R128" s="65">
        <v>101</v>
      </c>
      <c r="S128" s="363" t="s">
        <v>61</v>
      </c>
      <c r="T128" s="65">
        <v>24</v>
      </c>
      <c r="U128" s="363" t="s">
        <v>54</v>
      </c>
      <c r="V128" s="66" t="s">
        <v>119</v>
      </c>
      <c r="W128" s="463" t="s">
        <v>394</v>
      </c>
      <c r="X128" s="465">
        <v>0.77</v>
      </c>
      <c r="Y128" s="463" t="s">
        <v>393</v>
      </c>
      <c r="Z128" s="358">
        <v>14</v>
      </c>
    </row>
    <row r="129" spans="1:26" x14ac:dyDescent="0.2">
      <c r="A129" s="362" t="s">
        <v>33</v>
      </c>
      <c r="B129" s="470">
        <v>0</v>
      </c>
      <c r="C129" s="470">
        <v>1E-3</v>
      </c>
      <c r="D129" s="470">
        <v>1.2999999999999999E-2</v>
      </c>
      <c r="E129" s="470">
        <v>2.3E-2</v>
      </c>
      <c r="F129" s="470">
        <v>5.1999999999999998E-2</v>
      </c>
      <c r="G129" s="470">
        <v>0.1</v>
      </c>
      <c r="H129" s="470">
        <v>0.379</v>
      </c>
      <c r="I129" s="470">
        <v>0.64100000000000001</v>
      </c>
      <c r="J129" s="470">
        <v>0.66500000000000004</v>
      </c>
      <c r="K129" s="470">
        <v>0.70599999999999996</v>
      </c>
      <c r="L129" s="470">
        <v>0.74399999999999999</v>
      </c>
      <c r="M129" s="470">
        <v>0.78700000000000003</v>
      </c>
      <c r="N129" s="470">
        <v>0.81599999999999995</v>
      </c>
      <c r="O129" s="371">
        <v>1</v>
      </c>
      <c r="P129" s="371">
        <v>1</v>
      </c>
      <c r="Q129" s="371">
        <v>1</v>
      </c>
      <c r="R129" s="371">
        <v>1</v>
      </c>
      <c r="S129" s="371">
        <v>1</v>
      </c>
      <c r="T129" s="371">
        <v>1</v>
      </c>
      <c r="U129" s="371">
        <v>1</v>
      </c>
      <c r="V129" s="371">
        <v>1</v>
      </c>
      <c r="W129" s="371">
        <v>2</v>
      </c>
      <c r="X129" s="371">
        <v>2</v>
      </c>
      <c r="Y129" s="381">
        <v>1000</v>
      </c>
    </row>
    <row r="130" spans="1:26" x14ac:dyDescent="0.2">
      <c r="A130" s="378" t="s">
        <v>34</v>
      </c>
      <c r="B130" s="470">
        <v>0</v>
      </c>
      <c r="C130" s="470">
        <v>8.3030000000000008</v>
      </c>
      <c r="D130" s="470">
        <v>85.68</v>
      </c>
      <c r="E130" s="470">
        <v>96.149000000000001</v>
      </c>
      <c r="F130" s="470">
        <v>78.820999999999998</v>
      </c>
      <c r="G130" s="470">
        <v>83.634</v>
      </c>
      <c r="H130" s="470">
        <v>77.858000000000004</v>
      </c>
      <c r="I130" s="470">
        <v>62.575000000000003</v>
      </c>
      <c r="J130" s="470">
        <v>55.716000000000001</v>
      </c>
      <c r="K130" s="470">
        <v>23.946999999999999</v>
      </c>
      <c r="L130" s="470">
        <v>9.1460000000000008</v>
      </c>
      <c r="M130" s="470">
        <v>2.7679999999999998</v>
      </c>
      <c r="N130" s="470">
        <v>0</v>
      </c>
      <c r="O130" s="373">
        <v>0</v>
      </c>
      <c r="P130" s="373">
        <v>0</v>
      </c>
      <c r="Q130" s="373">
        <v>0</v>
      </c>
      <c r="R130" s="373">
        <v>0</v>
      </c>
      <c r="S130" s="373">
        <v>0</v>
      </c>
      <c r="T130" s="373">
        <v>0</v>
      </c>
      <c r="U130" s="373">
        <v>0</v>
      </c>
      <c r="V130" s="373">
        <f>U130</f>
        <v>0</v>
      </c>
      <c r="W130" s="373">
        <f>V130</f>
        <v>0</v>
      </c>
      <c r="X130" s="373">
        <f>W130</f>
        <v>0</v>
      </c>
      <c r="Y130" s="382">
        <v>0</v>
      </c>
    </row>
    <row r="131" spans="1:26" ht="13.5" thickBot="1" x14ac:dyDescent="0.25">
      <c r="A131" s="379" t="s">
        <v>116</v>
      </c>
      <c r="B131" s="374">
        <f t="shared" ref="B131:X131" si="29">(C130+B130)*(C129-B129)/2</f>
        <v>4.1515000000000007E-3</v>
      </c>
      <c r="C131" s="375">
        <f t="shared" si="29"/>
        <v>0.56389800000000001</v>
      </c>
      <c r="D131" s="375">
        <f t="shared" si="29"/>
        <v>0.90914500000000009</v>
      </c>
      <c r="E131" s="375">
        <f t="shared" si="29"/>
        <v>2.5370649999999997</v>
      </c>
      <c r="F131" s="375">
        <f t="shared" si="29"/>
        <v>3.8989200000000004</v>
      </c>
      <c r="G131" s="375">
        <f t="shared" si="29"/>
        <v>22.528134000000005</v>
      </c>
      <c r="H131" s="375">
        <f t="shared" si="29"/>
        <v>18.396723000000001</v>
      </c>
      <c r="I131" s="375">
        <f t="shared" si="29"/>
        <v>1.4194920000000013</v>
      </c>
      <c r="J131" s="375">
        <f t="shared" si="29"/>
        <v>1.633091499999997</v>
      </c>
      <c r="K131" s="375">
        <f t="shared" si="29"/>
        <v>0.62876700000000063</v>
      </c>
      <c r="L131" s="375">
        <f t="shared" si="29"/>
        <v>0.25615100000000024</v>
      </c>
      <c r="M131" s="375">
        <f t="shared" si="29"/>
        <v>4.013599999999988E-2</v>
      </c>
      <c r="N131" s="375">
        <f t="shared" si="29"/>
        <v>0</v>
      </c>
      <c r="O131" s="375">
        <f t="shared" si="29"/>
        <v>0</v>
      </c>
      <c r="P131" s="375">
        <f t="shared" si="29"/>
        <v>0</v>
      </c>
      <c r="Q131" s="375">
        <f t="shared" si="29"/>
        <v>0</v>
      </c>
      <c r="R131" s="375">
        <f t="shared" si="29"/>
        <v>0</v>
      </c>
      <c r="S131" s="375">
        <f t="shared" si="29"/>
        <v>0</v>
      </c>
      <c r="T131" s="375">
        <f t="shared" si="29"/>
        <v>0</v>
      </c>
      <c r="U131" s="375">
        <f t="shared" si="29"/>
        <v>0</v>
      </c>
      <c r="V131" s="375">
        <f t="shared" si="29"/>
        <v>0</v>
      </c>
      <c r="W131" s="375">
        <f t="shared" si="29"/>
        <v>0</v>
      </c>
      <c r="X131" s="375">
        <f t="shared" si="29"/>
        <v>0</v>
      </c>
      <c r="Y131" s="369"/>
    </row>
    <row r="132" spans="1:26" ht="13.5" thickBot="1" x14ac:dyDescent="0.25">
      <c r="A132" s="6" t="s">
        <v>314</v>
      </c>
    </row>
    <row r="133" spans="1:26" ht="13.5" thickBot="1" x14ac:dyDescent="0.25">
      <c r="A133" s="361" t="s">
        <v>381</v>
      </c>
      <c r="B133" s="359">
        <f>ROW(A133)</f>
        <v>133</v>
      </c>
      <c r="C133" s="363" t="s">
        <v>115</v>
      </c>
      <c r="D133" s="353">
        <f>SUM(B136:Y136)</f>
        <v>41.835000000000015</v>
      </c>
      <c r="E133" s="363" t="s">
        <v>114</v>
      </c>
      <c r="F133" s="354">
        <f>D133/g/J133</f>
        <v>121.84359982525126</v>
      </c>
      <c r="G133" s="363" t="s">
        <v>56</v>
      </c>
      <c r="H133" s="64">
        <v>0.104</v>
      </c>
      <c r="I133" s="363" t="s">
        <v>271</v>
      </c>
      <c r="J133" s="355">
        <f>H133-L133</f>
        <v>3.4999999999999989E-2</v>
      </c>
      <c r="K133" s="363" t="s">
        <v>272</v>
      </c>
      <c r="L133" s="64">
        <v>6.9000000000000006E-2</v>
      </c>
      <c r="M133" s="363" t="s">
        <v>57</v>
      </c>
      <c r="N133" s="65">
        <v>49</v>
      </c>
      <c r="O133" s="363" t="s">
        <v>59</v>
      </c>
      <c r="P133" s="65">
        <v>49</v>
      </c>
      <c r="Q133" s="363" t="s">
        <v>60</v>
      </c>
      <c r="R133" s="65">
        <v>98</v>
      </c>
      <c r="S133" s="363" t="s">
        <v>61</v>
      </c>
      <c r="T133" s="65">
        <v>29</v>
      </c>
      <c r="U133" s="363" t="s">
        <v>54</v>
      </c>
      <c r="V133" s="66" t="s">
        <v>399</v>
      </c>
      <c r="W133" s="463" t="s">
        <v>394</v>
      </c>
      <c r="X133" s="465">
        <v>1.07</v>
      </c>
      <c r="Y133" s="463" t="s">
        <v>393</v>
      </c>
      <c r="Z133" s="358">
        <v>11</v>
      </c>
    </row>
    <row r="134" spans="1:26" x14ac:dyDescent="0.2">
      <c r="A134" s="362" t="s">
        <v>33</v>
      </c>
      <c r="B134" s="370">
        <v>0</v>
      </c>
      <c r="C134" s="371">
        <v>0.01</v>
      </c>
      <c r="D134" s="371">
        <v>0.02</v>
      </c>
      <c r="E134" s="371">
        <v>0.03</v>
      </c>
      <c r="F134" s="371">
        <v>0.04</v>
      </c>
      <c r="G134" s="371">
        <v>0.06</v>
      </c>
      <c r="H134" s="371">
        <v>7.0000000000000007E-2</v>
      </c>
      <c r="I134" s="371">
        <v>0.08</v>
      </c>
      <c r="J134" s="371">
        <v>0.1</v>
      </c>
      <c r="K134" s="371">
        <v>0.2</v>
      </c>
      <c r="L134" s="371">
        <v>0.3</v>
      </c>
      <c r="M134" s="371">
        <v>0.4</v>
      </c>
      <c r="N134" s="371">
        <v>0.5</v>
      </c>
      <c r="O134" s="371">
        <v>0.6</v>
      </c>
      <c r="P134" s="371">
        <v>0.7</v>
      </c>
      <c r="Q134" s="371">
        <v>0.8</v>
      </c>
      <c r="R134" s="371">
        <v>0.85</v>
      </c>
      <c r="S134" s="371">
        <v>0.92</v>
      </c>
      <c r="T134" s="371">
        <v>0.95</v>
      </c>
      <c r="U134" s="371">
        <v>0.99</v>
      </c>
      <c r="V134" s="371">
        <v>1.05</v>
      </c>
      <c r="W134" s="371">
        <v>1.05</v>
      </c>
      <c r="X134" s="371">
        <v>2</v>
      </c>
      <c r="Y134" s="381">
        <v>1000</v>
      </c>
    </row>
    <row r="135" spans="1:26" x14ac:dyDescent="0.2">
      <c r="A135" s="378" t="s">
        <v>34</v>
      </c>
      <c r="B135" s="372">
        <v>0</v>
      </c>
      <c r="C135" s="373">
        <v>12</v>
      </c>
      <c r="D135" s="373">
        <v>46</v>
      </c>
      <c r="E135" s="373">
        <v>75</v>
      </c>
      <c r="F135" s="373">
        <v>79</v>
      </c>
      <c r="G135" s="373">
        <v>77</v>
      </c>
      <c r="H135" s="373">
        <v>62</v>
      </c>
      <c r="I135" s="373">
        <v>32</v>
      </c>
      <c r="J135" s="373">
        <v>35</v>
      </c>
      <c r="K135" s="373">
        <v>38</v>
      </c>
      <c r="L135" s="373">
        <v>39</v>
      </c>
      <c r="M135" s="373">
        <v>41</v>
      </c>
      <c r="N135" s="373">
        <v>43</v>
      </c>
      <c r="O135" s="373">
        <v>43</v>
      </c>
      <c r="P135" s="373">
        <v>43</v>
      </c>
      <c r="Q135" s="373">
        <v>43</v>
      </c>
      <c r="R135" s="373">
        <v>47</v>
      </c>
      <c r="S135" s="373">
        <v>54</v>
      </c>
      <c r="T135" s="373">
        <v>32</v>
      </c>
      <c r="U135" s="373">
        <v>8</v>
      </c>
      <c r="V135" s="373">
        <v>0</v>
      </c>
      <c r="W135" s="373">
        <v>0</v>
      </c>
      <c r="X135" s="373">
        <v>0</v>
      </c>
      <c r="Y135" s="382">
        <v>0</v>
      </c>
    </row>
    <row r="136" spans="1:26" ht="13.5" thickBot="1" x14ac:dyDescent="0.25">
      <c r="A136" s="379" t="s">
        <v>116</v>
      </c>
      <c r="B136" s="374">
        <f t="shared" ref="B136:X136" si="30">(C135+B135)*(C134-B134)/2</f>
        <v>0.06</v>
      </c>
      <c r="C136" s="375">
        <f t="shared" si="30"/>
        <v>0.28999999999999998</v>
      </c>
      <c r="D136" s="375">
        <f t="shared" si="30"/>
        <v>0.60499999999999987</v>
      </c>
      <c r="E136" s="375">
        <f t="shared" si="30"/>
        <v>0.77000000000000013</v>
      </c>
      <c r="F136" s="375">
        <f t="shared" si="30"/>
        <v>1.5599999999999998</v>
      </c>
      <c r="G136" s="375">
        <f t="shared" si="30"/>
        <v>0.69500000000000062</v>
      </c>
      <c r="H136" s="375">
        <f t="shared" si="30"/>
        <v>0.46999999999999975</v>
      </c>
      <c r="I136" s="375">
        <f t="shared" si="30"/>
        <v>0.67000000000000015</v>
      </c>
      <c r="J136" s="375">
        <f t="shared" si="30"/>
        <v>3.6500000000000004</v>
      </c>
      <c r="K136" s="375">
        <f t="shared" si="30"/>
        <v>3.8499999999999992</v>
      </c>
      <c r="L136" s="375">
        <f t="shared" si="30"/>
        <v>4.0000000000000018</v>
      </c>
      <c r="M136" s="375">
        <f t="shared" si="30"/>
        <v>4.1999999999999993</v>
      </c>
      <c r="N136" s="375">
        <f t="shared" si="30"/>
        <v>4.2999999999999989</v>
      </c>
      <c r="O136" s="375">
        <f t="shared" si="30"/>
        <v>4.2999999999999989</v>
      </c>
      <c r="P136" s="375">
        <f t="shared" si="30"/>
        <v>4.3000000000000043</v>
      </c>
      <c r="Q136" s="375">
        <f t="shared" si="30"/>
        <v>2.2499999999999969</v>
      </c>
      <c r="R136" s="375">
        <f t="shared" si="30"/>
        <v>3.5350000000000033</v>
      </c>
      <c r="S136" s="375">
        <f t="shared" si="30"/>
        <v>1.2899999999999965</v>
      </c>
      <c r="T136" s="375">
        <f t="shared" si="30"/>
        <v>0.80000000000000071</v>
      </c>
      <c r="U136" s="375">
        <f t="shared" si="30"/>
        <v>0.24000000000000021</v>
      </c>
      <c r="V136" s="375">
        <f t="shared" si="30"/>
        <v>0</v>
      </c>
      <c r="W136" s="375">
        <f t="shared" si="30"/>
        <v>0</v>
      </c>
      <c r="X136" s="375">
        <f t="shared" si="30"/>
        <v>0</v>
      </c>
      <c r="Y136" s="369"/>
    </row>
    <row r="137" spans="1:26" ht="13.5" thickBot="1" x14ac:dyDescent="0.25">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row>
    <row r="138" spans="1:26" ht="13.5" thickBot="1" x14ac:dyDescent="0.25">
      <c r="A138" s="361" t="s">
        <v>382</v>
      </c>
      <c r="B138" s="359">
        <f>ROW(A138)</f>
        <v>138</v>
      </c>
      <c r="C138" s="363" t="s">
        <v>115</v>
      </c>
      <c r="D138" s="353">
        <f>SUM(B141:Y141)</f>
        <v>52.564999999999998</v>
      </c>
      <c r="E138" s="363" t="s">
        <v>114</v>
      </c>
      <c r="F138" s="354">
        <f>D138/g/J138</f>
        <v>167.44712028542301</v>
      </c>
      <c r="G138" s="363" t="s">
        <v>56</v>
      </c>
      <c r="H138" s="64">
        <v>0.10100000000000001</v>
      </c>
      <c r="I138" s="363" t="s">
        <v>271</v>
      </c>
      <c r="J138" s="355">
        <f>H138-L138</f>
        <v>3.2000000000000001E-2</v>
      </c>
      <c r="K138" s="363" t="s">
        <v>272</v>
      </c>
      <c r="L138" s="64">
        <v>6.9000000000000006E-2</v>
      </c>
      <c r="M138" s="363" t="s">
        <v>57</v>
      </c>
      <c r="N138" s="65">
        <v>49</v>
      </c>
      <c r="O138" s="363" t="s">
        <v>59</v>
      </c>
      <c r="P138" s="65">
        <v>49</v>
      </c>
      <c r="Q138" s="363" t="s">
        <v>60</v>
      </c>
      <c r="R138" s="65">
        <v>98</v>
      </c>
      <c r="S138" s="363" t="s">
        <v>61</v>
      </c>
      <c r="T138" s="65">
        <v>29</v>
      </c>
      <c r="U138" s="363" t="s">
        <v>54</v>
      </c>
      <c r="V138" s="66" t="s">
        <v>400</v>
      </c>
      <c r="W138" s="463" t="s">
        <v>394</v>
      </c>
      <c r="X138" s="465">
        <v>1.8</v>
      </c>
      <c r="Y138" s="463" t="s">
        <v>393</v>
      </c>
      <c r="Z138" s="358">
        <v>12</v>
      </c>
    </row>
    <row r="139" spans="1:26" x14ac:dyDescent="0.2">
      <c r="A139" s="362" t="s">
        <v>33</v>
      </c>
      <c r="B139" s="370">
        <v>0</v>
      </c>
      <c r="C139" s="371">
        <v>0.01</v>
      </c>
      <c r="D139" s="371">
        <v>0.03</v>
      </c>
      <c r="E139" s="371">
        <v>0.04</v>
      </c>
      <c r="F139" s="371">
        <v>0.05</v>
      </c>
      <c r="G139" s="371">
        <v>0.06</v>
      </c>
      <c r="H139" s="371">
        <v>7.0000000000000007E-2</v>
      </c>
      <c r="I139" s="371">
        <v>0.08</v>
      </c>
      <c r="J139" s="371">
        <v>0.09</v>
      </c>
      <c r="K139" s="371">
        <v>0.1</v>
      </c>
      <c r="L139" s="371">
        <v>0.2</v>
      </c>
      <c r="M139" s="371">
        <v>0.3</v>
      </c>
      <c r="N139" s="371">
        <v>0.4</v>
      </c>
      <c r="O139" s="371">
        <v>0.5</v>
      </c>
      <c r="P139" s="371">
        <v>0.7</v>
      </c>
      <c r="Q139" s="371">
        <v>0.8</v>
      </c>
      <c r="R139" s="371">
        <v>0.9</v>
      </c>
      <c r="S139" s="371">
        <v>1</v>
      </c>
      <c r="T139" s="371">
        <v>1.1000000000000001</v>
      </c>
      <c r="U139" s="371">
        <v>1.24</v>
      </c>
      <c r="V139" s="371">
        <v>1.3</v>
      </c>
      <c r="W139" s="371">
        <v>1.5</v>
      </c>
      <c r="X139" s="371">
        <v>2</v>
      </c>
      <c r="Y139" s="381">
        <v>1000</v>
      </c>
    </row>
    <row r="140" spans="1:26" x14ac:dyDescent="0.2">
      <c r="A140" s="378" t="s">
        <v>34</v>
      </c>
      <c r="B140" s="372">
        <v>0</v>
      </c>
      <c r="C140" s="373">
        <v>12</v>
      </c>
      <c r="D140" s="373">
        <v>41</v>
      </c>
      <c r="E140" s="373">
        <v>42</v>
      </c>
      <c r="F140" s="373">
        <v>42</v>
      </c>
      <c r="G140" s="373">
        <v>40</v>
      </c>
      <c r="H140" s="373">
        <v>34</v>
      </c>
      <c r="I140" s="373">
        <v>34</v>
      </c>
      <c r="J140" s="373">
        <v>35</v>
      </c>
      <c r="K140" s="373">
        <v>36</v>
      </c>
      <c r="L140" s="373">
        <v>40</v>
      </c>
      <c r="M140" s="373">
        <v>42</v>
      </c>
      <c r="N140" s="373">
        <v>43</v>
      </c>
      <c r="O140" s="373">
        <v>43</v>
      </c>
      <c r="P140" s="373">
        <v>43</v>
      </c>
      <c r="Q140" s="373">
        <v>42</v>
      </c>
      <c r="R140" s="373">
        <v>41</v>
      </c>
      <c r="S140" s="373">
        <v>40</v>
      </c>
      <c r="T140" s="373">
        <v>38</v>
      </c>
      <c r="U140" s="373">
        <v>37</v>
      </c>
      <c r="V140" s="373">
        <v>12</v>
      </c>
      <c r="W140" s="373">
        <v>0</v>
      </c>
      <c r="X140" s="373">
        <v>0</v>
      </c>
      <c r="Y140" s="382">
        <v>0</v>
      </c>
    </row>
    <row r="141" spans="1:26" ht="13.5" thickBot="1" x14ac:dyDescent="0.25">
      <c r="A141" s="379" t="s">
        <v>116</v>
      </c>
      <c r="B141" s="374">
        <f t="shared" ref="B141:X141" si="31">(C140+B140)*(C139-B139)/2</f>
        <v>0.06</v>
      </c>
      <c r="C141" s="375">
        <f t="shared" si="31"/>
        <v>0.52999999999999992</v>
      </c>
      <c r="D141" s="375">
        <f t="shared" si="31"/>
        <v>0.41500000000000009</v>
      </c>
      <c r="E141" s="375">
        <f t="shared" si="31"/>
        <v>0.4200000000000001</v>
      </c>
      <c r="F141" s="375">
        <f t="shared" si="31"/>
        <v>0.40999999999999981</v>
      </c>
      <c r="G141" s="375">
        <f t="shared" si="31"/>
        <v>0.37000000000000033</v>
      </c>
      <c r="H141" s="375">
        <f t="shared" si="31"/>
        <v>0.33999999999999986</v>
      </c>
      <c r="I141" s="375">
        <f t="shared" si="31"/>
        <v>0.34499999999999981</v>
      </c>
      <c r="J141" s="375">
        <f t="shared" si="31"/>
        <v>0.35500000000000032</v>
      </c>
      <c r="K141" s="375">
        <f t="shared" si="31"/>
        <v>3.8000000000000003</v>
      </c>
      <c r="L141" s="375">
        <f t="shared" si="31"/>
        <v>4.0999999999999988</v>
      </c>
      <c r="M141" s="375">
        <f t="shared" si="31"/>
        <v>4.2500000000000018</v>
      </c>
      <c r="N141" s="375">
        <f t="shared" si="31"/>
        <v>4.2999999999999989</v>
      </c>
      <c r="O141" s="375">
        <f t="shared" si="31"/>
        <v>8.5999999999999979</v>
      </c>
      <c r="P141" s="375">
        <f t="shared" si="31"/>
        <v>4.2500000000000036</v>
      </c>
      <c r="Q141" s="375">
        <f t="shared" si="31"/>
        <v>4.1499999999999995</v>
      </c>
      <c r="R141" s="375">
        <f t="shared" si="31"/>
        <v>4.0499999999999989</v>
      </c>
      <c r="S141" s="375">
        <f t="shared" si="31"/>
        <v>3.9000000000000035</v>
      </c>
      <c r="T141" s="375">
        <f t="shared" si="31"/>
        <v>5.2499999999999964</v>
      </c>
      <c r="U141" s="375">
        <f t="shared" si="31"/>
        <v>1.4700000000000013</v>
      </c>
      <c r="V141" s="375">
        <f t="shared" si="31"/>
        <v>1.1999999999999997</v>
      </c>
      <c r="W141" s="375">
        <f t="shared" si="31"/>
        <v>0</v>
      </c>
      <c r="X141" s="375">
        <f t="shared" si="31"/>
        <v>0</v>
      </c>
      <c r="Y141" s="369"/>
    </row>
    <row r="142" spans="1:26" ht="13.5" thickBot="1" x14ac:dyDescent="0.25">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row>
    <row r="143" spans="1:26" ht="13.5" thickBot="1" x14ac:dyDescent="0.25">
      <c r="A143" s="361" t="s">
        <v>383</v>
      </c>
      <c r="B143" s="359">
        <f>ROW(A143)</f>
        <v>143</v>
      </c>
      <c r="C143" s="363" t="s">
        <v>115</v>
      </c>
      <c r="D143" s="353">
        <f>SUM(B146:Y146)</f>
        <v>54.110016122119539</v>
      </c>
      <c r="E143" s="363" t="s">
        <v>114</v>
      </c>
      <c r="F143" s="354">
        <f>D143/g/J143</f>
        <v>146.69685764124625</v>
      </c>
      <c r="G143" s="363" t="s">
        <v>56</v>
      </c>
      <c r="H143" s="64">
        <v>0.10580000000000001</v>
      </c>
      <c r="I143" s="363" t="s">
        <v>271</v>
      </c>
      <c r="J143" s="355">
        <f>H143-L143</f>
        <v>3.7600000000000008E-2</v>
      </c>
      <c r="K143" s="363" t="s">
        <v>272</v>
      </c>
      <c r="L143" s="64">
        <v>6.8199999999999997E-2</v>
      </c>
      <c r="M143" s="363" t="s">
        <v>57</v>
      </c>
      <c r="N143" s="65">
        <v>49</v>
      </c>
      <c r="O143" s="363" t="s">
        <v>59</v>
      </c>
      <c r="P143" s="65">
        <v>49</v>
      </c>
      <c r="Q143" s="363" t="s">
        <v>60</v>
      </c>
      <c r="R143" s="65">
        <v>98</v>
      </c>
      <c r="S143" s="363" t="s">
        <v>61</v>
      </c>
      <c r="T143" s="65">
        <v>29</v>
      </c>
      <c r="U143" s="363" t="s">
        <v>54</v>
      </c>
      <c r="V143" s="66" t="s">
        <v>399</v>
      </c>
      <c r="W143" s="463" t="s">
        <v>394</v>
      </c>
      <c r="X143" s="465">
        <v>1.9</v>
      </c>
      <c r="Y143" s="463" t="s">
        <v>393</v>
      </c>
      <c r="Z143" s="358">
        <v>12</v>
      </c>
    </row>
    <row r="144" spans="1:26" x14ac:dyDescent="0.2">
      <c r="A144" s="362" t="s">
        <v>33</v>
      </c>
      <c r="B144" s="370">
        <v>0</v>
      </c>
      <c r="C144" s="371">
        <v>2.5000000000000001E-2</v>
      </c>
      <c r="D144" s="371">
        <v>0.05</v>
      </c>
      <c r="E144" s="371">
        <v>7.4999999999999997E-2</v>
      </c>
      <c r="F144" s="371">
        <v>0.1</v>
      </c>
      <c r="G144" s="371">
        <v>0.15</v>
      </c>
      <c r="H144" s="371">
        <v>0.17499999999999999</v>
      </c>
      <c r="I144" s="371">
        <v>0.2</v>
      </c>
      <c r="J144" s="371">
        <v>0.3</v>
      </c>
      <c r="K144" s="371">
        <v>0.4</v>
      </c>
      <c r="L144" s="371">
        <v>0.5</v>
      </c>
      <c r="M144" s="371">
        <v>0.6</v>
      </c>
      <c r="N144" s="371">
        <v>0.7</v>
      </c>
      <c r="O144" s="371">
        <v>0.8</v>
      </c>
      <c r="P144" s="371">
        <v>0.9</v>
      </c>
      <c r="Q144" s="371">
        <v>1.1000000000000001</v>
      </c>
      <c r="R144" s="371">
        <v>1.2</v>
      </c>
      <c r="S144" s="371">
        <v>1.6</v>
      </c>
      <c r="T144" s="371">
        <v>1.7</v>
      </c>
      <c r="U144" s="371">
        <v>1.8</v>
      </c>
      <c r="V144" s="371">
        <v>1.9</v>
      </c>
      <c r="W144" s="371">
        <v>1.9999</v>
      </c>
      <c r="X144" s="371">
        <v>2</v>
      </c>
      <c r="Y144" s="381">
        <v>1000</v>
      </c>
    </row>
    <row r="145" spans="1:26" x14ac:dyDescent="0.2">
      <c r="A145" s="378" t="s">
        <v>34</v>
      </c>
      <c r="B145" s="372">
        <v>0</v>
      </c>
      <c r="C145" s="376">
        <v>15.2574001848975</v>
      </c>
      <c r="D145" s="376">
        <v>26.377954255522496</v>
      </c>
      <c r="E145" s="376">
        <v>21.484910464447498</v>
      </c>
      <c r="F145" s="376">
        <v>24.020396792549999</v>
      </c>
      <c r="G145" s="376">
        <v>28.11276069054</v>
      </c>
      <c r="H145" s="376">
        <v>28.691029502212498</v>
      </c>
      <c r="I145" s="376">
        <v>29.180333881319996</v>
      </c>
      <c r="J145" s="376">
        <v>31.493409128009997</v>
      </c>
      <c r="K145" s="376">
        <v>32.560982318789996</v>
      </c>
      <c r="L145" s="376">
        <v>32.827875616484995</v>
      </c>
      <c r="M145" s="376">
        <v>32.649946751354996</v>
      </c>
      <c r="N145" s="376">
        <v>32.383053453659997</v>
      </c>
      <c r="O145" s="376">
        <v>32.249606804812501</v>
      </c>
      <c r="P145" s="376">
        <v>31.804784641987499</v>
      </c>
      <c r="Q145" s="376">
        <v>30.559282586077497</v>
      </c>
      <c r="R145" s="376">
        <v>30.069978206969999</v>
      </c>
      <c r="S145" s="376">
        <v>26.377954255522496</v>
      </c>
      <c r="T145" s="376">
        <v>24.865558901917499</v>
      </c>
      <c r="U145" s="376">
        <v>18.4601197572375</v>
      </c>
      <c r="V145" s="376">
        <v>7.5174945517424998</v>
      </c>
      <c r="W145" s="376">
        <v>1.3789487047575</v>
      </c>
      <c r="X145" s="373">
        <v>0</v>
      </c>
      <c r="Y145" s="382">
        <v>0</v>
      </c>
    </row>
    <row r="146" spans="1:26" ht="13.5" thickBot="1" x14ac:dyDescent="0.25">
      <c r="A146" s="379" t="s">
        <v>116</v>
      </c>
      <c r="B146" s="374">
        <f t="shared" ref="B146:V146" si="32">(C145+B145)*(C144-B144)/2</f>
        <v>0.19071750231121876</v>
      </c>
      <c r="C146" s="375">
        <f t="shared" si="32"/>
        <v>0.52044193050525001</v>
      </c>
      <c r="D146" s="375">
        <f t="shared" si="32"/>
        <v>0.5982858089996248</v>
      </c>
      <c r="E146" s="375">
        <f t="shared" si="32"/>
        <v>0.56881634071246889</v>
      </c>
      <c r="F146" s="375">
        <f t="shared" si="32"/>
        <v>1.3033289370772498</v>
      </c>
      <c r="G146" s="375">
        <f t="shared" si="32"/>
        <v>0.71004737740940616</v>
      </c>
      <c r="H146" s="375">
        <f t="shared" si="32"/>
        <v>0.72339204229415688</v>
      </c>
      <c r="I146" s="375">
        <f t="shared" si="32"/>
        <v>3.0336871504664993</v>
      </c>
      <c r="J146" s="375">
        <f>(K145+J145)*(K144-J144)/2</f>
        <v>3.2027195723400008</v>
      </c>
      <c r="K146" s="375">
        <f t="shared" si="32"/>
        <v>3.2694428967637483</v>
      </c>
      <c r="L146" s="375">
        <f t="shared" si="32"/>
        <v>3.2738911183919988</v>
      </c>
      <c r="M146" s="375">
        <f t="shared" si="32"/>
        <v>3.2516500102507484</v>
      </c>
      <c r="N146" s="375">
        <f t="shared" si="32"/>
        <v>3.2316330129236279</v>
      </c>
      <c r="O146" s="375">
        <f t="shared" si="32"/>
        <v>3.202719572339999</v>
      </c>
      <c r="P146" s="375">
        <f t="shared" si="32"/>
        <v>6.2364067228065014</v>
      </c>
      <c r="Q146" s="375">
        <f t="shared" si="32"/>
        <v>3.0314630396523707</v>
      </c>
      <c r="R146" s="375">
        <f t="shared" si="32"/>
        <v>11.289586492498502</v>
      </c>
      <c r="S146" s="375">
        <f>(T145+S145)*(T144-S144)/2</f>
        <v>2.5621756578719963</v>
      </c>
      <c r="T146" s="375">
        <f t="shared" si="32"/>
        <v>2.1662839329577519</v>
      </c>
      <c r="U146" s="375">
        <f t="shared" si="32"/>
        <v>1.2988807154489983</v>
      </c>
      <c r="V146" s="375">
        <f t="shared" si="32"/>
        <v>0.44437734066217544</v>
      </c>
      <c r="W146" s="375">
        <f>(X145+W145)*(X144-W144)/2</f>
        <v>6.894743523786741E-5</v>
      </c>
      <c r="X146" s="375">
        <f>(Y145+X145)*(Y144-X144)/2</f>
        <v>0</v>
      </c>
      <c r="Y146" s="369"/>
    </row>
    <row r="147" spans="1:26" ht="13.5" thickBot="1" x14ac:dyDescent="0.25">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row>
    <row r="148" spans="1:26" ht="13.5" thickBot="1" x14ac:dyDescent="0.25">
      <c r="A148" s="361" t="s">
        <v>544</v>
      </c>
      <c r="B148" s="359">
        <f>ROW(A148)</f>
        <v>148</v>
      </c>
      <c r="C148" s="363" t="s">
        <v>115</v>
      </c>
      <c r="D148" s="353">
        <f>SUM(B151:Y151)</f>
        <v>55.589492</v>
      </c>
      <c r="E148" s="363" t="s">
        <v>114</v>
      </c>
      <c r="F148" s="354">
        <f>D148/g/J148</f>
        <v>177.08171508664634</v>
      </c>
      <c r="G148" s="363" t="s">
        <v>56</v>
      </c>
      <c r="H148" s="64">
        <v>0.10199999999999999</v>
      </c>
      <c r="I148" s="363" t="s">
        <v>271</v>
      </c>
      <c r="J148" s="355">
        <f>H148-L148</f>
        <v>3.1999999999999987E-2</v>
      </c>
      <c r="K148" s="363" t="s">
        <v>272</v>
      </c>
      <c r="L148" s="64">
        <v>7.0000000000000007E-2</v>
      </c>
      <c r="M148" s="363" t="s">
        <v>57</v>
      </c>
      <c r="N148" s="65">
        <v>49</v>
      </c>
      <c r="O148" s="363" t="s">
        <v>59</v>
      </c>
      <c r="P148" s="65">
        <v>49</v>
      </c>
      <c r="Q148" s="363" t="s">
        <v>60</v>
      </c>
      <c r="R148" s="65">
        <v>98</v>
      </c>
      <c r="S148" s="363" t="s">
        <v>61</v>
      </c>
      <c r="T148" s="65">
        <v>29</v>
      </c>
      <c r="U148" s="363" t="s">
        <v>54</v>
      </c>
      <c r="V148" s="66" t="s">
        <v>400</v>
      </c>
      <c r="W148" s="463" t="s">
        <v>394</v>
      </c>
      <c r="X148" s="465">
        <v>0.45</v>
      </c>
      <c r="Y148" s="463" t="s">
        <v>393</v>
      </c>
      <c r="Z148" s="358">
        <v>12</v>
      </c>
    </row>
    <row r="149" spans="1:26" x14ac:dyDescent="0.2">
      <c r="A149" s="362" t="s">
        <v>33</v>
      </c>
      <c r="B149" s="370">
        <v>0</v>
      </c>
      <c r="C149" s="371">
        <v>1E-3</v>
      </c>
      <c r="D149" s="371">
        <v>2.3E-2</v>
      </c>
      <c r="E149" s="371">
        <v>0.05</v>
      </c>
      <c r="F149" s="371">
        <v>5.8999999999999997E-2</v>
      </c>
      <c r="G149" s="371">
        <v>9.5000000000000001E-2</v>
      </c>
      <c r="H149" s="371">
        <v>0.21199999999999999</v>
      </c>
      <c r="I149" s="371">
        <v>0.34399999999999997</v>
      </c>
      <c r="J149" s="371">
        <v>1.5669999999999999</v>
      </c>
      <c r="K149" s="371">
        <v>1.631</v>
      </c>
      <c r="L149" s="371">
        <v>1.663</v>
      </c>
      <c r="M149" s="371">
        <v>1.7849999999999999</v>
      </c>
      <c r="N149" s="371">
        <v>1.8280000000000001</v>
      </c>
      <c r="O149" s="371">
        <v>2</v>
      </c>
      <c r="P149" s="371">
        <v>2</v>
      </c>
      <c r="Q149" s="371">
        <v>2</v>
      </c>
      <c r="R149" s="371">
        <v>2</v>
      </c>
      <c r="S149" s="371">
        <v>2</v>
      </c>
      <c r="T149" s="371">
        <v>2</v>
      </c>
      <c r="U149" s="371">
        <v>2</v>
      </c>
      <c r="V149" s="371">
        <v>2</v>
      </c>
      <c r="W149" s="371">
        <v>2</v>
      </c>
      <c r="X149" s="371">
        <v>2</v>
      </c>
      <c r="Y149" s="381">
        <v>1000</v>
      </c>
    </row>
    <row r="150" spans="1:26" x14ac:dyDescent="0.2">
      <c r="A150" s="378" t="s">
        <v>34</v>
      </c>
      <c r="B150" s="372">
        <v>0</v>
      </c>
      <c r="C150" s="373">
        <v>3.4830000000000001</v>
      </c>
      <c r="D150" s="373">
        <v>64.052999999999997</v>
      </c>
      <c r="E150" s="373">
        <v>31.347000000000001</v>
      </c>
      <c r="F150" s="373">
        <v>28.459</v>
      </c>
      <c r="G150" s="373">
        <v>32.027000000000001</v>
      </c>
      <c r="H150" s="373">
        <v>36.189</v>
      </c>
      <c r="I150" s="373">
        <v>37.548999999999999</v>
      </c>
      <c r="J150" s="373">
        <v>26.164999999999999</v>
      </c>
      <c r="K150" s="373">
        <v>26.93</v>
      </c>
      <c r="L150" s="373">
        <v>25.315999999999999</v>
      </c>
      <c r="M150" s="373">
        <v>3.653</v>
      </c>
      <c r="N150" s="373">
        <v>0</v>
      </c>
      <c r="O150" s="373">
        <v>0</v>
      </c>
      <c r="P150" s="373">
        <v>0</v>
      </c>
      <c r="Q150" s="373">
        <v>0</v>
      </c>
      <c r="R150" s="373">
        <v>0</v>
      </c>
      <c r="S150" s="373">
        <v>0</v>
      </c>
      <c r="T150" s="373">
        <v>0</v>
      </c>
      <c r="U150" s="373">
        <v>0</v>
      </c>
      <c r="V150" s="373">
        <v>0</v>
      </c>
      <c r="W150" s="373">
        <v>0</v>
      </c>
      <c r="X150" s="373">
        <v>0</v>
      </c>
      <c r="Y150" s="382">
        <v>0</v>
      </c>
    </row>
    <row r="151" spans="1:26" ht="13.5" thickBot="1" x14ac:dyDescent="0.25">
      <c r="A151" s="379" t="s">
        <v>116</v>
      </c>
      <c r="B151" s="374">
        <f t="shared" ref="B151" si="33">(C150+B150)*(C149-B149)/2</f>
        <v>1.7415E-3</v>
      </c>
      <c r="C151" s="375">
        <f t="shared" ref="C151" si="34">(D150+C150)*(D149-C149)/2</f>
        <v>0.742896</v>
      </c>
      <c r="D151" s="375">
        <f t="shared" ref="D151" si="35">(E150+D150)*(E149-D149)/2</f>
        <v>1.2879000000000003</v>
      </c>
      <c r="E151" s="375">
        <f t="shared" ref="E151" si="36">(F150+E150)*(F149-E149)/2</f>
        <v>0.26912699999999984</v>
      </c>
      <c r="F151" s="375">
        <f t="shared" ref="F151" si="37">(G150+F150)*(G149-F149)/2</f>
        <v>1.0887480000000003</v>
      </c>
      <c r="G151" s="375">
        <f t="shared" ref="G151" si="38">(H150+G150)*(H149-G149)/2</f>
        <v>3.9906360000000003</v>
      </c>
      <c r="H151" s="375">
        <f t="shared" ref="H151" si="39">(I150+H150)*(I149-H149)/2</f>
        <v>4.8667079999999991</v>
      </c>
      <c r="I151" s="375">
        <f t="shared" ref="I151" si="40">(J150+I150)*(J149-I149)/2</f>
        <v>38.961110999999995</v>
      </c>
      <c r="J151" s="375">
        <f t="shared" ref="J151" si="41">(K150+J150)*(K149-J149)/2</f>
        <v>1.6990400000000014</v>
      </c>
      <c r="K151" s="375">
        <f t="shared" ref="K151" si="42">(L150+K150)*(L149-K149)/2</f>
        <v>0.83593600000000068</v>
      </c>
      <c r="L151" s="375">
        <f t="shared" ref="L151" si="43">(M150+L150)*(M149-L149)/2</f>
        <v>1.7671089999999983</v>
      </c>
      <c r="M151" s="375">
        <f t="shared" ref="M151" si="44">(N150+M150)*(N149-M149)/2</f>
        <v>7.8539500000000276E-2</v>
      </c>
      <c r="N151" s="375">
        <f t="shared" ref="N151" si="45">(O150+N150)*(O149-N149)/2</f>
        <v>0</v>
      </c>
      <c r="O151" s="375">
        <f t="shared" ref="O151" si="46">(P150+O150)*(P149-O149)/2</f>
        <v>0</v>
      </c>
      <c r="P151" s="375">
        <f t="shared" ref="P151" si="47">(Q150+P150)*(Q149-P149)/2</f>
        <v>0</v>
      </c>
      <c r="Q151" s="375">
        <f t="shared" ref="Q151" si="48">(R150+Q150)*(R149-Q149)/2</f>
        <v>0</v>
      </c>
      <c r="R151" s="375">
        <f t="shared" ref="R151" si="49">(S150+R150)*(S149-R149)/2</f>
        <v>0</v>
      </c>
      <c r="S151" s="375">
        <f t="shared" ref="S151" si="50">(T150+S150)*(T149-S149)/2</f>
        <v>0</v>
      </c>
      <c r="T151" s="375">
        <f t="shared" ref="T151" si="51">(U150+T150)*(U149-T149)/2</f>
        <v>0</v>
      </c>
      <c r="U151" s="375">
        <f t="shared" ref="U151" si="52">(V150+U150)*(V149-U149)/2</f>
        <v>0</v>
      </c>
      <c r="V151" s="375">
        <f t="shared" ref="V151" si="53">(W150+V150)*(W149-V149)/2</f>
        <v>0</v>
      </c>
      <c r="W151" s="375">
        <f t="shared" ref="W151" si="54">(X150+W150)*(X149-W149)/2</f>
        <v>0</v>
      </c>
      <c r="X151" s="375">
        <f t="shared" ref="X151" si="55">(Y150+X150)*(Y149-X149)/2</f>
        <v>0</v>
      </c>
      <c r="Y151" s="369"/>
    </row>
    <row r="152" spans="1:26" ht="13.5" thickBot="1" x14ac:dyDescent="0.25">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row>
    <row r="153" spans="1:26" ht="13.5" thickBot="1" x14ac:dyDescent="0.25">
      <c r="A153" s="361" t="s">
        <v>384</v>
      </c>
      <c r="B153" s="359">
        <f>ROW(A153)</f>
        <v>153</v>
      </c>
      <c r="C153" s="363" t="s">
        <v>115</v>
      </c>
      <c r="D153" s="353">
        <f>SUM(B156:Y156)</f>
        <v>55.705884500000003</v>
      </c>
      <c r="E153" s="363" t="s">
        <v>114</v>
      </c>
      <c r="F153" s="354">
        <f>D153/g/J153</f>
        <v>180.84329814241278</v>
      </c>
      <c r="G153" s="363" t="s">
        <v>56</v>
      </c>
      <c r="H153" s="64">
        <v>0.1062</v>
      </c>
      <c r="I153" s="363" t="s">
        <v>271</v>
      </c>
      <c r="J153" s="355">
        <f>H153-L153</f>
        <v>3.1400000000000011E-2</v>
      </c>
      <c r="K153" s="363" t="s">
        <v>272</v>
      </c>
      <c r="L153" s="64">
        <v>7.4799999999999991E-2</v>
      </c>
      <c r="M153" s="363" t="s">
        <v>57</v>
      </c>
      <c r="N153" s="65">
        <v>49</v>
      </c>
      <c r="O153" s="363" t="s">
        <v>59</v>
      </c>
      <c r="P153" s="65">
        <v>49</v>
      </c>
      <c r="Q153" s="363" t="s">
        <v>60</v>
      </c>
      <c r="R153" s="65">
        <v>98</v>
      </c>
      <c r="S153" s="363" t="s">
        <v>61</v>
      </c>
      <c r="T153" s="65">
        <v>29</v>
      </c>
      <c r="U153" s="363" t="s">
        <v>54</v>
      </c>
      <c r="V153" s="66" t="s">
        <v>400</v>
      </c>
      <c r="W153" s="463" t="s">
        <v>394</v>
      </c>
      <c r="X153" s="465">
        <v>0.45</v>
      </c>
      <c r="Y153" s="463" t="s">
        <v>393</v>
      </c>
      <c r="Z153" s="358">
        <v>14</v>
      </c>
    </row>
    <row r="154" spans="1:26" x14ac:dyDescent="0.2">
      <c r="A154" s="362" t="s">
        <v>33</v>
      </c>
      <c r="B154" s="370">
        <v>0</v>
      </c>
      <c r="C154" s="371">
        <v>1.2999999999999999E-2</v>
      </c>
      <c r="D154" s="371">
        <v>1.7000000000000001E-2</v>
      </c>
      <c r="E154" s="371">
        <v>0.04</v>
      </c>
      <c r="F154" s="371">
        <v>0.125</v>
      </c>
      <c r="G154" s="371">
        <v>0.17899999999999999</v>
      </c>
      <c r="H154" s="371">
        <v>0.222</v>
      </c>
      <c r="I154" s="371">
        <v>0.28899999999999998</v>
      </c>
      <c r="J154" s="371">
        <v>0.35399999999999998</v>
      </c>
      <c r="K154" s="371">
        <v>0.39400000000000002</v>
      </c>
      <c r="L154" s="371">
        <v>0.40600000000000003</v>
      </c>
      <c r="M154" s="371">
        <v>0.41599999999999998</v>
      </c>
      <c r="N154" s="371">
        <v>0.42299999999999999</v>
      </c>
      <c r="O154" s="371">
        <v>0.43099999999999999</v>
      </c>
      <c r="P154" s="371">
        <v>0.44700000000000001</v>
      </c>
      <c r="Q154" s="371">
        <v>0.45300000000000001</v>
      </c>
      <c r="R154" s="371">
        <v>0.45500000000000002</v>
      </c>
      <c r="S154" s="371">
        <v>0.45500000000000002</v>
      </c>
      <c r="T154" s="371">
        <v>0.45500000000000002</v>
      </c>
      <c r="U154" s="371">
        <v>0.45500000000000002</v>
      </c>
      <c r="V154" s="371">
        <v>0.45500000000000002</v>
      </c>
      <c r="W154" s="371">
        <v>0.45500000000000002</v>
      </c>
      <c r="X154" s="371">
        <v>2</v>
      </c>
      <c r="Y154" s="381">
        <v>1000</v>
      </c>
    </row>
    <row r="155" spans="1:26" x14ac:dyDescent="0.2">
      <c r="A155" s="378" t="s">
        <v>34</v>
      </c>
      <c r="B155" s="372">
        <v>0</v>
      </c>
      <c r="C155" s="373">
        <v>79.242000000000004</v>
      </c>
      <c r="D155" s="373">
        <v>90.427000000000007</v>
      </c>
      <c r="E155" s="373">
        <v>101.422</v>
      </c>
      <c r="F155" s="373">
        <v>127.583</v>
      </c>
      <c r="G155" s="373">
        <v>136.114</v>
      </c>
      <c r="H155" s="373">
        <v>139.905</v>
      </c>
      <c r="I155" s="373">
        <v>143.50700000000001</v>
      </c>
      <c r="J155" s="373">
        <v>138.578</v>
      </c>
      <c r="K155" s="373">
        <v>125.498</v>
      </c>
      <c r="L155" s="373">
        <v>123.602</v>
      </c>
      <c r="M155" s="373">
        <v>125.11799999999999</v>
      </c>
      <c r="N155" s="373">
        <v>130.047</v>
      </c>
      <c r="O155" s="373">
        <v>120.569</v>
      </c>
      <c r="P155" s="373">
        <v>25.591999999999999</v>
      </c>
      <c r="Q155" s="373">
        <v>8.7200000000000006</v>
      </c>
      <c r="R155" s="373">
        <v>0</v>
      </c>
      <c r="S155" s="373">
        <v>0</v>
      </c>
      <c r="T155" s="373">
        <v>0</v>
      </c>
      <c r="U155" s="373">
        <v>0</v>
      </c>
      <c r="V155" s="373">
        <v>0</v>
      </c>
      <c r="W155" s="373">
        <v>0</v>
      </c>
      <c r="X155" s="373">
        <v>0</v>
      </c>
      <c r="Y155" s="382">
        <v>0</v>
      </c>
    </row>
    <row r="156" spans="1:26" ht="13.5" thickBot="1" x14ac:dyDescent="0.25">
      <c r="A156" s="379" t="s">
        <v>116</v>
      </c>
      <c r="B156" s="374">
        <f t="shared" ref="B156:X156" si="56">(C155+B155)*(C154-B154)/2</f>
        <v>0.515073</v>
      </c>
      <c r="C156" s="375">
        <f t="shared" si="56"/>
        <v>0.3393380000000002</v>
      </c>
      <c r="D156" s="375">
        <f t="shared" si="56"/>
        <v>2.2062634999999999</v>
      </c>
      <c r="E156" s="375">
        <f t="shared" si="56"/>
        <v>9.7327124999999981</v>
      </c>
      <c r="F156" s="375">
        <f t="shared" si="56"/>
        <v>7.1198189999999988</v>
      </c>
      <c r="G156" s="375">
        <f t="shared" si="56"/>
        <v>5.9344085000000018</v>
      </c>
      <c r="H156" s="375">
        <f t="shared" si="56"/>
        <v>9.4943019999999976</v>
      </c>
      <c r="I156" s="375">
        <f t="shared" si="56"/>
        <v>9.167762500000002</v>
      </c>
      <c r="J156" s="375">
        <f t="shared" si="56"/>
        <v>5.2815200000000049</v>
      </c>
      <c r="K156" s="375">
        <f t="shared" si="56"/>
        <v>1.4946000000000015</v>
      </c>
      <c r="L156" s="375">
        <f t="shared" si="56"/>
        <v>1.2435999999999943</v>
      </c>
      <c r="M156" s="375">
        <f t="shared" si="56"/>
        <v>0.89307750000000075</v>
      </c>
      <c r="N156" s="375">
        <f t="shared" si="56"/>
        <v>1.0024640000000009</v>
      </c>
      <c r="O156" s="375">
        <f t="shared" si="56"/>
        <v>1.169288000000001</v>
      </c>
      <c r="P156" s="375">
        <f t="shared" si="56"/>
        <v>0.10293600000000008</v>
      </c>
      <c r="Q156" s="375">
        <f t="shared" si="56"/>
        <v>8.720000000000009E-3</v>
      </c>
      <c r="R156" s="375">
        <f t="shared" si="56"/>
        <v>0</v>
      </c>
      <c r="S156" s="375">
        <f t="shared" si="56"/>
        <v>0</v>
      </c>
      <c r="T156" s="375">
        <f t="shared" si="56"/>
        <v>0</v>
      </c>
      <c r="U156" s="375">
        <f t="shared" si="56"/>
        <v>0</v>
      </c>
      <c r="V156" s="375">
        <f t="shared" si="56"/>
        <v>0</v>
      </c>
      <c r="W156" s="375">
        <f t="shared" si="56"/>
        <v>0</v>
      </c>
      <c r="X156" s="375">
        <f t="shared" si="56"/>
        <v>0</v>
      </c>
      <c r="Y156" s="369"/>
    </row>
    <row r="157" spans="1:26" ht="13.5" thickBot="1" x14ac:dyDescent="0.25">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row>
    <row r="158" spans="1:26" ht="13.5" thickBot="1" x14ac:dyDescent="0.25">
      <c r="A158" s="361" t="s">
        <v>385</v>
      </c>
      <c r="B158" s="359">
        <f>ROW(A158)</f>
        <v>158</v>
      </c>
      <c r="C158" s="363" t="s">
        <v>115</v>
      </c>
      <c r="D158" s="353">
        <f>SUM(B161:Y161)</f>
        <v>57.190000000000005</v>
      </c>
      <c r="E158" s="363" t="s">
        <v>114</v>
      </c>
      <c r="F158" s="354">
        <f>D158/g/J158</f>
        <v>188.05695307618953</v>
      </c>
      <c r="G158" s="363" t="s">
        <v>56</v>
      </c>
      <c r="H158" s="64">
        <v>9.9000000000000005E-2</v>
      </c>
      <c r="I158" s="363" t="s">
        <v>271</v>
      </c>
      <c r="J158" s="355">
        <f>H158-L158</f>
        <v>3.1E-2</v>
      </c>
      <c r="K158" s="363" t="s">
        <v>272</v>
      </c>
      <c r="L158" s="64">
        <v>6.8000000000000005E-2</v>
      </c>
      <c r="M158" s="363" t="s">
        <v>57</v>
      </c>
      <c r="N158" s="65">
        <v>49</v>
      </c>
      <c r="O158" s="363" t="s">
        <v>59</v>
      </c>
      <c r="P158" s="65">
        <v>49</v>
      </c>
      <c r="Q158" s="363" t="s">
        <v>60</v>
      </c>
      <c r="R158" s="65">
        <v>98</v>
      </c>
      <c r="S158" s="363" t="s">
        <v>61</v>
      </c>
      <c r="T158" s="65">
        <v>29</v>
      </c>
      <c r="U158" s="363" t="s">
        <v>54</v>
      </c>
      <c r="V158" s="66" t="s">
        <v>400</v>
      </c>
      <c r="W158" s="463" t="s">
        <v>394</v>
      </c>
      <c r="X158" s="465">
        <v>0.96</v>
      </c>
      <c r="Y158" s="463" t="s">
        <v>393</v>
      </c>
      <c r="Z158" s="358">
        <v>12</v>
      </c>
    </row>
    <row r="159" spans="1:26" x14ac:dyDescent="0.2">
      <c r="A159" s="362" t="s">
        <v>33</v>
      </c>
      <c r="B159" s="370">
        <v>0</v>
      </c>
      <c r="C159" s="371">
        <v>0.01</v>
      </c>
      <c r="D159" s="371">
        <v>0.02</v>
      </c>
      <c r="E159" s="371">
        <v>0.03</v>
      </c>
      <c r="F159" s="371">
        <v>0.04</v>
      </c>
      <c r="G159" s="371">
        <v>7.0000000000000007E-2</v>
      </c>
      <c r="H159" s="371">
        <v>0.1</v>
      </c>
      <c r="I159" s="371">
        <v>0.2</v>
      </c>
      <c r="J159" s="371">
        <v>0.3</v>
      </c>
      <c r="K159" s="371">
        <v>0.4</v>
      </c>
      <c r="L159" s="371">
        <v>0.5</v>
      </c>
      <c r="M159" s="371">
        <v>0.6</v>
      </c>
      <c r="N159" s="371">
        <v>0.7</v>
      </c>
      <c r="O159" s="371">
        <v>0.87</v>
      </c>
      <c r="P159" s="371">
        <v>0.9</v>
      </c>
      <c r="Q159" s="371">
        <v>0.97</v>
      </c>
      <c r="R159" s="371">
        <v>0.97</v>
      </c>
      <c r="S159" s="371">
        <v>0.97</v>
      </c>
      <c r="T159" s="371">
        <v>0.97</v>
      </c>
      <c r="U159" s="371">
        <v>0.97</v>
      </c>
      <c r="V159" s="371">
        <v>0.97</v>
      </c>
      <c r="W159" s="371">
        <v>0.97</v>
      </c>
      <c r="X159" s="371">
        <v>2</v>
      </c>
      <c r="Y159" s="381">
        <v>1000</v>
      </c>
    </row>
    <row r="160" spans="1:26" x14ac:dyDescent="0.2">
      <c r="A160" s="378" t="s">
        <v>34</v>
      </c>
      <c r="B160" s="372">
        <v>0</v>
      </c>
      <c r="C160" s="373">
        <v>16</v>
      </c>
      <c r="D160" s="373">
        <v>62</v>
      </c>
      <c r="E160" s="373">
        <v>67</v>
      </c>
      <c r="F160" s="373">
        <v>71</v>
      </c>
      <c r="G160" s="373">
        <v>58</v>
      </c>
      <c r="H160" s="373">
        <v>63</v>
      </c>
      <c r="I160" s="373">
        <v>67</v>
      </c>
      <c r="J160" s="373">
        <v>69</v>
      </c>
      <c r="K160" s="373">
        <v>67</v>
      </c>
      <c r="L160" s="373">
        <v>65</v>
      </c>
      <c r="M160" s="373">
        <v>63</v>
      </c>
      <c r="N160" s="373">
        <v>61</v>
      </c>
      <c r="O160" s="373">
        <v>60</v>
      </c>
      <c r="P160" s="373">
        <v>23</v>
      </c>
      <c r="Q160" s="373">
        <v>0</v>
      </c>
      <c r="R160" s="373">
        <v>0</v>
      </c>
      <c r="S160" s="373">
        <v>0</v>
      </c>
      <c r="T160" s="373">
        <v>0</v>
      </c>
      <c r="U160" s="373">
        <v>0</v>
      </c>
      <c r="V160" s="373">
        <v>0</v>
      </c>
      <c r="W160" s="373">
        <v>0</v>
      </c>
      <c r="X160" s="373">
        <v>0</v>
      </c>
      <c r="Y160" s="382">
        <v>0</v>
      </c>
    </row>
    <row r="161" spans="1:26" ht="13.5" thickBot="1" x14ac:dyDescent="0.25">
      <c r="A161" s="379" t="s">
        <v>116</v>
      </c>
      <c r="B161" s="374">
        <f t="shared" ref="B161:X161" si="57">(C160+B160)*(C159-B159)/2</f>
        <v>0.08</v>
      </c>
      <c r="C161" s="375">
        <f t="shared" si="57"/>
        <v>0.39</v>
      </c>
      <c r="D161" s="375">
        <f t="shared" si="57"/>
        <v>0.64499999999999991</v>
      </c>
      <c r="E161" s="375">
        <f t="shared" si="57"/>
        <v>0.69000000000000017</v>
      </c>
      <c r="F161" s="375">
        <f t="shared" si="57"/>
        <v>1.9350000000000003</v>
      </c>
      <c r="G161" s="375">
        <f t="shared" si="57"/>
        <v>1.8149999999999999</v>
      </c>
      <c r="H161" s="375">
        <f t="shared" si="57"/>
        <v>6.5</v>
      </c>
      <c r="I161" s="375">
        <f t="shared" si="57"/>
        <v>6.7999999999999989</v>
      </c>
      <c r="J161" s="375">
        <f t="shared" si="57"/>
        <v>6.8000000000000025</v>
      </c>
      <c r="K161" s="375">
        <f t="shared" si="57"/>
        <v>6.5999999999999988</v>
      </c>
      <c r="L161" s="375">
        <f t="shared" si="57"/>
        <v>6.3999999999999986</v>
      </c>
      <c r="M161" s="375">
        <f t="shared" si="57"/>
        <v>6.1999999999999984</v>
      </c>
      <c r="N161" s="375">
        <f t="shared" si="57"/>
        <v>10.285000000000002</v>
      </c>
      <c r="O161" s="375">
        <f t="shared" si="57"/>
        <v>1.245000000000001</v>
      </c>
      <c r="P161" s="375">
        <f t="shared" si="57"/>
        <v>0.80499999999999949</v>
      </c>
      <c r="Q161" s="375">
        <f t="shared" si="57"/>
        <v>0</v>
      </c>
      <c r="R161" s="375">
        <f t="shared" si="57"/>
        <v>0</v>
      </c>
      <c r="S161" s="375">
        <f t="shared" si="57"/>
        <v>0</v>
      </c>
      <c r="T161" s="375">
        <f t="shared" si="57"/>
        <v>0</v>
      </c>
      <c r="U161" s="375">
        <f t="shared" si="57"/>
        <v>0</v>
      </c>
      <c r="V161" s="375">
        <f t="shared" si="57"/>
        <v>0</v>
      </c>
      <c r="W161" s="375">
        <f t="shared" si="57"/>
        <v>0</v>
      </c>
      <c r="X161" s="375">
        <f t="shared" si="57"/>
        <v>0</v>
      </c>
      <c r="Y161" s="369"/>
    </row>
    <row r="162" spans="1:26" ht="13.5" thickBot="1" x14ac:dyDescent="0.25">
      <c r="A162" s="6" t="s">
        <v>315</v>
      </c>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row>
    <row r="163" spans="1:26" ht="13.5" thickBot="1" x14ac:dyDescent="0.25">
      <c r="A163" s="361" t="s">
        <v>321</v>
      </c>
      <c r="B163" s="359">
        <f>ROW(A163)</f>
        <v>163</v>
      </c>
      <c r="C163" s="363" t="s">
        <v>115</v>
      </c>
      <c r="D163" s="353">
        <f>SUM(B166:Y166)</f>
        <v>59.702267000000006</v>
      </c>
      <c r="E163" s="363" t="s">
        <v>114</v>
      </c>
      <c r="F163" s="354">
        <f>D163/g/J163</f>
        <v>190.77924771281306</v>
      </c>
      <c r="G163" s="363" t="s">
        <v>56</v>
      </c>
      <c r="H163" s="64">
        <v>9.3899999999999997E-2</v>
      </c>
      <c r="I163" s="363" t="s">
        <v>271</v>
      </c>
      <c r="J163" s="355">
        <f>H163-L163</f>
        <v>3.1899999999999998E-2</v>
      </c>
      <c r="K163" s="363" t="s">
        <v>272</v>
      </c>
      <c r="L163" s="64">
        <f>0.095-0.033</f>
        <v>6.2E-2</v>
      </c>
      <c r="M163" s="363" t="s">
        <v>57</v>
      </c>
      <c r="N163" s="396">
        <v>66.5</v>
      </c>
      <c r="O163" s="363" t="s">
        <v>59</v>
      </c>
      <c r="P163" s="396">
        <v>66.5</v>
      </c>
      <c r="Q163" s="363" t="s">
        <v>60</v>
      </c>
      <c r="R163" s="65">
        <v>133</v>
      </c>
      <c r="S163" s="363" t="s">
        <v>61</v>
      </c>
      <c r="T163" s="65">
        <v>24</v>
      </c>
      <c r="U163" s="363" t="s">
        <v>54</v>
      </c>
      <c r="V163" s="66" t="s">
        <v>399</v>
      </c>
      <c r="W163" s="463" t="s">
        <v>394</v>
      </c>
      <c r="X163" s="465">
        <v>1.2</v>
      </c>
      <c r="Y163" s="463" t="s">
        <v>393</v>
      </c>
      <c r="Z163" s="358">
        <v>13</v>
      </c>
    </row>
    <row r="164" spans="1:26" x14ac:dyDescent="0.2">
      <c r="A164" s="362" t="s">
        <v>33</v>
      </c>
      <c r="B164" s="370">
        <v>0</v>
      </c>
      <c r="C164" s="371">
        <v>1.4999999999999999E-2</v>
      </c>
      <c r="D164" s="371">
        <v>2.1999999999999999E-2</v>
      </c>
      <c r="E164" s="371">
        <v>6.4000000000000001E-2</v>
      </c>
      <c r="F164" s="371">
        <v>0.11799999999999999</v>
      </c>
      <c r="G164" s="371">
        <v>0.34200000000000003</v>
      </c>
      <c r="H164" s="371">
        <v>0.53600000000000003</v>
      </c>
      <c r="I164" s="371">
        <v>0.74299999999999999</v>
      </c>
      <c r="J164" s="371">
        <v>0.88400000000000001</v>
      </c>
      <c r="K164" s="371">
        <v>0.97599999999999998</v>
      </c>
      <c r="L164" s="371">
        <v>1.0960000000000001</v>
      </c>
      <c r="M164" s="371">
        <v>1.246</v>
      </c>
      <c r="N164" s="371">
        <v>1.298</v>
      </c>
      <c r="O164" s="371">
        <v>2</v>
      </c>
      <c r="P164" s="371">
        <v>2</v>
      </c>
      <c r="Q164" s="371">
        <v>2</v>
      </c>
      <c r="R164" s="371">
        <v>2</v>
      </c>
      <c r="S164" s="371">
        <v>2</v>
      </c>
      <c r="T164" s="371">
        <v>2</v>
      </c>
      <c r="U164" s="371">
        <v>2</v>
      </c>
      <c r="V164" s="371">
        <v>2</v>
      </c>
      <c r="W164" s="371">
        <v>2</v>
      </c>
      <c r="X164" s="371">
        <f t="shared" ref="T164:X165" si="58">W164</f>
        <v>2</v>
      </c>
      <c r="Y164" s="381">
        <v>1000</v>
      </c>
    </row>
    <row r="165" spans="1:26" x14ac:dyDescent="0.2">
      <c r="A165" s="378" t="s">
        <v>34</v>
      </c>
      <c r="B165" s="372">
        <v>0</v>
      </c>
      <c r="C165" s="373">
        <v>64.981999999999999</v>
      </c>
      <c r="D165" s="373">
        <v>69.516000000000005</v>
      </c>
      <c r="E165" s="373">
        <v>55.536999999999999</v>
      </c>
      <c r="F165" s="373">
        <v>62.81</v>
      </c>
      <c r="G165" s="373">
        <v>62.149000000000001</v>
      </c>
      <c r="H165" s="373">
        <v>59.41</v>
      </c>
      <c r="I165" s="373">
        <v>53.837000000000003</v>
      </c>
      <c r="J165" s="373">
        <v>46.942</v>
      </c>
      <c r="K165" s="373">
        <v>40.046999999999997</v>
      </c>
      <c r="L165" s="373">
        <v>12.561999999999999</v>
      </c>
      <c r="M165" s="373">
        <v>2.0779999999999998</v>
      </c>
      <c r="N165" s="373">
        <v>0</v>
      </c>
      <c r="O165" s="373">
        <v>0</v>
      </c>
      <c r="P165" s="373">
        <v>0</v>
      </c>
      <c r="Q165" s="373">
        <v>0</v>
      </c>
      <c r="R165" s="373">
        <v>0</v>
      </c>
      <c r="S165" s="373">
        <v>0</v>
      </c>
      <c r="T165" s="373">
        <f t="shared" si="58"/>
        <v>0</v>
      </c>
      <c r="U165" s="373">
        <f t="shared" si="58"/>
        <v>0</v>
      </c>
      <c r="V165" s="373">
        <f t="shared" si="58"/>
        <v>0</v>
      </c>
      <c r="W165" s="373">
        <f t="shared" si="58"/>
        <v>0</v>
      </c>
      <c r="X165" s="373">
        <f t="shared" si="58"/>
        <v>0</v>
      </c>
      <c r="Y165" s="382">
        <v>0</v>
      </c>
    </row>
    <row r="166" spans="1:26" ht="13.5" thickBot="1" x14ac:dyDescent="0.25">
      <c r="A166" s="379" t="s">
        <v>116</v>
      </c>
      <c r="B166" s="374">
        <f t="shared" ref="B166:V166" si="59">(C165+B165)*(C164-B164)/2</f>
        <v>0.48736499999999999</v>
      </c>
      <c r="C166" s="375">
        <f t="shared" si="59"/>
        <v>0.47074299999999991</v>
      </c>
      <c r="D166" s="375">
        <f t="shared" si="59"/>
        <v>2.6261130000000001</v>
      </c>
      <c r="E166" s="375">
        <f t="shared" si="59"/>
        <v>3.1953689999999999</v>
      </c>
      <c r="F166" s="375">
        <f t="shared" si="59"/>
        <v>13.995408000000003</v>
      </c>
      <c r="G166" s="375">
        <f t="shared" si="59"/>
        <v>11.791223</v>
      </c>
      <c r="H166" s="375">
        <f t="shared" si="59"/>
        <v>11.721064499999997</v>
      </c>
      <c r="I166" s="375">
        <f t="shared" si="59"/>
        <v>7.1049195000000003</v>
      </c>
      <c r="J166" s="375">
        <f>(K165+J165)*(K164-J164)/2</f>
        <v>4.0014939999999992</v>
      </c>
      <c r="K166" s="375">
        <f t="shared" si="59"/>
        <v>3.1565400000000023</v>
      </c>
      <c r="L166" s="375">
        <f t="shared" si="59"/>
        <v>1.0979999999999992</v>
      </c>
      <c r="M166" s="375">
        <f t="shared" si="59"/>
        <v>5.4028000000000041E-2</v>
      </c>
      <c r="N166" s="375">
        <f t="shared" si="59"/>
        <v>0</v>
      </c>
      <c r="O166" s="375">
        <f t="shared" si="59"/>
        <v>0</v>
      </c>
      <c r="P166" s="375">
        <f t="shared" si="59"/>
        <v>0</v>
      </c>
      <c r="Q166" s="375">
        <f t="shared" si="59"/>
        <v>0</v>
      </c>
      <c r="R166" s="375">
        <f t="shared" si="59"/>
        <v>0</v>
      </c>
      <c r="S166" s="375">
        <f>(T165+S165)*(T164-S164)/2</f>
        <v>0</v>
      </c>
      <c r="T166" s="375">
        <f t="shared" si="59"/>
        <v>0</v>
      </c>
      <c r="U166" s="375">
        <f t="shared" si="59"/>
        <v>0</v>
      </c>
      <c r="V166" s="375">
        <f t="shared" si="59"/>
        <v>0</v>
      </c>
      <c r="W166" s="375">
        <f>(X165+W165)*(X164-W164)/2</f>
        <v>0</v>
      </c>
      <c r="X166" s="375">
        <f>(Y165+X165)*(Y164-X164)/2</f>
        <v>0</v>
      </c>
      <c r="Y166" s="369"/>
    </row>
    <row r="167" spans="1:26" ht="13.5" thickBot="1" x14ac:dyDescent="0.25"/>
    <row r="168" spans="1:26" ht="13.5" thickBot="1" x14ac:dyDescent="0.25">
      <c r="A168" s="361" t="s">
        <v>322</v>
      </c>
      <c r="B168" s="359">
        <f>ROW(A168)</f>
        <v>168</v>
      </c>
      <c r="C168" s="363" t="s">
        <v>115</v>
      </c>
      <c r="D168" s="353">
        <f>SUM(B171:Y171)</f>
        <v>68.380602999999994</v>
      </c>
      <c r="E168" s="363" t="s">
        <v>114</v>
      </c>
      <c r="F168" s="354">
        <f>D168/g/J168</f>
        <v>134.04807300243078</v>
      </c>
      <c r="G168" s="363" t="s">
        <v>56</v>
      </c>
      <c r="H168" s="64">
        <v>0.1075</v>
      </c>
      <c r="I168" s="363" t="s">
        <v>271</v>
      </c>
      <c r="J168" s="355">
        <f>H168-L168</f>
        <v>5.1999999999999998E-2</v>
      </c>
      <c r="K168" s="363" t="s">
        <v>272</v>
      </c>
      <c r="L168" s="64">
        <v>5.5500000000000001E-2</v>
      </c>
      <c r="M168" s="363" t="s">
        <v>57</v>
      </c>
      <c r="N168" s="396">
        <v>66.5</v>
      </c>
      <c r="O168" s="363" t="s">
        <v>59</v>
      </c>
      <c r="P168" s="396">
        <v>66.5</v>
      </c>
      <c r="Q168" s="363" t="s">
        <v>60</v>
      </c>
      <c r="R168" s="65">
        <v>133</v>
      </c>
      <c r="S168" s="363" t="s">
        <v>61</v>
      </c>
      <c r="T168" s="65">
        <v>24</v>
      </c>
      <c r="U168" s="363" t="s">
        <v>54</v>
      </c>
      <c r="V168" s="66" t="s">
        <v>399</v>
      </c>
      <c r="W168" s="463" t="s">
        <v>394</v>
      </c>
      <c r="X168" s="465">
        <v>0.86</v>
      </c>
      <c r="Y168" s="463" t="s">
        <v>393</v>
      </c>
      <c r="Z168" s="358">
        <v>13</v>
      </c>
    </row>
    <row r="169" spans="1:26" x14ac:dyDescent="0.2">
      <c r="A169" s="362" t="s">
        <v>33</v>
      </c>
      <c r="B169" s="370">
        <v>0</v>
      </c>
      <c r="C169" s="371">
        <v>5.0000000000000001E-3</v>
      </c>
      <c r="D169" s="371">
        <v>1.2999999999999999E-2</v>
      </c>
      <c r="E169" s="371">
        <v>2.1999999999999999E-2</v>
      </c>
      <c r="F169" s="371">
        <v>4.2999999999999997E-2</v>
      </c>
      <c r="G169" s="371">
        <v>0.11899999999999999</v>
      </c>
      <c r="H169" s="371">
        <v>0.19800000000000001</v>
      </c>
      <c r="I169" s="371">
        <v>0.26700000000000002</v>
      </c>
      <c r="J169" s="371">
        <v>0.34300000000000003</v>
      </c>
      <c r="K169" s="371">
        <v>0.40400000000000003</v>
      </c>
      <c r="L169" s="371">
        <v>0.498</v>
      </c>
      <c r="M169" s="371">
        <v>0.55500000000000005</v>
      </c>
      <c r="N169" s="371">
        <v>0.622</v>
      </c>
      <c r="O169" s="371">
        <v>0.66300000000000003</v>
      </c>
      <c r="P169" s="371">
        <v>0.70399999999999996</v>
      </c>
      <c r="Q169" s="371">
        <v>0.72899999999999998</v>
      </c>
      <c r="R169" s="371">
        <v>0.747</v>
      </c>
      <c r="S169" s="371">
        <v>0.76800000000000002</v>
      </c>
      <c r="T169" s="371">
        <v>0.82099999999999995</v>
      </c>
      <c r="U169" s="371">
        <v>0.85199999999999998</v>
      </c>
      <c r="V169" s="371">
        <v>0.89200000000000002</v>
      </c>
      <c r="W169" s="371">
        <v>1</v>
      </c>
      <c r="X169" s="371">
        <v>2</v>
      </c>
      <c r="Y169" s="381">
        <v>1000</v>
      </c>
    </row>
    <row r="170" spans="1:26" x14ac:dyDescent="0.2">
      <c r="A170" s="378" t="s">
        <v>34</v>
      </c>
      <c r="B170" s="372">
        <v>0</v>
      </c>
      <c r="C170" s="373">
        <v>60</v>
      </c>
      <c r="D170" s="373">
        <v>89.007000000000005</v>
      </c>
      <c r="E170" s="373">
        <v>96.290999999999997</v>
      </c>
      <c r="F170" s="373">
        <v>81.721999999999994</v>
      </c>
      <c r="G170" s="373">
        <v>85.563000000000002</v>
      </c>
      <c r="H170" s="373">
        <v>87.947000000000003</v>
      </c>
      <c r="I170" s="373">
        <v>89.272000000000006</v>
      </c>
      <c r="J170" s="373">
        <v>89.933999999999997</v>
      </c>
      <c r="K170" s="373">
        <v>90.861000000000004</v>
      </c>
      <c r="L170" s="373">
        <v>91.522999999999996</v>
      </c>
      <c r="M170" s="373">
        <v>89.668999999999997</v>
      </c>
      <c r="N170" s="373">
        <v>83.974000000000004</v>
      </c>
      <c r="O170" s="373">
        <v>80.53</v>
      </c>
      <c r="P170" s="373">
        <v>78.94</v>
      </c>
      <c r="Q170" s="373">
        <v>74.171999999999997</v>
      </c>
      <c r="R170" s="373">
        <v>66.887</v>
      </c>
      <c r="S170" s="373">
        <v>53.774999999999999</v>
      </c>
      <c r="T170" s="373">
        <v>18.542999999999999</v>
      </c>
      <c r="U170" s="373">
        <v>7.8150000000000004</v>
      </c>
      <c r="V170" s="373">
        <v>2.1190000000000002</v>
      </c>
      <c r="W170" s="373">
        <v>0</v>
      </c>
      <c r="X170" s="373">
        <v>0</v>
      </c>
      <c r="Y170" s="382">
        <v>0</v>
      </c>
    </row>
    <row r="171" spans="1:26" ht="13.5" thickBot="1" x14ac:dyDescent="0.25">
      <c r="A171" s="379" t="s">
        <v>116</v>
      </c>
      <c r="B171" s="374">
        <f t="shared" ref="B171:X171" si="60">(C170+B170)*(C169-B169)/2</f>
        <v>0.15</v>
      </c>
      <c r="C171" s="375">
        <f t="shared" si="60"/>
        <v>0.596028</v>
      </c>
      <c r="D171" s="375">
        <f t="shared" si="60"/>
        <v>0.83384099999999994</v>
      </c>
      <c r="E171" s="375">
        <f t="shared" si="60"/>
        <v>1.8691364999999995</v>
      </c>
      <c r="F171" s="375">
        <f t="shared" si="60"/>
        <v>6.3568299999999995</v>
      </c>
      <c r="G171" s="375">
        <f t="shared" si="60"/>
        <v>6.8536450000000011</v>
      </c>
      <c r="H171" s="375">
        <f t="shared" si="60"/>
        <v>6.1140555000000001</v>
      </c>
      <c r="I171" s="375">
        <f t="shared" si="60"/>
        <v>6.8098280000000013</v>
      </c>
      <c r="J171" s="375">
        <f t="shared" si="60"/>
        <v>5.5142475000000006</v>
      </c>
      <c r="K171" s="375">
        <f t="shared" si="60"/>
        <v>8.5720479999999988</v>
      </c>
      <c r="L171" s="375">
        <f t="shared" si="60"/>
        <v>5.1639720000000047</v>
      </c>
      <c r="M171" s="375">
        <f t="shared" si="60"/>
        <v>5.8170404999999956</v>
      </c>
      <c r="N171" s="375">
        <f t="shared" si="60"/>
        <v>3.3723320000000032</v>
      </c>
      <c r="O171" s="375">
        <f t="shared" si="60"/>
        <v>3.2691349999999941</v>
      </c>
      <c r="P171" s="375">
        <f t="shared" si="60"/>
        <v>1.9139000000000017</v>
      </c>
      <c r="Q171" s="375">
        <f t="shared" si="60"/>
        <v>1.2695310000000011</v>
      </c>
      <c r="R171" s="375">
        <f t="shared" si="60"/>
        <v>1.2669510000000013</v>
      </c>
      <c r="S171" s="375">
        <f t="shared" si="60"/>
        <v>1.9164269999999977</v>
      </c>
      <c r="T171" s="375">
        <f t="shared" si="60"/>
        <v>0.40854900000000038</v>
      </c>
      <c r="U171" s="375">
        <f t="shared" si="60"/>
        <v>0.19868000000000019</v>
      </c>
      <c r="V171" s="375">
        <f t="shared" si="60"/>
        <v>0.114426</v>
      </c>
      <c r="W171" s="375">
        <f t="shared" si="60"/>
        <v>0</v>
      </c>
      <c r="X171" s="375">
        <f t="shared" si="60"/>
        <v>0</v>
      </c>
      <c r="Y171" s="369"/>
    </row>
    <row r="172" spans="1:26" ht="13.5" thickBot="1" x14ac:dyDescent="0.25">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row>
    <row r="173" spans="1:26" ht="13.5" thickBot="1" x14ac:dyDescent="0.25">
      <c r="A173" s="361" t="s">
        <v>323</v>
      </c>
      <c r="B173" s="359">
        <f>ROW(A173)</f>
        <v>173</v>
      </c>
      <c r="C173" s="363" t="s">
        <v>115</v>
      </c>
      <c r="D173" s="353">
        <f>SUM(B176:Y176)</f>
        <v>67.985428500000012</v>
      </c>
      <c r="E173" s="363" t="s">
        <v>114</v>
      </c>
      <c r="F173" s="354">
        <f>D173/g/J173</f>
        <v>181.89545859519862</v>
      </c>
      <c r="G173" s="363" t="s">
        <v>56</v>
      </c>
      <c r="H173" s="64">
        <v>9.1799999999999993E-2</v>
      </c>
      <c r="I173" s="363" t="s">
        <v>271</v>
      </c>
      <c r="J173" s="355">
        <f>H173-L173</f>
        <v>3.8099999999999988E-2</v>
      </c>
      <c r="K173" s="363" t="s">
        <v>272</v>
      </c>
      <c r="L173" s="64">
        <v>5.3700000000000005E-2</v>
      </c>
      <c r="M173" s="363" t="s">
        <v>57</v>
      </c>
      <c r="N173" s="396">
        <v>66.5</v>
      </c>
      <c r="O173" s="363" t="s">
        <v>59</v>
      </c>
      <c r="P173" s="396">
        <v>66.5</v>
      </c>
      <c r="Q173" s="363" t="s">
        <v>60</v>
      </c>
      <c r="R173" s="65">
        <v>133</v>
      </c>
      <c r="S173" s="363" t="s">
        <v>61</v>
      </c>
      <c r="T173" s="65">
        <v>24</v>
      </c>
      <c r="U173" s="363" t="s">
        <v>54</v>
      </c>
      <c r="V173" s="66" t="s">
        <v>399</v>
      </c>
      <c r="W173" s="463" t="s">
        <v>394</v>
      </c>
      <c r="X173" s="465">
        <v>0.33</v>
      </c>
      <c r="Y173" s="463" t="s">
        <v>393</v>
      </c>
      <c r="Z173" s="358">
        <v>15</v>
      </c>
    </row>
    <row r="174" spans="1:26" x14ac:dyDescent="0.2">
      <c r="A174" s="362" t="s">
        <v>33</v>
      </c>
      <c r="B174" s="370">
        <v>0</v>
      </c>
      <c r="C174" s="371">
        <v>4.0000000000000001E-3</v>
      </c>
      <c r="D174" s="371">
        <v>7.0000000000000001E-3</v>
      </c>
      <c r="E174" s="371">
        <v>0.01</v>
      </c>
      <c r="F174" s="371">
        <v>2.1999999999999999E-2</v>
      </c>
      <c r="G174" s="371">
        <v>2.8000000000000001E-2</v>
      </c>
      <c r="H174" s="371">
        <v>4.1000000000000002E-2</v>
      </c>
      <c r="I174" s="371">
        <v>5.8000000000000003E-2</v>
      </c>
      <c r="J174" s="371">
        <v>7.6999999999999999E-2</v>
      </c>
      <c r="K174" s="371">
        <v>8.8999999999999996E-2</v>
      </c>
      <c r="L174" s="371">
        <v>9.7000000000000003E-2</v>
      </c>
      <c r="M174" s="371">
        <v>0.11899999999999999</v>
      </c>
      <c r="N174" s="371">
        <v>0.14699999999999999</v>
      </c>
      <c r="O174" s="371">
        <v>0.17699999999999999</v>
      </c>
      <c r="P174" s="371">
        <v>0.20699999999999999</v>
      </c>
      <c r="Q174" s="371">
        <v>0.253</v>
      </c>
      <c r="R174" s="371">
        <v>0.25900000000000001</v>
      </c>
      <c r="S174" s="371">
        <v>0.27200000000000002</v>
      </c>
      <c r="T174" s="371">
        <v>0.28000000000000003</v>
      </c>
      <c r="U174" s="371">
        <v>0.28599999999999998</v>
      </c>
      <c r="V174" s="371">
        <v>0.29399999999999998</v>
      </c>
      <c r="W174" s="371">
        <v>0.32800000000000001</v>
      </c>
      <c r="X174" s="371">
        <v>2</v>
      </c>
      <c r="Y174" s="381">
        <v>1000</v>
      </c>
    </row>
    <row r="175" spans="1:26" x14ac:dyDescent="0.2">
      <c r="A175" s="378" t="s">
        <v>34</v>
      </c>
      <c r="B175" s="372">
        <v>0</v>
      </c>
      <c r="C175" s="376">
        <v>100.52800000000001</v>
      </c>
      <c r="D175" s="376">
        <v>197.49299999999999</v>
      </c>
      <c r="E175" s="376">
        <v>222.03200000000001</v>
      </c>
      <c r="F175" s="376">
        <v>241.42500000000001</v>
      </c>
      <c r="G175" s="376">
        <v>237.863</v>
      </c>
      <c r="H175" s="376">
        <v>239.446</v>
      </c>
      <c r="I175" s="376">
        <v>252.50700000000001</v>
      </c>
      <c r="J175" s="376">
        <v>263.98399999999998</v>
      </c>
      <c r="K175" s="376">
        <v>275.46199999999999</v>
      </c>
      <c r="L175" s="376">
        <v>271.50400000000002</v>
      </c>
      <c r="M175" s="376">
        <v>278.62799999999999</v>
      </c>
      <c r="N175" s="376">
        <v>281.39800000000002</v>
      </c>
      <c r="O175" s="376">
        <v>272.29599999999999</v>
      </c>
      <c r="P175" s="376">
        <v>258.44299999999998</v>
      </c>
      <c r="Q175" s="376">
        <v>218.47</v>
      </c>
      <c r="R175" s="376">
        <v>188.786</v>
      </c>
      <c r="S175" s="376">
        <v>74.802000000000007</v>
      </c>
      <c r="T175" s="376">
        <v>31.265999999999998</v>
      </c>
      <c r="U175" s="376">
        <v>15.831</v>
      </c>
      <c r="V175" s="376">
        <v>8.7070000000000007</v>
      </c>
      <c r="W175" s="376">
        <v>0</v>
      </c>
      <c r="X175" s="373">
        <v>0</v>
      </c>
      <c r="Y175" s="382">
        <v>0</v>
      </c>
    </row>
    <row r="176" spans="1:26" ht="13.5" thickBot="1" x14ac:dyDescent="0.25">
      <c r="A176" s="379" t="s">
        <v>116</v>
      </c>
      <c r="B176" s="374">
        <f t="shared" ref="B176:X176" si="61">(C175+B175)*(C174-B174)/2</f>
        <v>0.20105600000000001</v>
      </c>
      <c r="C176" s="375">
        <f t="shared" si="61"/>
        <v>0.44703150000000003</v>
      </c>
      <c r="D176" s="375">
        <f t="shared" si="61"/>
        <v>0.6292875</v>
      </c>
      <c r="E176" s="375">
        <f t="shared" si="61"/>
        <v>2.7807419999999996</v>
      </c>
      <c r="F176" s="375">
        <f t="shared" si="61"/>
        <v>1.4378640000000005</v>
      </c>
      <c r="G176" s="375">
        <f t="shared" si="61"/>
        <v>3.1025084999999999</v>
      </c>
      <c r="H176" s="375">
        <f t="shared" si="61"/>
        <v>4.1816005000000001</v>
      </c>
      <c r="I176" s="375">
        <f t="shared" si="61"/>
        <v>4.9066644999999989</v>
      </c>
      <c r="J176" s="375">
        <f t="shared" si="61"/>
        <v>3.2366759999999988</v>
      </c>
      <c r="K176" s="375">
        <f t="shared" si="61"/>
        <v>2.187864000000002</v>
      </c>
      <c r="L176" s="375">
        <f t="shared" si="61"/>
        <v>6.0514519999999985</v>
      </c>
      <c r="M176" s="375">
        <f t="shared" si="61"/>
        <v>7.8403640000000001</v>
      </c>
      <c r="N176" s="375">
        <f t="shared" si="61"/>
        <v>8.3054099999999984</v>
      </c>
      <c r="O176" s="375">
        <f t="shared" si="61"/>
        <v>7.9610850000000006</v>
      </c>
      <c r="P176" s="375">
        <f t="shared" si="61"/>
        <v>10.968999000000004</v>
      </c>
      <c r="Q176" s="375">
        <f t="shared" si="61"/>
        <v>1.2217680000000011</v>
      </c>
      <c r="R176" s="375">
        <f t="shared" si="61"/>
        <v>1.7133220000000016</v>
      </c>
      <c r="S176" s="375">
        <f t="shared" si="61"/>
        <v>0.42427200000000043</v>
      </c>
      <c r="T176" s="375">
        <f t="shared" si="61"/>
        <v>0.14129099999999881</v>
      </c>
      <c r="U176" s="375">
        <f t="shared" si="61"/>
        <v>9.8152000000000086E-2</v>
      </c>
      <c r="V176" s="375">
        <f t="shared" si="61"/>
        <v>0.14801900000000015</v>
      </c>
      <c r="W176" s="375">
        <f t="shared" si="61"/>
        <v>0</v>
      </c>
      <c r="X176" s="375">
        <f t="shared" si="61"/>
        <v>0</v>
      </c>
      <c r="Y176" s="369"/>
    </row>
    <row r="177" spans="1:26" ht="13.5" thickBot="1" x14ac:dyDescent="0.25">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row>
    <row r="178" spans="1:26" ht="13.5" thickBot="1" x14ac:dyDescent="0.25">
      <c r="A178" s="361" t="s">
        <v>324</v>
      </c>
      <c r="B178" s="359">
        <f>ROW(A178)</f>
        <v>178</v>
      </c>
      <c r="C178" s="363" t="s">
        <v>115</v>
      </c>
      <c r="D178" s="353">
        <f>SUM(B181:Y181)</f>
        <v>73.557381500000005</v>
      </c>
      <c r="E178" s="363" t="s">
        <v>114</v>
      </c>
      <c r="F178" s="354">
        <f>D178/g/J178</f>
        <v>156.86619302308719</v>
      </c>
      <c r="G178" s="363" t="s">
        <v>56</v>
      </c>
      <c r="H178" s="64">
        <v>0.1022</v>
      </c>
      <c r="I178" s="363" t="s">
        <v>271</v>
      </c>
      <c r="J178" s="355">
        <f>H178-L178</f>
        <v>4.7800000000000002E-2</v>
      </c>
      <c r="K178" s="363" t="s">
        <v>272</v>
      </c>
      <c r="L178" s="64">
        <v>5.4399999999999997E-2</v>
      </c>
      <c r="M178" s="363" t="s">
        <v>57</v>
      </c>
      <c r="N178" s="396">
        <v>66.5</v>
      </c>
      <c r="O178" s="363" t="s">
        <v>59</v>
      </c>
      <c r="P178" s="396">
        <v>66.5</v>
      </c>
      <c r="Q178" s="363" t="s">
        <v>60</v>
      </c>
      <c r="R178" s="65">
        <v>133</v>
      </c>
      <c r="S178" s="363" t="s">
        <v>61</v>
      </c>
      <c r="T178" s="65">
        <v>24</v>
      </c>
      <c r="U178" s="363" t="s">
        <v>54</v>
      </c>
      <c r="V178" s="66" t="s">
        <v>399</v>
      </c>
      <c r="W178" s="463" t="s">
        <v>394</v>
      </c>
      <c r="X178" s="465">
        <v>2.36</v>
      </c>
      <c r="Y178" s="463" t="s">
        <v>393</v>
      </c>
      <c r="Z178" s="358">
        <v>6</v>
      </c>
    </row>
    <row r="179" spans="1:26" x14ac:dyDescent="0.2">
      <c r="A179" s="362" t="s">
        <v>33</v>
      </c>
      <c r="B179" s="370">
        <v>0</v>
      </c>
      <c r="C179" s="371">
        <v>1.4E-2</v>
      </c>
      <c r="D179" s="371">
        <v>5.6000000000000001E-2</v>
      </c>
      <c r="E179" s="371">
        <v>9.1999999999999998E-2</v>
      </c>
      <c r="F179" s="371">
        <v>0.16</v>
      </c>
      <c r="G179" s="371">
        <v>0.23200000000000001</v>
      </c>
      <c r="H179" s="371">
        <v>0.36299999999999999</v>
      </c>
      <c r="I179" s="371">
        <v>0.499</v>
      </c>
      <c r="J179" s="371">
        <v>0.65500000000000003</v>
      </c>
      <c r="K179" s="371">
        <v>0.84299999999999997</v>
      </c>
      <c r="L179" s="371">
        <v>1.216</v>
      </c>
      <c r="M179" s="371">
        <v>1.3680000000000001</v>
      </c>
      <c r="N179" s="371">
        <v>1.54</v>
      </c>
      <c r="O179" s="371">
        <v>1.675</v>
      </c>
      <c r="P179" s="371">
        <v>1.861</v>
      </c>
      <c r="Q179" s="371">
        <v>2.0129999999999999</v>
      </c>
      <c r="R179" s="371">
        <v>2.1589999999999998</v>
      </c>
      <c r="S179" s="371">
        <v>2.302</v>
      </c>
      <c r="T179" s="371">
        <v>2.4620000000000002</v>
      </c>
      <c r="U179" s="371">
        <v>2.5979999999999999</v>
      </c>
      <c r="V179" s="371">
        <v>2.5979999999999999</v>
      </c>
      <c r="W179" s="371">
        <v>2.5979999999999999</v>
      </c>
      <c r="X179" s="371">
        <v>2.5979999999999999</v>
      </c>
      <c r="Y179" s="381">
        <v>1000</v>
      </c>
    </row>
    <row r="180" spans="1:26" x14ac:dyDescent="0.2">
      <c r="A180" s="378" t="s">
        <v>34</v>
      </c>
      <c r="B180" s="372">
        <v>0</v>
      </c>
      <c r="C180" s="376">
        <v>54.222000000000001</v>
      </c>
      <c r="D180" s="376">
        <v>43.456000000000003</v>
      </c>
      <c r="E180" s="376">
        <v>50.185000000000002</v>
      </c>
      <c r="F180" s="376">
        <v>54.063000000000002</v>
      </c>
      <c r="G180" s="376">
        <v>48.363999999999997</v>
      </c>
      <c r="H180" s="376">
        <v>45.752000000000002</v>
      </c>
      <c r="I180" s="376">
        <v>43.14</v>
      </c>
      <c r="J180" s="376">
        <v>40.29</v>
      </c>
      <c r="K180" s="376">
        <v>37.835999999999999</v>
      </c>
      <c r="L180" s="376">
        <v>32.612000000000002</v>
      </c>
      <c r="M180" s="376">
        <v>30.317</v>
      </c>
      <c r="N180" s="376">
        <v>26.359000000000002</v>
      </c>
      <c r="O180" s="376">
        <v>23.509</v>
      </c>
      <c r="P180" s="376">
        <v>19.077000000000002</v>
      </c>
      <c r="Q180" s="376">
        <v>14.565</v>
      </c>
      <c r="R180" s="376">
        <v>10.053000000000001</v>
      </c>
      <c r="S180" s="376">
        <v>4.8280000000000003</v>
      </c>
      <c r="T180" s="376">
        <v>1.504</v>
      </c>
      <c r="U180" s="373">
        <v>0</v>
      </c>
      <c r="V180" s="373">
        <v>0</v>
      </c>
      <c r="W180" s="373">
        <v>0</v>
      </c>
      <c r="X180" s="373">
        <v>0</v>
      </c>
      <c r="Y180" s="382">
        <v>0</v>
      </c>
    </row>
    <row r="181" spans="1:26" ht="13.5" thickBot="1" x14ac:dyDescent="0.25">
      <c r="A181" s="379" t="s">
        <v>116</v>
      </c>
      <c r="B181" s="374">
        <f t="shared" ref="B181:X181" si="62">(C180+B180)*(C179-B179)/2</f>
        <v>0.379554</v>
      </c>
      <c r="C181" s="375">
        <f t="shared" si="62"/>
        <v>2.0512380000000001</v>
      </c>
      <c r="D181" s="375">
        <f t="shared" si="62"/>
        <v>1.685538</v>
      </c>
      <c r="E181" s="375">
        <f t="shared" si="62"/>
        <v>3.5444320000000005</v>
      </c>
      <c r="F181" s="375">
        <f t="shared" si="62"/>
        <v>3.6873720000000003</v>
      </c>
      <c r="G181" s="375">
        <f t="shared" si="62"/>
        <v>6.1645979999999989</v>
      </c>
      <c r="H181" s="375">
        <f t="shared" si="62"/>
        <v>6.0446559999999998</v>
      </c>
      <c r="I181" s="375">
        <f t="shared" si="62"/>
        <v>6.5075400000000014</v>
      </c>
      <c r="J181" s="375">
        <f t="shared" si="62"/>
        <v>7.343843999999998</v>
      </c>
      <c r="K181" s="375">
        <f t="shared" si="62"/>
        <v>13.138552000000001</v>
      </c>
      <c r="L181" s="375">
        <f t="shared" si="62"/>
        <v>4.7826040000000045</v>
      </c>
      <c r="M181" s="375">
        <f t="shared" si="62"/>
        <v>4.8741359999999982</v>
      </c>
      <c r="N181" s="375">
        <f t="shared" si="62"/>
        <v>3.3660900000000002</v>
      </c>
      <c r="O181" s="375">
        <f t="shared" si="62"/>
        <v>3.9604979999999985</v>
      </c>
      <c r="P181" s="375">
        <f t="shared" si="62"/>
        <v>2.5567919999999988</v>
      </c>
      <c r="Q181" s="375">
        <f t="shared" si="62"/>
        <v>1.797113999999999</v>
      </c>
      <c r="R181" s="375">
        <f t="shared" si="62"/>
        <v>1.0639915000000018</v>
      </c>
      <c r="S181" s="375">
        <f t="shared" si="62"/>
        <v>0.50656000000000045</v>
      </c>
      <c r="T181" s="375">
        <f t="shared" si="62"/>
        <v>0.10227199999999975</v>
      </c>
      <c r="U181" s="375">
        <f t="shared" si="62"/>
        <v>0</v>
      </c>
      <c r="V181" s="375">
        <f t="shared" si="62"/>
        <v>0</v>
      </c>
      <c r="W181" s="375">
        <f t="shared" si="62"/>
        <v>0</v>
      </c>
      <c r="X181" s="375">
        <f t="shared" si="62"/>
        <v>0</v>
      </c>
      <c r="Y181" s="369"/>
    </row>
    <row r="182" spans="1:26" ht="13.5" thickBot="1" x14ac:dyDescent="0.25">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row>
    <row r="183" spans="1:26" ht="13.5" thickBot="1" x14ac:dyDescent="0.25">
      <c r="A183" s="361" t="s">
        <v>325</v>
      </c>
      <c r="B183" s="359">
        <f>ROW(A183)</f>
        <v>183</v>
      </c>
      <c r="C183" s="363" t="s">
        <v>115</v>
      </c>
      <c r="D183" s="353">
        <f>SUM(B186:Y186)</f>
        <v>73.169517999999997</v>
      </c>
      <c r="E183" s="363" t="s">
        <v>114</v>
      </c>
      <c r="F183" s="354">
        <f>D183/g/J183</f>
        <v>177.58729673316827</v>
      </c>
      <c r="G183" s="363" t="s">
        <v>56</v>
      </c>
      <c r="H183" s="64">
        <v>9.6000000000000002E-2</v>
      </c>
      <c r="I183" s="363" t="s">
        <v>271</v>
      </c>
      <c r="J183" s="355">
        <f>H183-L183</f>
        <v>4.2000000000000003E-2</v>
      </c>
      <c r="K183" s="363" t="s">
        <v>272</v>
      </c>
      <c r="L183" s="64">
        <v>5.3999999999999999E-2</v>
      </c>
      <c r="M183" s="363" t="s">
        <v>57</v>
      </c>
      <c r="N183" s="396">
        <v>66.5</v>
      </c>
      <c r="O183" s="363" t="s">
        <v>59</v>
      </c>
      <c r="P183" s="396">
        <v>66.5</v>
      </c>
      <c r="Q183" s="363" t="s">
        <v>60</v>
      </c>
      <c r="R183" s="65">
        <v>133</v>
      </c>
      <c r="S183" s="363" t="s">
        <v>61</v>
      </c>
      <c r="T183" s="65">
        <v>24</v>
      </c>
      <c r="U183" s="363" t="s">
        <v>54</v>
      </c>
      <c r="V183" s="66" t="s">
        <v>400</v>
      </c>
      <c r="W183" s="463" t="s">
        <v>394</v>
      </c>
      <c r="X183" s="465">
        <v>0.87</v>
      </c>
      <c r="Y183" s="463" t="s">
        <v>393</v>
      </c>
      <c r="Z183" s="358">
        <v>15</v>
      </c>
    </row>
    <row r="184" spans="1:26" x14ac:dyDescent="0.2">
      <c r="A184" s="362" t="s">
        <v>33</v>
      </c>
      <c r="B184" s="370">
        <v>0</v>
      </c>
      <c r="C184" s="371">
        <v>0.01</v>
      </c>
      <c r="D184" s="371">
        <v>2.3E-2</v>
      </c>
      <c r="E184" s="371">
        <v>0.04</v>
      </c>
      <c r="F184" s="371">
        <v>0.11799999999999999</v>
      </c>
      <c r="G184" s="371">
        <v>0.28299999999999997</v>
      </c>
      <c r="H184" s="371">
        <v>0.51</v>
      </c>
      <c r="I184" s="371">
        <v>0.68799999999999994</v>
      </c>
      <c r="J184" s="371">
        <v>0.78700000000000003</v>
      </c>
      <c r="K184" s="371">
        <v>0.85199999999999998</v>
      </c>
      <c r="L184" s="371">
        <v>0.873</v>
      </c>
      <c r="M184" s="371">
        <v>0.873</v>
      </c>
      <c r="N184" s="371">
        <v>0.873</v>
      </c>
      <c r="O184" s="371">
        <v>0.873</v>
      </c>
      <c r="P184" s="371">
        <v>0.873</v>
      </c>
      <c r="Q184" s="371">
        <v>0.873</v>
      </c>
      <c r="R184" s="371">
        <v>0.873</v>
      </c>
      <c r="S184" s="371">
        <v>0.873</v>
      </c>
      <c r="T184" s="371">
        <v>0.873</v>
      </c>
      <c r="U184" s="371">
        <v>0.873</v>
      </c>
      <c r="V184" s="371">
        <v>0.873</v>
      </c>
      <c r="W184" s="371">
        <v>0.873</v>
      </c>
      <c r="X184" s="371">
        <v>2</v>
      </c>
      <c r="Y184" s="381">
        <v>1000</v>
      </c>
    </row>
    <row r="185" spans="1:26" x14ac:dyDescent="0.2">
      <c r="A185" s="378" t="s">
        <v>34</v>
      </c>
      <c r="B185" s="372">
        <v>0</v>
      </c>
      <c r="C185" s="376">
        <v>76.073999999999998</v>
      </c>
      <c r="D185" s="376">
        <v>100.185</v>
      </c>
      <c r="E185" s="376">
        <v>92.424999999999997</v>
      </c>
      <c r="F185" s="376">
        <v>100.878</v>
      </c>
      <c r="G185" s="376">
        <v>102.402</v>
      </c>
      <c r="H185" s="376">
        <v>96.442999999999998</v>
      </c>
      <c r="I185" s="376">
        <v>87.436000000000007</v>
      </c>
      <c r="J185" s="376">
        <v>25.911999999999999</v>
      </c>
      <c r="K185" s="376">
        <v>7.2060000000000004</v>
      </c>
      <c r="L185" s="373">
        <v>0</v>
      </c>
      <c r="M185" s="373">
        <v>0</v>
      </c>
      <c r="N185" s="373">
        <v>0</v>
      </c>
      <c r="O185" s="373">
        <v>0</v>
      </c>
      <c r="P185" s="373">
        <v>0</v>
      </c>
      <c r="Q185" s="373">
        <v>0</v>
      </c>
      <c r="R185" s="373">
        <v>0</v>
      </c>
      <c r="S185" s="373">
        <v>0</v>
      </c>
      <c r="T185" s="373">
        <v>0</v>
      </c>
      <c r="U185" s="373">
        <v>0</v>
      </c>
      <c r="V185" s="373">
        <v>0</v>
      </c>
      <c r="W185" s="373">
        <v>0</v>
      </c>
      <c r="X185" s="373">
        <v>0</v>
      </c>
      <c r="Y185" s="382">
        <v>0</v>
      </c>
    </row>
    <row r="186" spans="1:26" ht="13.5" thickBot="1" x14ac:dyDescent="0.25">
      <c r="A186" s="379" t="s">
        <v>116</v>
      </c>
      <c r="B186" s="374">
        <f t="shared" ref="B186:X186" si="63">(C185+B185)*(C184-B184)/2</f>
        <v>0.38036999999999999</v>
      </c>
      <c r="C186" s="375">
        <f t="shared" si="63"/>
        <v>1.1456835000000001</v>
      </c>
      <c r="D186" s="375">
        <f t="shared" si="63"/>
        <v>1.6371850000000003</v>
      </c>
      <c r="E186" s="375">
        <f t="shared" si="63"/>
        <v>7.5388169999999981</v>
      </c>
      <c r="F186" s="375">
        <f t="shared" si="63"/>
        <v>16.770599999999998</v>
      </c>
      <c r="G186" s="375">
        <f t="shared" si="63"/>
        <v>22.568907500000002</v>
      </c>
      <c r="H186" s="375">
        <f t="shared" si="63"/>
        <v>16.365230999999994</v>
      </c>
      <c r="I186" s="375">
        <f t="shared" si="63"/>
        <v>5.6107260000000059</v>
      </c>
      <c r="J186" s="375">
        <f t="shared" si="63"/>
        <v>1.0763349999999992</v>
      </c>
      <c r="K186" s="375">
        <f t="shared" si="63"/>
        <v>7.5663000000000077E-2</v>
      </c>
      <c r="L186" s="375">
        <f t="shared" si="63"/>
        <v>0</v>
      </c>
      <c r="M186" s="375">
        <f t="shared" si="63"/>
        <v>0</v>
      </c>
      <c r="N186" s="375">
        <f t="shared" si="63"/>
        <v>0</v>
      </c>
      <c r="O186" s="375">
        <f t="shared" si="63"/>
        <v>0</v>
      </c>
      <c r="P186" s="375">
        <f t="shared" si="63"/>
        <v>0</v>
      </c>
      <c r="Q186" s="375">
        <f t="shared" si="63"/>
        <v>0</v>
      </c>
      <c r="R186" s="375">
        <f t="shared" si="63"/>
        <v>0</v>
      </c>
      <c r="S186" s="375">
        <f t="shared" si="63"/>
        <v>0</v>
      </c>
      <c r="T186" s="375">
        <f t="shared" si="63"/>
        <v>0</v>
      </c>
      <c r="U186" s="375">
        <f t="shared" si="63"/>
        <v>0</v>
      </c>
      <c r="V186" s="375">
        <f t="shared" si="63"/>
        <v>0</v>
      </c>
      <c r="W186" s="375">
        <f t="shared" si="63"/>
        <v>0</v>
      </c>
      <c r="X186" s="375">
        <f t="shared" si="63"/>
        <v>0</v>
      </c>
      <c r="Y186" s="369"/>
    </row>
    <row r="187" spans="1:26" ht="13.5" thickBot="1" x14ac:dyDescent="0.25">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row>
    <row r="188" spans="1:26" ht="13.5" thickBot="1" x14ac:dyDescent="0.25">
      <c r="A188" s="361" t="s">
        <v>326</v>
      </c>
      <c r="B188" s="359">
        <f>ROW(A188)</f>
        <v>188</v>
      </c>
      <c r="C188" s="363" t="s">
        <v>115</v>
      </c>
      <c r="D188" s="353">
        <f>SUM(B191:Y191)</f>
        <v>75.254384000000016</v>
      </c>
      <c r="E188" s="363" t="s">
        <v>114</v>
      </c>
      <c r="F188" s="354">
        <f>D188/g/J188</f>
        <v>232.46033422914161</v>
      </c>
      <c r="G188" s="363" t="s">
        <v>56</v>
      </c>
      <c r="H188" s="64">
        <v>9.5000000000000001E-2</v>
      </c>
      <c r="I188" s="363" t="s">
        <v>271</v>
      </c>
      <c r="J188" s="355">
        <f>H188-L188</f>
        <v>3.3000000000000002E-2</v>
      </c>
      <c r="K188" s="363" t="s">
        <v>272</v>
      </c>
      <c r="L188" s="64">
        <f>0.095-0.033</f>
        <v>6.2E-2</v>
      </c>
      <c r="M188" s="363" t="s">
        <v>57</v>
      </c>
      <c r="N188" s="396">
        <v>66.5</v>
      </c>
      <c r="O188" s="363" t="s">
        <v>59</v>
      </c>
      <c r="P188" s="396">
        <v>66.5</v>
      </c>
      <c r="Q188" s="363" t="s">
        <v>60</v>
      </c>
      <c r="R188" s="65">
        <v>133</v>
      </c>
      <c r="S188" s="363" t="s">
        <v>61</v>
      </c>
      <c r="T188" s="65">
        <v>24</v>
      </c>
      <c r="U188" s="363" t="s">
        <v>54</v>
      </c>
      <c r="V188" s="66" t="s">
        <v>400</v>
      </c>
      <c r="W188" s="463" t="s">
        <v>394</v>
      </c>
      <c r="X188" s="465">
        <v>1.5</v>
      </c>
      <c r="Y188" s="463" t="s">
        <v>393</v>
      </c>
      <c r="Z188" s="358">
        <v>12</v>
      </c>
    </row>
    <row r="189" spans="1:26" x14ac:dyDescent="0.2">
      <c r="A189" s="362" t="s">
        <v>33</v>
      </c>
      <c r="B189" s="370">
        <v>0</v>
      </c>
      <c r="C189" s="371">
        <v>0.02</v>
      </c>
      <c r="D189" s="371">
        <v>3.1E-2</v>
      </c>
      <c r="E189" s="371">
        <v>6.2E-2</v>
      </c>
      <c r="F189" s="371">
        <v>0.11700000000000001</v>
      </c>
      <c r="G189" s="371">
        <v>1.2110000000000001</v>
      </c>
      <c r="H189" s="371">
        <v>1.3759999999999999</v>
      </c>
      <c r="I189" s="371">
        <v>1.456</v>
      </c>
      <c r="J189" s="371">
        <v>1.532</v>
      </c>
      <c r="K189" s="371">
        <v>1.577</v>
      </c>
      <c r="L189" s="371">
        <v>2</v>
      </c>
      <c r="M189" s="371">
        <v>2</v>
      </c>
      <c r="N189" s="371">
        <v>2</v>
      </c>
      <c r="O189" s="371">
        <v>2</v>
      </c>
      <c r="P189" s="371">
        <v>2</v>
      </c>
      <c r="Q189" s="371">
        <v>2</v>
      </c>
      <c r="R189" s="371">
        <v>2</v>
      </c>
      <c r="S189" s="371">
        <v>2</v>
      </c>
      <c r="T189" s="371">
        <v>2</v>
      </c>
      <c r="U189" s="371">
        <v>2</v>
      </c>
      <c r="V189" s="371">
        <v>2</v>
      </c>
      <c r="W189" s="371">
        <v>2</v>
      </c>
      <c r="X189" s="371">
        <f t="shared" ref="T189:X190" si="64">W189</f>
        <v>2</v>
      </c>
      <c r="Y189" s="381">
        <v>1000</v>
      </c>
    </row>
    <row r="190" spans="1:26" x14ac:dyDescent="0.2">
      <c r="A190" s="378" t="s">
        <v>34</v>
      </c>
      <c r="B190" s="372">
        <v>0</v>
      </c>
      <c r="C190" s="373">
        <v>75.924000000000007</v>
      </c>
      <c r="D190" s="373">
        <v>84.147999999999996</v>
      </c>
      <c r="E190" s="373">
        <v>70.441000000000003</v>
      </c>
      <c r="F190" s="373">
        <v>73.659000000000006</v>
      </c>
      <c r="G190" s="373">
        <v>38.737000000000002</v>
      </c>
      <c r="H190" s="373">
        <v>14.779</v>
      </c>
      <c r="I190" s="373">
        <v>7.2709999999999999</v>
      </c>
      <c r="J190" s="373">
        <v>3.3370000000000002</v>
      </c>
      <c r="K190" s="373">
        <v>0</v>
      </c>
      <c r="L190" s="373">
        <v>0</v>
      </c>
      <c r="M190" s="373">
        <v>0</v>
      </c>
      <c r="N190" s="373">
        <v>0</v>
      </c>
      <c r="O190" s="373">
        <v>0</v>
      </c>
      <c r="P190" s="373">
        <v>0</v>
      </c>
      <c r="Q190" s="373">
        <v>0</v>
      </c>
      <c r="R190" s="373">
        <v>0</v>
      </c>
      <c r="S190" s="373">
        <v>0</v>
      </c>
      <c r="T190" s="373">
        <f t="shared" si="64"/>
        <v>0</v>
      </c>
      <c r="U190" s="373">
        <f t="shared" si="64"/>
        <v>0</v>
      </c>
      <c r="V190" s="373">
        <f t="shared" si="64"/>
        <v>0</v>
      </c>
      <c r="W190" s="373">
        <f t="shared" si="64"/>
        <v>0</v>
      </c>
      <c r="X190" s="373">
        <f t="shared" si="64"/>
        <v>0</v>
      </c>
      <c r="Y190" s="382">
        <v>0</v>
      </c>
    </row>
    <row r="191" spans="1:26" ht="13.5" thickBot="1" x14ac:dyDescent="0.25">
      <c r="A191" s="379" t="s">
        <v>116</v>
      </c>
      <c r="B191" s="374">
        <f t="shared" ref="B191:V191" si="65">(C190+B190)*(C189-B189)/2</f>
        <v>0.75924000000000014</v>
      </c>
      <c r="C191" s="375">
        <f t="shared" si="65"/>
        <v>0.88039599999999996</v>
      </c>
      <c r="D191" s="375">
        <f t="shared" si="65"/>
        <v>2.3961294999999998</v>
      </c>
      <c r="E191" s="375">
        <f t="shared" si="65"/>
        <v>3.9627500000000011</v>
      </c>
      <c r="F191" s="375">
        <f t="shared" si="65"/>
        <v>61.480612000000015</v>
      </c>
      <c r="G191" s="375">
        <f t="shared" si="65"/>
        <v>4.4150699999999956</v>
      </c>
      <c r="H191" s="375">
        <f t="shared" si="65"/>
        <v>0.88200000000000078</v>
      </c>
      <c r="I191" s="375">
        <f t="shared" si="65"/>
        <v>0.40310400000000035</v>
      </c>
      <c r="J191" s="375">
        <f>(K190+J190)*(K189-J189)/2</f>
        <v>7.5082499999999885E-2</v>
      </c>
      <c r="K191" s="375">
        <f t="shared" si="65"/>
        <v>0</v>
      </c>
      <c r="L191" s="375">
        <f t="shared" si="65"/>
        <v>0</v>
      </c>
      <c r="M191" s="375">
        <f t="shared" si="65"/>
        <v>0</v>
      </c>
      <c r="N191" s="375">
        <f t="shared" si="65"/>
        <v>0</v>
      </c>
      <c r="O191" s="375">
        <f t="shared" si="65"/>
        <v>0</v>
      </c>
      <c r="P191" s="375">
        <f t="shared" si="65"/>
        <v>0</v>
      </c>
      <c r="Q191" s="375">
        <f t="shared" si="65"/>
        <v>0</v>
      </c>
      <c r="R191" s="375">
        <f t="shared" si="65"/>
        <v>0</v>
      </c>
      <c r="S191" s="375">
        <f>(T190+S190)*(T189-S189)/2</f>
        <v>0</v>
      </c>
      <c r="T191" s="375">
        <f t="shared" si="65"/>
        <v>0</v>
      </c>
      <c r="U191" s="375">
        <f t="shared" si="65"/>
        <v>0</v>
      </c>
      <c r="V191" s="375">
        <f t="shared" si="65"/>
        <v>0</v>
      </c>
      <c r="W191" s="375">
        <f>(X190+W190)*(X189-W189)/2</f>
        <v>0</v>
      </c>
      <c r="X191" s="375">
        <f>(Y190+X190)*(Y189-X189)/2</f>
        <v>0</v>
      </c>
      <c r="Y191" s="369"/>
    </row>
    <row r="192" spans="1:26" ht="13.5" thickBot="1" x14ac:dyDescent="0.25">
      <c r="A192" s="6" t="s">
        <v>373</v>
      </c>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row>
    <row r="193" spans="1:26" ht="13.5" thickBot="1" x14ac:dyDescent="0.25">
      <c r="A193" s="361" t="s">
        <v>536</v>
      </c>
      <c r="B193" s="359">
        <f>ROW(A193)</f>
        <v>193</v>
      </c>
      <c r="C193" s="363" t="s">
        <v>115</v>
      </c>
      <c r="D193" s="353">
        <f>SUM(B196:Y196)</f>
        <v>141.04999999999998</v>
      </c>
      <c r="E193" s="363" t="s">
        <v>114</v>
      </c>
      <c r="F193" s="354">
        <f>D193/g/J193</f>
        <v>186.24592648930721</v>
      </c>
      <c r="G193" s="363" t="s">
        <v>56</v>
      </c>
      <c r="H193" s="64">
        <v>0.16189999999999999</v>
      </c>
      <c r="I193" s="363" t="s">
        <v>271</v>
      </c>
      <c r="J193" s="355">
        <f>H193-L193</f>
        <v>7.7199999999999991E-2</v>
      </c>
      <c r="K193" s="363" t="s">
        <v>272</v>
      </c>
      <c r="L193" s="64">
        <v>8.4699999999999998E-2</v>
      </c>
      <c r="M193" s="363" t="s">
        <v>57</v>
      </c>
      <c r="N193" s="65">
        <v>114</v>
      </c>
      <c r="O193" s="363" t="s">
        <v>59</v>
      </c>
      <c r="P193" s="65">
        <v>114</v>
      </c>
      <c r="Q193" s="363" t="s">
        <v>60</v>
      </c>
      <c r="R193" s="65">
        <v>228</v>
      </c>
      <c r="S193" s="363" t="s">
        <v>61</v>
      </c>
      <c r="T193" s="65">
        <v>24</v>
      </c>
      <c r="U193" s="363" t="s">
        <v>54</v>
      </c>
      <c r="V193" s="66" t="s">
        <v>119</v>
      </c>
      <c r="W193" s="463" t="s">
        <v>394</v>
      </c>
      <c r="X193" s="465">
        <v>0.96</v>
      </c>
      <c r="Y193" s="463" t="s">
        <v>393</v>
      </c>
      <c r="Z193" s="358">
        <v>15</v>
      </c>
    </row>
    <row r="194" spans="1:26" x14ac:dyDescent="0.2">
      <c r="A194" s="362" t="s">
        <v>33</v>
      </c>
      <c r="B194" s="370">
        <v>0</v>
      </c>
      <c r="C194" s="371">
        <v>0.02</v>
      </c>
      <c r="D194" s="371">
        <v>0.03</v>
      </c>
      <c r="E194" s="371">
        <v>0.05</v>
      </c>
      <c r="F194" s="371">
        <v>0.6</v>
      </c>
      <c r="G194" s="371">
        <v>0.67</v>
      </c>
      <c r="H194" s="371">
        <v>0.7</v>
      </c>
      <c r="I194" s="371">
        <v>0.8</v>
      </c>
      <c r="J194" s="371">
        <v>0.9</v>
      </c>
      <c r="K194" s="371">
        <v>1.05</v>
      </c>
      <c r="L194" s="371">
        <f t="shared" ref="L194:W194" si="66">K194</f>
        <v>1.05</v>
      </c>
      <c r="M194" s="371">
        <f t="shared" si="66"/>
        <v>1.05</v>
      </c>
      <c r="N194" s="371">
        <f t="shared" si="66"/>
        <v>1.05</v>
      </c>
      <c r="O194" s="371">
        <f t="shared" si="66"/>
        <v>1.05</v>
      </c>
      <c r="P194" s="371">
        <f t="shared" si="66"/>
        <v>1.05</v>
      </c>
      <c r="Q194" s="371">
        <f t="shared" si="66"/>
        <v>1.05</v>
      </c>
      <c r="R194" s="371">
        <f t="shared" si="66"/>
        <v>1.05</v>
      </c>
      <c r="S194" s="371">
        <f t="shared" si="66"/>
        <v>1.05</v>
      </c>
      <c r="T194" s="371">
        <f t="shared" si="66"/>
        <v>1.05</v>
      </c>
      <c r="U194" s="371">
        <f t="shared" si="66"/>
        <v>1.05</v>
      </c>
      <c r="V194" s="371">
        <f t="shared" si="66"/>
        <v>1.05</v>
      </c>
      <c r="W194" s="371">
        <f t="shared" si="66"/>
        <v>1.05</v>
      </c>
      <c r="X194" s="371">
        <v>2</v>
      </c>
      <c r="Y194" s="381">
        <v>1000</v>
      </c>
    </row>
    <row r="195" spans="1:26" x14ac:dyDescent="0.2">
      <c r="A195" s="378" t="s">
        <v>34</v>
      </c>
      <c r="B195" s="372">
        <v>0</v>
      </c>
      <c r="C195" s="373">
        <v>350</v>
      </c>
      <c r="D195" s="373">
        <v>250</v>
      </c>
      <c r="E195" s="373">
        <v>210</v>
      </c>
      <c r="F195" s="373">
        <v>150</v>
      </c>
      <c r="G195" s="373">
        <v>140</v>
      </c>
      <c r="H195" s="373">
        <v>130</v>
      </c>
      <c r="I195" s="373">
        <v>65</v>
      </c>
      <c r="J195" s="373">
        <v>30</v>
      </c>
      <c r="K195" s="373">
        <v>0</v>
      </c>
      <c r="L195" s="373">
        <v>0</v>
      </c>
      <c r="M195" s="373">
        <v>0</v>
      </c>
      <c r="N195" s="373">
        <v>0</v>
      </c>
      <c r="O195" s="373">
        <v>0</v>
      </c>
      <c r="P195" s="373">
        <v>0</v>
      </c>
      <c r="Q195" s="373">
        <v>0</v>
      </c>
      <c r="R195" s="373">
        <v>0</v>
      </c>
      <c r="S195" s="373">
        <f t="shared" ref="S195:X195" si="67">R195</f>
        <v>0</v>
      </c>
      <c r="T195" s="373">
        <f t="shared" si="67"/>
        <v>0</v>
      </c>
      <c r="U195" s="373">
        <f t="shared" si="67"/>
        <v>0</v>
      </c>
      <c r="V195" s="373">
        <f t="shared" si="67"/>
        <v>0</v>
      </c>
      <c r="W195" s="373">
        <f t="shared" si="67"/>
        <v>0</v>
      </c>
      <c r="X195" s="373">
        <f t="shared" si="67"/>
        <v>0</v>
      </c>
      <c r="Y195" s="382">
        <v>0</v>
      </c>
    </row>
    <row r="196" spans="1:26" ht="13.5" thickBot="1" x14ac:dyDescent="0.25">
      <c r="A196" s="379" t="s">
        <v>116</v>
      </c>
      <c r="B196" s="374">
        <f t="shared" ref="B196:X196" si="68">(C195+B195)*(C194-B194)/2</f>
        <v>3.5</v>
      </c>
      <c r="C196" s="375">
        <f t="shared" si="68"/>
        <v>2.9999999999999996</v>
      </c>
      <c r="D196" s="375">
        <f t="shared" si="68"/>
        <v>4.6000000000000005</v>
      </c>
      <c r="E196" s="375">
        <f t="shared" si="68"/>
        <v>98.999999999999986</v>
      </c>
      <c r="F196" s="375">
        <f t="shared" si="68"/>
        <v>10.150000000000009</v>
      </c>
      <c r="G196" s="375">
        <f t="shared" si="68"/>
        <v>4.0499999999999883</v>
      </c>
      <c r="H196" s="375">
        <f t="shared" si="68"/>
        <v>9.7500000000000089</v>
      </c>
      <c r="I196" s="375">
        <f t="shared" si="68"/>
        <v>4.7499999999999991</v>
      </c>
      <c r="J196" s="375">
        <f t="shared" si="68"/>
        <v>2.2500000000000004</v>
      </c>
      <c r="K196" s="375">
        <f t="shared" si="68"/>
        <v>0</v>
      </c>
      <c r="L196" s="375">
        <f t="shared" si="68"/>
        <v>0</v>
      </c>
      <c r="M196" s="375">
        <f t="shared" si="68"/>
        <v>0</v>
      </c>
      <c r="N196" s="375">
        <f t="shared" si="68"/>
        <v>0</v>
      </c>
      <c r="O196" s="375">
        <f t="shared" si="68"/>
        <v>0</v>
      </c>
      <c r="P196" s="375">
        <f t="shared" si="68"/>
        <v>0</v>
      </c>
      <c r="Q196" s="375">
        <f t="shared" si="68"/>
        <v>0</v>
      </c>
      <c r="R196" s="375">
        <f t="shared" si="68"/>
        <v>0</v>
      </c>
      <c r="S196" s="375">
        <f t="shared" si="68"/>
        <v>0</v>
      </c>
      <c r="T196" s="375">
        <f t="shared" si="68"/>
        <v>0</v>
      </c>
      <c r="U196" s="375">
        <f t="shared" si="68"/>
        <v>0</v>
      </c>
      <c r="V196" s="375">
        <f t="shared" si="68"/>
        <v>0</v>
      </c>
      <c r="W196" s="375">
        <f t="shared" si="68"/>
        <v>0</v>
      </c>
      <c r="X196" s="375">
        <f t="shared" si="68"/>
        <v>0</v>
      </c>
      <c r="Y196" s="369"/>
    </row>
    <row r="197" spans="1:26" ht="13.5" thickBot="1" x14ac:dyDescent="0.25">
      <c r="A197" s="12" t="s">
        <v>545</v>
      </c>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row>
    <row r="198" spans="1:26" ht="13.5" thickBot="1" x14ac:dyDescent="0.25">
      <c r="A198" s="361" t="s">
        <v>548</v>
      </c>
      <c r="B198" s="359">
        <f>ROW(A198)</f>
        <v>198</v>
      </c>
      <c r="C198" s="363" t="s">
        <v>115</v>
      </c>
      <c r="D198" s="353">
        <f>SUM(B201:Y201)</f>
        <v>142.44</v>
      </c>
      <c r="E198" s="363" t="s">
        <v>114</v>
      </c>
      <c r="F198" s="354">
        <f>D198/g/J198</f>
        <v>192.06187401906058</v>
      </c>
      <c r="G198" s="363" t="s">
        <v>56</v>
      </c>
      <c r="H198" s="64">
        <v>0.15989999999999999</v>
      </c>
      <c r="I198" s="363" t="s">
        <v>271</v>
      </c>
      <c r="J198" s="355">
        <f>H198-L198</f>
        <v>7.5599999999999987E-2</v>
      </c>
      <c r="K198" s="363" t="s">
        <v>272</v>
      </c>
      <c r="L198" s="64">
        <v>8.43E-2</v>
      </c>
      <c r="M198" s="363" t="s">
        <v>57</v>
      </c>
      <c r="N198" s="65">
        <v>114</v>
      </c>
      <c r="O198" s="363" t="s">
        <v>59</v>
      </c>
      <c r="P198" s="65">
        <v>114</v>
      </c>
      <c r="Q198" s="363" t="s">
        <v>60</v>
      </c>
      <c r="R198" s="65">
        <v>228</v>
      </c>
      <c r="S198" s="363" t="s">
        <v>61</v>
      </c>
      <c r="T198" s="65">
        <v>24</v>
      </c>
      <c r="U198" s="363" t="s">
        <v>54</v>
      </c>
      <c r="V198" s="66" t="s">
        <v>401</v>
      </c>
      <c r="W198" s="463" t="s">
        <v>394</v>
      </c>
      <c r="X198" s="465">
        <v>0.97</v>
      </c>
      <c r="Y198" s="463" t="s">
        <v>393</v>
      </c>
      <c r="Z198" s="358">
        <v>13</v>
      </c>
    </row>
    <row r="199" spans="1:26" x14ac:dyDescent="0.2">
      <c r="A199" s="362" t="s">
        <v>33</v>
      </c>
      <c r="B199" s="370">
        <v>0</v>
      </c>
      <c r="C199" s="371">
        <v>0.02</v>
      </c>
      <c r="D199" s="371">
        <v>0.04</v>
      </c>
      <c r="E199" s="371">
        <v>0.62</v>
      </c>
      <c r="F199" s="371">
        <v>0.66</v>
      </c>
      <c r="G199" s="371">
        <v>0.68</v>
      </c>
      <c r="H199" s="371">
        <v>0.8</v>
      </c>
      <c r="I199" s="371">
        <v>0.84</v>
      </c>
      <c r="J199" s="371">
        <v>0.88</v>
      </c>
      <c r="K199" s="371">
        <v>0.92</v>
      </c>
      <c r="L199" s="371">
        <v>0.96</v>
      </c>
      <c r="M199" s="371">
        <v>1</v>
      </c>
      <c r="N199" s="371">
        <v>1.08</v>
      </c>
      <c r="O199" s="371">
        <v>2</v>
      </c>
      <c r="P199" s="371">
        <v>2</v>
      </c>
      <c r="Q199" s="371">
        <v>2</v>
      </c>
      <c r="R199" s="371">
        <v>2</v>
      </c>
      <c r="S199" s="371">
        <f t="shared" ref="S199:X200" si="69">R199</f>
        <v>2</v>
      </c>
      <c r="T199" s="371">
        <f t="shared" si="69"/>
        <v>2</v>
      </c>
      <c r="U199" s="371">
        <f t="shared" si="69"/>
        <v>2</v>
      </c>
      <c r="V199" s="371">
        <f t="shared" si="69"/>
        <v>2</v>
      </c>
      <c r="W199" s="371">
        <f t="shared" si="69"/>
        <v>2</v>
      </c>
      <c r="X199" s="371">
        <f t="shared" si="69"/>
        <v>2</v>
      </c>
      <c r="Y199" s="381">
        <v>1000</v>
      </c>
    </row>
    <row r="200" spans="1:26" x14ac:dyDescent="0.2">
      <c r="A200" s="378" t="s">
        <v>34</v>
      </c>
      <c r="B200" s="372">
        <v>0</v>
      </c>
      <c r="C200" s="373">
        <v>250</v>
      </c>
      <c r="D200" s="373">
        <v>210</v>
      </c>
      <c r="E200" s="373">
        <v>160</v>
      </c>
      <c r="F200" s="373">
        <v>150</v>
      </c>
      <c r="G200" s="373">
        <v>142</v>
      </c>
      <c r="H200" s="373">
        <v>62</v>
      </c>
      <c r="I200" s="373">
        <v>48</v>
      </c>
      <c r="J200" s="373">
        <v>34</v>
      </c>
      <c r="K200" s="373">
        <v>24</v>
      </c>
      <c r="L200" s="373">
        <v>15</v>
      </c>
      <c r="M200" s="373">
        <v>10</v>
      </c>
      <c r="N200" s="373">
        <v>0</v>
      </c>
      <c r="O200" s="373">
        <v>0</v>
      </c>
      <c r="P200" s="373">
        <v>0</v>
      </c>
      <c r="Q200" s="373">
        <v>0</v>
      </c>
      <c r="R200" s="373">
        <v>0</v>
      </c>
      <c r="S200" s="373">
        <f t="shared" si="69"/>
        <v>0</v>
      </c>
      <c r="T200" s="373">
        <f t="shared" si="69"/>
        <v>0</v>
      </c>
      <c r="U200" s="373">
        <f t="shared" si="69"/>
        <v>0</v>
      </c>
      <c r="V200" s="373">
        <f t="shared" si="69"/>
        <v>0</v>
      </c>
      <c r="W200" s="373">
        <f t="shared" si="69"/>
        <v>0</v>
      </c>
      <c r="X200" s="373">
        <f t="shared" si="69"/>
        <v>0</v>
      </c>
      <c r="Y200" s="382">
        <v>0</v>
      </c>
    </row>
    <row r="201" spans="1:26" ht="13.5" thickBot="1" x14ac:dyDescent="0.25">
      <c r="A201" s="379" t="s">
        <v>116</v>
      </c>
      <c r="B201" s="374">
        <f t="shared" ref="B201:X201" si="70">(C200+B200)*(C199-B199)/2</f>
        <v>2.5</v>
      </c>
      <c r="C201" s="375">
        <f t="shared" si="70"/>
        <v>4.6000000000000005</v>
      </c>
      <c r="D201" s="375">
        <f t="shared" si="70"/>
        <v>107.3</v>
      </c>
      <c r="E201" s="375">
        <f t="shared" si="70"/>
        <v>6.2000000000000055</v>
      </c>
      <c r="F201" s="375">
        <f t="shared" si="70"/>
        <v>2.9200000000000026</v>
      </c>
      <c r="G201" s="375">
        <f t="shared" si="70"/>
        <v>12.24</v>
      </c>
      <c r="H201" s="375">
        <f t="shared" si="70"/>
        <v>2.1999999999999957</v>
      </c>
      <c r="I201" s="375">
        <f t="shared" si="70"/>
        <v>1.6400000000000015</v>
      </c>
      <c r="J201" s="375">
        <f t="shared" si="70"/>
        <v>1.160000000000001</v>
      </c>
      <c r="K201" s="375">
        <f t="shared" si="70"/>
        <v>0.77999999999999847</v>
      </c>
      <c r="L201" s="375">
        <f t="shared" si="70"/>
        <v>0.50000000000000044</v>
      </c>
      <c r="M201" s="375">
        <f t="shared" si="70"/>
        <v>0.40000000000000036</v>
      </c>
      <c r="N201" s="375">
        <f t="shared" si="70"/>
        <v>0</v>
      </c>
      <c r="O201" s="375">
        <f t="shared" si="70"/>
        <v>0</v>
      </c>
      <c r="P201" s="375">
        <f t="shared" si="70"/>
        <v>0</v>
      </c>
      <c r="Q201" s="375">
        <f t="shared" si="70"/>
        <v>0</v>
      </c>
      <c r="R201" s="375">
        <f t="shared" si="70"/>
        <v>0</v>
      </c>
      <c r="S201" s="375">
        <f t="shared" si="70"/>
        <v>0</v>
      </c>
      <c r="T201" s="375">
        <f t="shared" si="70"/>
        <v>0</v>
      </c>
      <c r="U201" s="375">
        <f t="shared" si="70"/>
        <v>0</v>
      </c>
      <c r="V201" s="375">
        <f t="shared" si="70"/>
        <v>0</v>
      </c>
      <c r="W201" s="375">
        <f t="shared" si="70"/>
        <v>0</v>
      </c>
      <c r="X201" s="375">
        <f t="shared" si="70"/>
        <v>0</v>
      </c>
      <c r="Y201" s="369"/>
    </row>
    <row r="202" spans="1:26" ht="13.5" thickBot="1" x14ac:dyDescent="0.25">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row>
    <row r="203" spans="1:26" ht="13.5" thickBot="1" x14ac:dyDescent="0.25">
      <c r="A203" s="361" t="s">
        <v>538</v>
      </c>
      <c r="B203" s="359">
        <f>ROW(A203)</f>
        <v>203</v>
      </c>
      <c r="C203" s="363" t="s">
        <v>115</v>
      </c>
      <c r="D203" s="353">
        <f>SUM(B206:Y206)</f>
        <v>143.08845000000002</v>
      </c>
      <c r="E203" s="363" t="s">
        <v>114</v>
      </c>
      <c r="F203" s="354">
        <f>D203/g/J203</f>
        <v>168.23504721190514</v>
      </c>
      <c r="G203" s="363" t="s">
        <v>56</v>
      </c>
      <c r="H203" s="64">
        <v>0.17249999999999999</v>
      </c>
      <c r="I203" s="363" t="s">
        <v>271</v>
      </c>
      <c r="J203" s="355">
        <f>H203-L203</f>
        <v>8.6699999999999985E-2</v>
      </c>
      <c r="K203" s="363" t="s">
        <v>272</v>
      </c>
      <c r="L203" s="64">
        <v>8.5800000000000001E-2</v>
      </c>
      <c r="M203" s="363" t="s">
        <v>57</v>
      </c>
      <c r="N203" s="65">
        <v>114</v>
      </c>
      <c r="O203" s="363" t="s">
        <v>59</v>
      </c>
      <c r="P203" s="65">
        <v>114</v>
      </c>
      <c r="Q203" s="363" t="s">
        <v>60</v>
      </c>
      <c r="R203" s="65">
        <v>228</v>
      </c>
      <c r="S203" s="363" t="s">
        <v>61</v>
      </c>
      <c r="T203" s="65">
        <v>24</v>
      </c>
      <c r="U203" s="363" t="s">
        <v>54</v>
      </c>
      <c r="V203" s="66" t="s">
        <v>119</v>
      </c>
      <c r="W203" s="463" t="s">
        <v>394</v>
      </c>
      <c r="X203" s="465">
        <v>0.97</v>
      </c>
      <c r="Y203" s="463" t="s">
        <v>393</v>
      </c>
      <c r="Z203" s="358">
        <v>11</v>
      </c>
    </row>
    <row r="204" spans="1:26" x14ac:dyDescent="0.2">
      <c r="A204" s="362" t="s">
        <v>33</v>
      </c>
      <c r="B204" s="370">
        <v>0</v>
      </c>
      <c r="C204" s="371">
        <v>8.0000000000000002E-3</v>
      </c>
      <c r="D204" s="371">
        <v>1.2999999999999999E-2</v>
      </c>
      <c r="E204" s="371">
        <v>2.1999999999999999E-2</v>
      </c>
      <c r="F204" s="371">
        <v>3.5000000000000003E-2</v>
      </c>
      <c r="G204" s="371">
        <v>6.3E-2</v>
      </c>
      <c r="H204" s="371">
        <v>0.10299999999999999</v>
      </c>
      <c r="I204" s="371">
        <v>0.19600000000000001</v>
      </c>
      <c r="J204" s="371">
        <v>0.311</v>
      </c>
      <c r="K204" s="371">
        <v>0.47399999999999998</v>
      </c>
      <c r="L204" s="371">
        <v>0.56399999999999995</v>
      </c>
      <c r="M204" s="371">
        <v>0.76200000000000001</v>
      </c>
      <c r="N204" s="371">
        <v>0.85799999999999998</v>
      </c>
      <c r="O204" s="371">
        <v>0.92800000000000005</v>
      </c>
      <c r="P204" s="371">
        <v>1.038</v>
      </c>
      <c r="Q204" s="371">
        <v>1.08</v>
      </c>
      <c r="R204" s="371">
        <v>1.131</v>
      </c>
      <c r="S204" s="371">
        <v>1.1850000000000001</v>
      </c>
      <c r="T204" s="371">
        <v>1.224</v>
      </c>
      <c r="U204" s="371">
        <v>1.258</v>
      </c>
      <c r="V204" s="371">
        <v>1.4</v>
      </c>
      <c r="W204" s="371">
        <v>1.4410000000000001</v>
      </c>
      <c r="X204" s="371">
        <v>2</v>
      </c>
      <c r="Y204" s="381">
        <v>1000</v>
      </c>
    </row>
    <row r="205" spans="1:26" x14ac:dyDescent="0.2">
      <c r="A205" s="378" t="s">
        <v>34</v>
      </c>
      <c r="B205" s="372">
        <v>0</v>
      </c>
      <c r="C205" s="373">
        <v>168.643</v>
      </c>
      <c r="D205" s="373">
        <v>177.339</v>
      </c>
      <c r="E205" s="373">
        <v>177.86600000000001</v>
      </c>
      <c r="F205" s="373">
        <v>171.27799999999999</v>
      </c>
      <c r="G205" s="373">
        <v>157.839</v>
      </c>
      <c r="H205" s="373">
        <v>154.941</v>
      </c>
      <c r="I205" s="373">
        <v>148.88</v>
      </c>
      <c r="J205" s="373">
        <v>144.137</v>
      </c>
      <c r="K205" s="373">
        <v>138.07599999999999</v>
      </c>
      <c r="L205" s="373">
        <v>135.70500000000001</v>
      </c>
      <c r="M205" s="373">
        <v>125.955</v>
      </c>
      <c r="N205" s="373">
        <v>116.733</v>
      </c>
      <c r="O205" s="373">
        <v>101.71299999999999</v>
      </c>
      <c r="P205" s="373">
        <v>57.444000000000003</v>
      </c>
      <c r="Q205" s="373">
        <v>42.688000000000002</v>
      </c>
      <c r="R205" s="373">
        <v>31.884</v>
      </c>
      <c r="S205" s="373">
        <v>17.655000000000001</v>
      </c>
      <c r="T205" s="373">
        <v>9.4860000000000007</v>
      </c>
      <c r="U205" s="373">
        <v>5.27</v>
      </c>
      <c r="V205" s="373">
        <v>0.79100000000000004</v>
      </c>
      <c r="W205" s="373">
        <v>0</v>
      </c>
      <c r="X205" s="373">
        <f>W205</f>
        <v>0</v>
      </c>
      <c r="Y205" s="382">
        <v>0</v>
      </c>
    </row>
    <row r="206" spans="1:26" ht="13.5" thickBot="1" x14ac:dyDescent="0.25">
      <c r="A206" s="379" t="s">
        <v>116</v>
      </c>
      <c r="B206" s="374">
        <f t="shared" ref="B206:X206" si="71">(C205+B205)*(C204-B204)/2</f>
        <v>0.67457200000000006</v>
      </c>
      <c r="C206" s="375">
        <f t="shared" si="71"/>
        <v>0.86495499999999981</v>
      </c>
      <c r="D206" s="375">
        <f t="shared" si="71"/>
        <v>1.5984225000000001</v>
      </c>
      <c r="E206" s="375">
        <f t="shared" si="71"/>
        <v>2.2694360000000007</v>
      </c>
      <c r="F206" s="375">
        <f t="shared" si="71"/>
        <v>4.6076379999999988</v>
      </c>
      <c r="G206" s="375">
        <f t="shared" si="71"/>
        <v>6.2555999999999985</v>
      </c>
      <c r="H206" s="375">
        <f t="shared" si="71"/>
        <v>14.127676500000003</v>
      </c>
      <c r="I206" s="375">
        <f t="shared" si="71"/>
        <v>16.848477499999998</v>
      </c>
      <c r="J206" s="375">
        <f t="shared" si="71"/>
        <v>23.000359499999995</v>
      </c>
      <c r="K206" s="375">
        <f t="shared" si="71"/>
        <v>12.320144999999997</v>
      </c>
      <c r="L206" s="375">
        <f t="shared" si="71"/>
        <v>25.904340000000012</v>
      </c>
      <c r="M206" s="375">
        <f t="shared" si="71"/>
        <v>11.649023999999997</v>
      </c>
      <c r="N206" s="375">
        <f t="shared" si="71"/>
        <v>7.6456100000000067</v>
      </c>
      <c r="O206" s="375">
        <f t="shared" si="71"/>
        <v>8.7536349999999974</v>
      </c>
      <c r="P206" s="375">
        <f t="shared" si="71"/>
        <v>2.1027720000000021</v>
      </c>
      <c r="Q206" s="375">
        <f t="shared" si="71"/>
        <v>1.9015859999999976</v>
      </c>
      <c r="R206" s="375">
        <f t="shared" si="71"/>
        <v>1.3375530000000013</v>
      </c>
      <c r="S206" s="375">
        <f t="shared" si="71"/>
        <v>0.52924949999999904</v>
      </c>
      <c r="T206" s="375">
        <f t="shared" si="71"/>
        <v>0.25085200000000024</v>
      </c>
      <c r="U206" s="375">
        <f t="shared" si="71"/>
        <v>0.43033099999999969</v>
      </c>
      <c r="V206" s="375">
        <f t="shared" si="71"/>
        <v>1.621550000000006E-2</v>
      </c>
      <c r="W206" s="375">
        <f t="shared" si="71"/>
        <v>0</v>
      </c>
      <c r="X206" s="375">
        <f t="shared" si="71"/>
        <v>0</v>
      </c>
      <c r="Y206" s="369"/>
    </row>
    <row r="207" spans="1:26" ht="13.5" thickBot="1" x14ac:dyDescent="0.25">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row>
    <row r="208" spans="1:26" ht="13.5" thickBot="1" x14ac:dyDescent="0.25">
      <c r="A208" s="361" t="s">
        <v>537</v>
      </c>
      <c r="B208" s="359">
        <f>ROW(A208)</f>
        <v>208</v>
      </c>
      <c r="C208" s="363" t="s">
        <v>115</v>
      </c>
      <c r="D208" s="353">
        <f>SUM(B211:Y211)</f>
        <v>139.423417</v>
      </c>
      <c r="E208" s="363" t="s">
        <v>114</v>
      </c>
      <c r="F208" s="354">
        <f>D208/g/J208</f>
        <v>158.62027745922524</v>
      </c>
      <c r="G208" s="363" t="s">
        <v>56</v>
      </c>
      <c r="H208" s="64">
        <v>0.19450000000000001</v>
      </c>
      <c r="I208" s="363" t="s">
        <v>271</v>
      </c>
      <c r="J208" s="355">
        <f>H208-L208</f>
        <v>8.9600000000000013E-2</v>
      </c>
      <c r="K208" s="363" t="s">
        <v>272</v>
      </c>
      <c r="L208" s="64">
        <v>0.10489999999999999</v>
      </c>
      <c r="M208" s="363" t="s">
        <v>57</v>
      </c>
      <c r="N208" s="65">
        <v>114</v>
      </c>
      <c r="O208" s="363" t="s">
        <v>59</v>
      </c>
      <c r="P208" s="65">
        <v>144</v>
      </c>
      <c r="Q208" s="363" t="s">
        <v>60</v>
      </c>
      <c r="R208" s="65">
        <v>228</v>
      </c>
      <c r="S208" s="363" t="s">
        <v>61</v>
      </c>
      <c r="T208" s="65">
        <v>24</v>
      </c>
      <c r="U208" s="363" t="s">
        <v>54</v>
      </c>
      <c r="V208" s="66" t="s">
        <v>119</v>
      </c>
      <c r="W208" s="463" t="s">
        <v>394</v>
      </c>
      <c r="X208" s="465">
        <v>1.3</v>
      </c>
      <c r="Y208" s="463" t="s">
        <v>393</v>
      </c>
      <c r="Z208" s="358">
        <v>12</v>
      </c>
    </row>
    <row r="209" spans="1:26" x14ac:dyDescent="0.2">
      <c r="A209" s="362" t="s">
        <v>33</v>
      </c>
      <c r="B209" s="370">
        <v>0</v>
      </c>
      <c r="C209" s="371">
        <v>1.0999999999999999E-2</v>
      </c>
      <c r="D209" s="371">
        <v>2.1999999999999999E-2</v>
      </c>
      <c r="E209" s="371">
        <v>4.5999999999999999E-2</v>
      </c>
      <c r="F209" s="371">
        <v>8.1000000000000003E-2</v>
      </c>
      <c r="G209" s="371">
        <v>0.219</v>
      </c>
      <c r="H209" s="371">
        <v>0.253</v>
      </c>
      <c r="I209" s="371">
        <v>0.27400000000000002</v>
      </c>
      <c r="J209" s="371">
        <v>0.30499999999999999</v>
      </c>
      <c r="K209" s="371">
        <v>0.41199999999999998</v>
      </c>
      <c r="L209" s="371">
        <v>0.78900000000000003</v>
      </c>
      <c r="M209" s="371">
        <v>0.89900000000000002</v>
      </c>
      <c r="N209" s="371">
        <v>0.95299999999999996</v>
      </c>
      <c r="O209" s="371">
        <v>0.999</v>
      </c>
      <c r="P209" s="371">
        <v>1.03</v>
      </c>
      <c r="Q209" s="371">
        <v>1.0569999999999999</v>
      </c>
      <c r="R209" s="371">
        <v>1.1020000000000001</v>
      </c>
      <c r="S209" s="371">
        <v>1.1539999999999999</v>
      </c>
      <c r="T209" s="371">
        <v>1.1970000000000001</v>
      </c>
      <c r="U209" s="371">
        <v>1.2769999999999999</v>
      </c>
      <c r="V209" s="371">
        <v>1.335</v>
      </c>
      <c r="W209" s="371">
        <v>1.4510000000000001</v>
      </c>
      <c r="X209" s="371">
        <v>2</v>
      </c>
      <c r="Y209" s="381">
        <v>1000</v>
      </c>
    </row>
    <row r="210" spans="1:26" x14ac:dyDescent="0.2">
      <c r="A210" s="378" t="s">
        <v>34</v>
      </c>
      <c r="B210" s="372">
        <v>0</v>
      </c>
      <c r="C210" s="373">
        <v>198.41800000000001</v>
      </c>
      <c r="D210" s="373">
        <v>221.83500000000001</v>
      </c>
      <c r="E210" s="373">
        <v>212.65799999999999</v>
      </c>
      <c r="F210" s="373">
        <v>218.35400000000001</v>
      </c>
      <c r="G210" s="373">
        <v>204.43</v>
      </c>
      <c r="H210" s="373">
        <v>195.886</v>
      </c>
      <c r="I210" s="373">
        <v>183.54400000000001</v>
      </c>
      <c r="J210" s="373">
        <v>88.290999999999997</v>
      </c>
      <c r="K210" s="373">
        <v>93.671000000000006</v>
      </c>
      <c r="L210" s="373">
        <v>93.986999999999995</v>
      </c>
      <c r="M210" s="373">
        <v>91.138999999999996</v>
      </c>
      <c r="N210" s="373">
        <v>89.873000000000005</v>
      </c>
      <c r="O210" s="373">
        <v>87.025000000000006</v>
      </c>
      <c r="P210" s="373">
        <v>81.328999999999994</v>
      </c>
      <c r="Q210" s="373">
        <v>69.936999999999998</v>
      </c>
      <c r="R210" s="373">
        <v>54.113999999999997</v>
      </c>
      <c r="S210" s="373">
        <v>42.405000000000001</v>
      </c>
      <c r="T210" s="373">
        <v>31.646000000000001</v>
      </c>
      <c r="U210" s="373">
        <v>17.088999999999999</v>
      </c>
      <c r="V210" s="373">
        <v>9.81</v>
      </c>
      <c r="W210" s="373">
        <v>0</v>
      </c>
      <c r="X210" s="373">
        <v>0</v>
      </c>
      <c r="Y210" s="382">
        <v>0</v>
      </c>
    </row>
    <row r="211" spans="1:26" ht="13.5" thickBot="1" x14ac:dyDescent="0.25">
      <c r="A211" s="379" t="s">
        <v>116</v>
      </c>
      <c r="B211" s="374">
        <f t="shared" ref="B211:X211" si="72">(C210+B210)*(C209-B209)/2</f>
        <v>1.091299</v>
      </c>
      <c r="C211" s="375">
        <f t="shared" si="72"/>
        <v>2.3113915</v>
      </c>
      <c r="D211" s="375">
        <f t="shared" si="72"/>
        <v>5.2139160000000002</v>
      </c>
      <c r="E211" s="375">
        <f t="shared" si="72"/>
        <v>7.5427100000000005</v>
      </c>
      <c r="F211" s="375">
        <f t="shared" si="72"/>
        <v>29.172096000000003</v>
      </c>
      <c r="G211" s="375">
        <f t="shared" si="72"/>
        <v>6.8053720000000011</v>
      </c>
      <c r="H211" s="375">
        <f t="shared" si="72"/>
        <v>3.9840150000000034</v>
      </c>
      <c r="I211" s="375">
        <f t="shared" si="72"/>
        <v>4.2134424999999966</v>
      </c>
      <c r="J211" s="375">
        <f t="shared" si="72"/>
        <v>9.7349669999999975</v>
      </c>
      <c r="K211" s="375">
        <f t="shared" si="72"/>
        <v>35.373533000000009</v>
      </c>
      <c r="L211" s="375">
        <f t="shared" si="72"/>
        <v>10.181929999999998</v>
      </c>
      <c r="M211" s="375">
        <f t="shared" si="72"/>
        <v>4.8873239999999942</v>
      </c>
      <c r="N211" s="375">
        <f t="shared" si="72"/>
        <v>4.068654000000004</v>
      </c>
      <c r="O211" s="375">
        <f t="shared" si="72"/>
        <v>2.6094870000000019</v>
      </c>
      <c r="P211" s="375">
        <f t="shared" si="72"/>
        <v>2.0420909999999934</v>
      </c>
      <c r="Q211" s="375">
        <f t="shared" si="72"/>
        <v>2.791147500000009</v>
      </c>
      <c r="R211" s="375">
        <f t="shared" si="72"/>
        <v>2.5094939999999917</v>
      </c>
      <c r="S211" s="375">
        <f t="shared" si="72"/>
        <v>1.5920965000000056</v>
      </c>
      <c r="T211" s="375">
        <f t="shared" si="72"/>
        <v>1.9493999999999962</v>
      </c>
      <c r="U211" s="375">
        <f t="shared" si="72"/>
        <v>0.78007100000000074</v>
      </c>
      <c r="V211" s="375">
        <f t="shared" si="72"/>
        <v>0.56898000000000049</v>
      </c>
      <c r="W211" s="375">
        <f t="shared" si="72"/>
        <v>0</v>
      </c>
      <c r="X211" s="375">
        <f t="shared" si="72"/>
        <v>0</v>
      </c>
      <c r="Y211" s="369"/>
    </row>
    <row r="212" spans="1:26" ht="13.5" thickBot="1" x14ac:dyDescent="0.25">
      <c r="A212" s="6" t="s">
        <v>316</v>
      </c>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row>
    <row r="213" spans="1:26" ht="13.5" thickBot="1" x14ac:dyDescent="0.25">
      <c r="A213" s="361" t="s">
        <v>375</v>
      </c>
      <c r="B213" s="359">
        <f>ROW(A213)</f>
        <v>213</v>
      </c>
      <c r="C213" s="363" t="s">
        <v>115</v>
      </c>
      <c r="D213" s="353">
        <f>SUM(B216:Y216)</f>
        <v>82.798500000000018</v>
      </c>
      <c r="E213" s="363" t="s">
        <v>114</v>
      </c>
      <c r="F213" s="354">
        <f>D213/g/J213</f>
        <v>131.87834480122325</v>
      </c>
      <c r="G213" s="363" t="s">
        <v>56</v>
      </c>
      <c r="H213" s="64">
        <v>0.152</v>
      </c>
      <c r="I213" s="363" t="s">
        <v>271</v>
      </c>
      <c r="J213" s="355">
        <f>H213-L213</f>
        <v>6.4000000000000001E-2</v>
      </c>
      <c r="K213" s="363" t="s">
        <v>272</v>
      </c>
      <c r="L213" s="64">
        <v>8.7999999999999995E-2</v>
      </c>
      <c r="M213" s="363" t="s">
        <v>57</v>
      </c>
      <c r="N213" s="65">
        <v>71</v>
      </c>
      <c r="O213" s="363" t="s">
        <v>59</v>
      </c>
      <c r="P213" s="65">
        <v>71</v>
      </c>
      <c r="Q213" s="363" t="s">
        <v>60</v>
      </c>
      <c r="R213" s="65">
        <v>142</v>
      </c>
      <c r="S213" s="363" t="s">
        <v>61</v>
      </c>
      <c r="T213" s="65">
        <v>29</v>
      </c>
      <c r="U213" s="363" t="s">
        <v>54</v>
      </c>
      <c r="V213" s="66" t="s">
        <v>119</v>
      </c>
      <c r="W213" s="463" t="s">
        <v>394</v>
      </c>
      <c r="X213" s="465">
        <v>0.96</v>
      </c>
      <c r="Y213" s="463" t="s">
        <v>393</v>
      </c>
      <c r="Z213" s="358">
        <v>11</v>
      </c>
    </row>
    <row r="214" spans="1:26" x14ac:dyDescent="0.2">
      <c r="A214" s="362" t="s">
        <v>33</v>
      </c>
      <c r="B214" s="370">
        <v>0</v>
      </c>
      <c r="C214" s="371">
        <v>0.02</v>
      </c>
      <c r="D214" s="371">
        <v>0.03</v>
      </c>
      <c r="E214" s="371">
        <v>0.04</v>
      </c>
      <c r="F214" s="371">
        <v>0.06</v>
      </c>
      <c r="G214" s="371">
        <v>0.08</v>
      </c>
      <c r="H214" s="371">
        <v>0.15</v>
      </c>
      <c r="I214" s="371">
        <v>0.18</v>
      </c>
      <c r="J214" s="371">
        <v>0.2</v>
      </c>
      <c r="K214" s="371">
        <v>0.3</v>
      </c>
      <c r="L214" s="371">
        <v>0.4</v>
      </c>
      <c r="M214" s="371">
        <v>0.5</v>
      </c>
      <c r="N214" s="371">
        <v>0.6</v>
      </c>
      <c r="O214" s="371">
        <v>0.7</v>
      </c>
      <c r="P214" s="371">
        <v>0.82</v>
      </c>
      <c r="Q214" s="371">
        <v>0.93</v>
      </c>
      <c r="R214" s="371">
        <v>1</v>
      </c>
      <c r="S214" s="371">
        <f t="shared" ref="S214:X215" si="73">R214</f>
        <v>1</v>
      </c>
      <c r="T214" s="371">
        <f t="shared" si="73"/>
        <v>1</v>
      </c>
      <c r="U214" s="371">
        <f t="shared" si="73"/>
        <v>1</v>
      </c>
      <c r="V214" s="371">
        <f t="shared" si="73"/>
        <v>1</v>
      </c>
      <c r="W214" s="371">
        <f t="shared" si="73"/>
        <v>1</v>
      </c>
      <c r="X214" s="371">
        <v>2</v>
      </c>
      <c r="Y214" s="381">
        <v>1000</v>
      </c>
    </row>
    <row r="215" spans="1:26" x14ac:dyDescent="0.2">
      <c r="A215" s="378" t="s">
        <v>34</v>
      </c>
      <c r="B215" s="372">
        <v>0</v>
      </c>
      <c r="C215" s="373">
        <v>41.9</v>
      </c>
      <c r="D215" s="373">
        <v>92.1</v>
      </c>
      <c r="E215" s="373">
        <v>116.7</v>
      </c>
      <c r="F215" s="373">
        <v>112.7</v>
      </c>
      <c r="G215" s="373">
        <v>82.7</v>
      </c>
      <c r="H215" s="373">
        <v>84.7</v>
      </c>
      <c r="I215" s="373">
        <v>86.2</v>
      </c>
      <c r="J215" s="373">
        <v>87.9</v>
      </c>
      <c r="K215" s="373">
        <v>90.9</v>
      </c>
      <c r="L215" s="373">
        <v>93.9</v>
      </c>
      <c r="M215" s="373">
        <v>95.3</v>
      </c>
      <c r="N215" s="373">
        <v>96.8</v>
      </c>
      <c r="O215" s="373">
        <v>97.6</v>
      </c>
      <c r="P215" s="373">
        <v>108.2</v>
      </c>
      <c r="Q215" s="373">
        <v>11</v>
      </c>
      <c r="R215" s="373">
        <v>0</v>
      </c>
      <c r="S215" s="373">
        <f t="shared" si="73"/>
        <v>0</v>
      </c>
      <c r="T215" s="373">
        <f t="shared" si="73"/>
        <v>0</v>
      </c>
      <c r="U215" s="373">
        <f t="shared" si="73"/>
        <v>0</v>
      </c>
      <c r="V215" s="373">
        <f t="shared" si="73"/>
        <v>0</v>
      </c>
      <c r="W215" s="373">
        <f t="shared" si="73"/>
        <v>0</v>
      </c>
      <c r="X215" s="373">
        <f t="shared" si="73"/>
        <v>0</v>
      </c>
      <c r="Y215" s="382">
        <v>0</v>
      </c>
    </row>
    <row r="216" spans="1:26" ht="13.5" thickBot="1" x14ac:dyDescent="0.25">
      <c r="A216" s="379" t="s">
        <v>116</v>
      </c>
      <c r="B216" s="374">
        <f t="shared" ref="B216:V216" si="74">(C215+B215)*(C214-B214)/2</f>
        <v>0.41899999999999998</v>
      </c>
      <c r="C216" s="375">
        <f t="shared" si="74"/>
        <v>0.66999999999999993</v>
      </c>
      <c r="D216" s="375">
        <f t="shared" si="74"/>
        <v>1.0440000000000003</v>
      </c>
      <c r="E216" s="375">
        <f t="shared" si="74"/>
        <v>2.2939999999999996</v>
      </c>
      <c r="F216" s="375">
        <f t="shared" si="74"/>
        <v>1.9540000000000004</v>
      </c>
      <c r="G216" s="375">
        <f t="shared" si="74"/>
        <v>5.859</v>
      </c>
      <c r="H216" s="375">
        <f t="shared" si="74"/>
        <v>2.5634999999999999</v>
      </c>
      <c r="I216" s="375">
        <f t="shared" si="74"/>
        <v>1.7410000000000019</v>
      </c>
      <c r="J216" s="375">
        <f>(K215+J215)*(K214-J214)/2</f>
        <v>8.9399999999999977</v>
      </c>
      <c r="K216" s="375">
        <f t="shared" si="74"/>
        <v>9.2400000000000038</v>
      </c>
      <c r="L216" s="375">
        <f t="shared" si="74"/>
        <v>9.4599999999999973</v>
      </c>
      <c r="M216" s="375">
        <f t="shared" si="74"/>
        <v>9.6049999999999969</v>
      </c>
      <c r="N216" s="375">
        <f t="shared" si="74"/>
        <v>9.7199999999999971</v>
      </c>
      <c r="O216" s="375">
        <f t="shared" si="74"/>
        <v>12.348000000000001</v>
      </c>
      <c r="P216" s="375">
        <f t="shared" si="74"/>
        <v>6.5560000000000063</v>
      </c>
      <c r="Q216" s="375">
        <f t="shared" si="74"/>
        <v>0.38499999999999973</v>
      </c>
      <c r="R216" s="375">
        <f t="shared" si="74"/>
        <v>0</v>
      </c>
      <c r="S216" s="375">
        <f>(T215+S215)*(T214-S214)/2</f>
        <v>0</v>
      </c>
      <c r="T216" s="375">
        <f t="shared" si="74"/>
        <v>0</v>
      </c>
      <c r="U216" s="375">
        <f t="shared" si="74"/>
        <v>0</v>
      </c>
      <c r="V216" s="375">
        <f t="shared" si="74"/>
        <v>0</v>
      </c>
      <c r="W216" s="375">
        <f>(X215+W215)*(X214-W214)/2</f>
        <v>0</v>
      </c>
      <c r="X216" s="375">
        <f>(Y215+X215)*(Y214-X214)/2</f>
        <v>0</v>
      </c>
      <c r="Y216" s="369"/>
    </row>
    <row r="217" spans="1:26" ht="13.5" thickBot="1" x14ac:dyDescent="0.25">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row>
    <row r="218" spans="1:26" ht="13.5" thickBot="1" x14ac:dyDescent="0.25">
      <c r="A218" s="361" t="s">
        <v>376</v>
      </c>
      <c r="B218" s="359">
        <f>ROW(A218)</f>
        <v>218</v>
      </c>
      <c r="C218" s="363" t="s">
        <v>115</v>
      </c>
      <c r="D218" s="353">
        <f>SUM(B221:Y221)</f>
        <v>98.257101163036367</v>
      </c>
      <c r="E218" s="363" t="s">
        <v>114</v>
      </c>
      <c r="F218" s="354">
        <f>D218/g/J218</f>
        <v>177.58890761893778</v>
      </c>
      <c r="G218" s="363" t="s">
        <v>56</v>
      </c>
      <c r="H218" s="64">
        <v>0.14319999999999999</v>
      </c>
      <c r="I218" s="363" t="s">
        <v>271</v>
      </c>
      <c r="J218" s="355">
        <f>H218-L218</f>
        <v>5.6399999999999992E-2</v>
      </c>
      <c r="K218" s="363" t="s">
        <v>272</v>
      </c>
      <c r="L218" s="64">
        <v>8.6800000000000002E-2</v>
      </c>
      <c r="M218" s="363" t="s">
        <v>57</v>
      </c>
      <c r="N218" s="65">
        <v>71</v>
      </c>
      <c r="O218" s="363" t="s">
        <v>59</v>
      </c>
      <c r="P218" s="65">
        <v>71</v>
      </c>
      <c r="Q218" s="363" t="s">
        <v>60</v>
      </c>
      <c r="R218" s="65">
        <v>142</v>
      </c>
      <c r="S218" s="363" t="s">
        <v>61</v>
      </c>
      <c r="T218" s="65">
        <v>29</v>
      </c>
      <c r="U218" s="363" t="s">
        <v>54</v>
      </c>
      <c r="V218" s="66" t="s">
        <v>119</v>
      </c>
      <c r="W218" s="463" t="s">
        <v>394</v>
      </c>
      <c r="X218" s="465">
        <v>1.1499999999999999</v>
      </c>
      <c r="Y218" s="463" t="s">
        <v>393</v>
      </c>
      <c r="Z218" s="358">
        <v>14</v>
      </c>
    </row>
    <row r="219" spans="1:26" x14ac:dyDescent="0.2">
      <c r="A219" s="362" t="s">
        <v>33</v>
      </c>
      <c r="B219" s="370">
        <v>0</v>
      </c>
      <c r="C219" s="371">
        <v>1.4999999999999999E-2</v>
      </c>
      <c r="D219" s="371">
        <v>0.03</v>
      </c>
      <c r="E219" s="371">
        <v>4.4999999999999998E-2</v>
      </c>
      <c r="F219" s="371">
        <v>0.06</v>
      </c>
      <c r="G219" s="371">
        <v>7.4999999999999997E-2</v>
      </c>
      <c r="H219" s="371">
        <v>0.09</v>
      </c>
      <c r="I219" s="371">
        <v>0.105</v>
      </c>
      <c r="J219" s="371">
        <v>0.12</v>
      </c>
      <c r="K219" s="371">
        <v>0.18</v>
      </c>
      <c r="L219" s="371">
        <v>0.24</v>
      </c>
      <c r="M219" s="371">
        <v>0.3</v>
      </c>
      <c r="N219" s="371">
        <v>0.48</v>
      </c>
      <c r="O219" s="371">
        <v>0.6</v>
      </c>
      <c r="P219" s="371">
        <v>0.66</v>
      </c>
      <c r="Q219" s="371">
        <v>0.72</v>
      </c>
      <c r="R219" s="371">
        <v>0.78</v>
      </c>
      <c r="S219" s="371">
        <v>0.84</v>
      </c>
      <c r="T219" s="371">
        <v>0.9</v>
      </c>
      <c r="U219" s="371">
        <v>0.96</v>
      </c>
      <c r="V219" s="371">
        <v>1.0349999999999999</v>
      </c>
      <c r="W219" s="371">
        <v>1.2</v>
      </c>
      <c r="X219" s="371">
        <v>2</v>
      </c>
      <c r="Y219" s="381">
        <v>1000</v>
      </c>
    </row>
    <row r="220" spans="1:26" x14ac:dyDescent="0.2">
      <c r="A220" s="378" t="s">
        <v>34</v>
      </c>
      <c r="B220" s="372">
        <v>0</v>
      </c>
      <c r="C220" s="376">
        <v>99.328788958822486</v>
      </c>
      <c r="D220" s="376">
        <v>109.07039432469</v>
      </c>
      <c r="E220" s="376">
        <v>65.255411286427503</v>
      </c>
      <c r="F220" s="376">
        <v>67.568486533117493</v>
      </c>
      <c r="G220" s="376">
        <v>73.929443461515007</v>
      </c>
      <c r="H220" s="376">
        <v>74.329783408057494</v>
      </c>
      <c r="I220" s="376">
        <v>78.1552540083525</v>
      </c>
      <c r="J220" s="376">
        <v>78.600076171177506</v>
      </c>
      <c r="K220" s="376">
        <v>82.203135690059995</v>
      </c>
      <c r="L220" s="376">
        <v>84.516210936749999</v>
      </c>
      <c r="M220" s="376">
        <v>88.51961040217499</v>
      </c>
      <c r="N220" s="376">
        <v>95.102978411984992</v>
      </c>
      <c r="O220" s="376">
        <v>95.547800574809997</v>
      </c>
      <c r="P220" s="376">
        <v>94.480227384029988</v>
      </c>
      <c r="Q220" s="376">
        <v>92.122669921057494</v>
      </c>
      <c r="R220" s="376">
        <v>90.743721216299988</v>
      </c>
      <c r="S220" s="376">
        <v>88.964432564999996</v>
      </c>
      <c r="T220" s="376">
        <v>85.405855262399996</v>
      </c>
      <c r="U220" s="376">
        <v>83.448637745970004</v>
      </c>
      <c r="V220" s="376">
        <v>88.074788239349999</v>
      </c>
      <c r="W220" s="376">
        <v>0</v>
      </c>
      <c r="X220" s="373">
        <v>0</v>
      </c>
      <c r="Y220" s="382">
        <v>0</v>
      </c>
    </row>
    <row r="221" spans="1:26" ht="13.5" thickBot="1" x14ac:dyDescent="0.25">
      <c r="A221" s="379" t="s">
        <v>116</v>
      </c>
      <c r="B221" s="374">
        <f t="shared" ref="B221:V221" si="75">(C220+B220)*(C219-B219)/2</f>
        <v>0.74496591719116867</v>
      </c>
      <c r="C221" s="375">
        <f t="shared" si="75"/>
        <v>1.5629938746263436</v>
      </c>
      <c r="D221" s="375">
        <f t="shared" si="75"/>
        <v>1.3074435420833814</v>
      </c>
      <c r="E221" s="375">
        <f t="shared" si="75"/>
        <v>0.99617923364658734</v>
      </c>
      <c r="F221" s="375">
        <f t="shared" si="75"/>
        <v>1.0612344749597438</v>
      </c>
      <c r="G221" s="375">
        <f t="shared" si="75"/>
        <v>1.1119442015217937</v>
      </c>
      <c r="H221" s="375">
        <f t="shared" si="75"/>
        <v>1.1436377806230749</v>
      </c>
      <c r="I221" s="375">
        <f t="shared" si="75"/>
        <v>1.175664976346475</v>
      </c>
      <c r="J221" s="375">
        <f>(K220+J220)*(K219-J219)/2</f>
        <v>4.824096355837125</v>
      </c>
      <c r="K221" s="375">
        <f t="shared" si="75"/>
        <v>5.0015803988042995</v>
      </c>
      <c r="L221" s="375">
        <f t="shared" si="75"/>
        <v>5.1910746401677494</v>
      </c>
      <c r="M221" s="375">
        <f t="shared" si="75"/>
        <v>16.526032993274399</v>
      </c>
      <c r="N221" s="375">
        <f t="shared" si="75"/>
        <v>11.439046739207699</v>
      </c>
      <c r="O221" s="375">
        <f t="shared" si="75"/>
        <v>5.7008408387652043</v>
      </c>
      <c r="P221" s="375">
        <f t="shared" si="75"/>
        <v>5.5980869191526192</v>
      </c>
      <c r="Q221" s="375">
        <f t="shared" si="75"/>
        <v>5.4859917341207289</v>
      </c>
      <c r="R221" s="375">
        <f t="shared" si="75"/>
        <v>5.3912446134389942</v>
      </c>
      <c r="S221" s="375">
        <f>(T220+S220)*(T219-S219)/2</f>
        <v>5.2311086348220037</v>
      </c>
      <c r="T221" s="375">
        <f t="shared" si="75"/>
        <v>5.0656347902510959</v>
      </c>
      <c r="U221" s="375">
        <f t="shared" si="75"/>
        <v>6.4321284744494962</v>
      </c>
      <c r="V221" s="375">
        <f t="shared" si="75"/>
        <v>7.2661700297463767</v>
      </c>
      <c r="W221" s="375">
        <f>(X220+W220)*(X219-W219)/2</f>
        <v>0</v>
      </c>
      <c r="X221" s="375">
        <f>(Y220+X220)*(Y219-X219)/2</f>
        <v>0</v>
      </c>
      <c r="Y221" s="369"/>
    </row>
    <row r="222" spans="1:26" ht="13.5" thickBot="1" x14ac:dyDescent="0.25">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row>
    <row r="223" spans="1:26" ht="13.5" thickBot="1" x14ac:dyDescent="0.25">
      <c r="A223" s="361" t="s">
        <v>377</v>
      </c>
      <c r="B223" s="359">
        <f>ROW(A223)</f>
        <v>223</v>
      </c>
      <c r="C223" s="363" t="s">
        <v>115</v>
      </c>
      <c r="D223" s="353">
        <f>SUM(B226:Y226)</f>
        <v>109.60639850000001</v>
      </c>
      <c r="E223" s="363" t="s">
        <v>114</v>
      </c>
      <c r="F223" s="354">
        <f>D223/g/J223</f>
        <v>194.31174666489383</v>
      </c>
      <c r="G223" s="363" t="s">
        <v>56</v>
      </c>
      <c r="H223" s="64">
        <v>0.14130000000000001</v>
      </c>
      <c r="I223" s="363" t="s">
        <v>271</v>
      </c>
      <c r="J223" s="355">
        <f>H223-L223</f>
        <v>5.7500000000000009E-2</v>
      </c>
      <c r="K223" s="363" t="s">
        <v>272</v>
      </c>
      <c r="L223" s="64">
        <v>8.3799999999999999E-2</v>
      </c>
      <c r="M223" s="363" t="s">
        <v>57</v>
      </c>
      <c r="N223" s="65">
        <v>71</v>
      </c>
      <c r="O223" s="363" t="s">
        <v>59</v>
      </c>
      <c r="P223" s="65">
        <v>71</v>
      </c>
      <c r="Q223" s="363" t="s">
        <v>60</v>
      </c>
      <c r="R223" s="65">
        <v>142</v>
      </c>
      <c r="S223" s="363" t="s">
        <v>61</v>
      </c>
      <c r="T223" s="65">
        <v>29</v>
      </c>
      <c r="U223" s="363" t="s">
        <v>54</v>
      </c>
      <c r="V223" s="66" t="s">
        <v>401</v>
      </c>
      <c r="W223" s="463" t="s">
        <v>394</v>
      </c>
      <c r="X223" s="465">
        <v>0.45</v>
      </c>
      <c r="Y223" s="463" t="s">
        <v>393</v>
      </c>
      <c r="Z223" s="358">
        <v>14</v>
      </c>
    </row>
    <row r="224" spans="1:26" x14ac:dyDescent="0.2">
      <c r="A224" s="362" t="s">
        <v>33</v>
      </c>
      <c r="B224" s="370">
        <v>0</v>
      </c>
      <c r="C224" s="371">
        <v>6.0000000000000001E-3</v>
      </c>
      <c r="D224" s="371">
        <v>1.0999999999999999E-2</v>
      </c>
      <c r="E224" s="371">
        <v>1.6E-2</v>
      </c>
      <c r="F224" s="371">
        <v>3.1E-2</v>
      </c>
      <c r="G224" s="371">
        <v>7.4999999999999997E-2</v>
      </c>
      <c r="H224" s="371">
        <v>0.122</v>
      </c>
      <c r="I224" s="371">
        <v>0.216</v>
      </c>
      <c r="J224" s="371">
        <v>0.25</v>
      </c>
      <c r="K224" s="371">
        <v>0.28699999999999998</v>
      </c>
      <c r="L224" s="371">
        <v>0.35399999999999998</v>
      </c>
      <c r="M224" s="371">
        <v>0.374</v>
      </c>
      <c r="N224" s="371">
        <v>0.4</v>
      </c>
      <c r="O224" s="371">
        <v>0.41299999999999998</v>
      </c>
      <c r="P224" s="371">
        <v>0.42</v>
      </c>
      <c r="Q224" s="371">
        <v>0.433</v>
      </c>
      <c r="R224" s="371">
        <v>0.44500000000000001</v>
      </c>
      <c r="S224" s="371">
        <v>0.45400000000000001</v>
      </c>
      <c r="T224" s="371">
        <f t="shared" ref="T224:X225" si="76">S224</f>
        <v>0.45400000000000001</v>
      </c>
      <c r="U224" s="371">
        <f t="shared" si="76"/>
        <v>0.45400000000000001</v>
      </c>
      <c r="V224" s="371">
        <f t="shared" si="76"/>
        <v>0.45400000000000001</v>
      </c>
      <c r="W224" s="371">
        <f t="shared" si="76"/>
        <v>0.45400000000000001</v>
      </c>
      <c r="X224" s="371">
        <v>2</v>
      </c>
      <c r="Y224" s="381">
        <v>1000</v>
      </c>
    </row>
    <row r="225" spans="1:26" x14ac:dyDescent="0.2">
      <c r="A225" s="378" t="s">
        <v>34</v>
      </c>
      <c r="B225" s="372">
        <v>0</v>
      </c>
      <c r="C225" s="373">
        <v>151.62100000000001</v>
      </c>
      <c r="D225" s="373">
        <v>198.07900000000001</v>
      </c>
      <c r="E225" s="373">
        <v>203.12100000000001</v>
      </c>
      <c r="F225" s="373">
        <v>201.68100000000001</v>
      </c>
      <c r="G225" s="373">
        <v>226.17</v>
      </c>
      <c r="H225" s="373">
        <v>250.3</v>
      </c>
      <c r="I225" s="373">
        <v>280.19200000000001</v>
      </c>
      <c r="J225" s="373">
        <v>287.03500000000003</v>
      </c>
      <c r="K225" s="373">
        <v>284.87400000000002</v>
      </c>
      <c r="L225" s="373">
        <v>269.74799999999999</v>
      </c>
      <c r="M225" s="373">
        <v>258.58300000000003</v>
      </c>
      <c r="N225" s="373">
        <v>233.37299999999999</v>
      </c>
      <c r="O225" s="373">
        <v>234.09399999999999</v>
      </c>
      <c r="P225" s="373">
        <v>227.61099999999999</v>
      </c>
      <c r="Q225" s="373">
        <v>137.935</v>
      </c>
      <c r="R225" s="373">
        <v>33.853999999999999</v>
      </c>
      <c r="S225" s="373">
        <v>0</v>
      </c>
      <c r="T225" s="373">
        <f t="shared" si="76"/>
        <v>0</v>
      </c>
      <c r="U225" s="373">
        <f t="shared" si="76"/>
        <v>0</v>
      </c>
      <c r="V225" s="373">
        <f t="shared" si="76"/>
        <v>0</v>
      </c>
      <c r="W225" s="373">
        <f t="shared" si="76"/>
        <v>0</v>
      </c>
      <c r="X225" s="373">
        <f t="shared" si="76"/>
        <v>0</v>
      </c>
      <c r="Y225" s="382">
        <v>0</v>
      </c>
    </row>
    <row r="226" spans="1:26" ht="13.5" thickBot="1" x14ac:dyDescent="0.25">
      <c r="A226" s="379" t="s">
        <v>116</v>
      </c>
      <c r="B226" s="374">
        <f t="shared" ref="B226:X226" si="77">(C225+B225)*(C224-B224)/2</f>
        <v>0.45486300000000002</v>
      </c>
      <c r="C226" s="375">
        <f t="shared" si="77"/>
        <v>0.87424999999999997</v>
      </c>
      <c r="D226" s="375">
        <f t="shared" si="77"/>
        <v>1.0030000000000003</v>
      </c>
      <c r="E226" s="375">
        <f t="shared" si="77"/>
        <v>3.0360149999999999</v>
      </c>
      <c r="F226" s="375">
        <f t="shared" si="77"/>
        <v>9.4127219999999987</v>
      </c>
      <c r="G226" s="375">
        <f t="shared" si="77"/>
        <v>11.197045000000001</v>
      </c>
      <c r="H226" s="375">
        <f t="shared" si="77"/>
        <v>24.933123999999999</v>
      </c>
      <c r="I226" s="375">
        <f t="shared" si="77"/>
        <v>9.6428590000000014</v>
      </c>
      <c r="J226" s="375">
        <f t="shared" si="77"/>
        <v>10.580316499999995</v>
      </c>
      <c r="K226" s="375">
        <f t="shared" si="77"/>
        <v>18.579837000000005</v>
      </c>
      <c r="L226" s="375">
        <f t="shared" si="77"/>
        <v>5.2833100000000046</v>
      </c>
      <c r="M226" s="375">
        <f t="shared" si="77"/>
        <v>6.3954280000000061</v>
      </c>
      <c r="N226" s="375">
        <f t="shared" si="77"/>
        <v>3.0385354999999898</v>
      </c>
      <c r="O226" s="375">
        <f t="shared" si="77"/>
        <v>1.6159675000000013</v>
      </c>
      <c r="P226" s="375">
        <f t="shared" si="77"/>
        <v>2.3760490000000019</v>
      </c>
      <c r="Q226" s="375">
        <f t="shared" si="77"/>
        <v>1.0307340000000009</v>
      </c>
      <c r="R226" s="375">
        <f t="shared" si="77"/>
        <v>0.15234300000000014</v>
      </c>
      <c r="S226" s="375">
        <f t="shared" si="77"/>
        <v>0</v>
      </c>
      <c r="T226" s="375">
        <f t="shared" si="77"/>
        <v>0</v>
      </c>
      <c r="U226" s="375">
        <f t="shared" si="77"/>
        <v>0</v>
      </c>
      <c r="V226" s="375">
        <f t="shared" si="77"/>
        <v>0</v>
      </c>
      <c r="W226" s="375">
        <f t="shared" si="77"/>
        <v>0</v>
      </c>
      <c r="X226" s="375">
        <f t="shared" si="77"/>
        <v>0</v>
      </c>
      <c r="Y226" s="369"/>
    </row>
    <row r="227" spans="1:26" ht="13.5" thickBot="1" x14ac:dyDescent="0.25">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row>
    <row r="228" spans="1:26" ht="13.5" thickBot="1" x14ac:dyDescent="0.25">
      <c r="A228" s="361" t="s">
        <v>378</v>
      </c>
      <c r="B228" s="359">
        <f>ROW(A228)</f>
        <v>228</v>
      </c>
      <c r="C228" s="363" t="s">
        <v>115</v>
      </c>
      <c r="D228" s="353">
        <f>SUM(B231:Y231)</f>
        <v>115.63</v>
      </c>
      <c r="E228" s="363" t="s">
        <v>114</v>
      </c>
      <c r="F228" s="354">
        <f>D228/g/J228</f>
        <v>199.77884897804037</v>
      </c>
      <c r="G228" s="363" t="s">
        <v>56</v>
      </c>
      <c r="H228" s="64">
        <v>0.14499999999999999</v>
      </c>
      <c r="I228" s="363" t="s">
        <v>271</v>
      </c>
      <c r="J228" s="355">
        <f>H228-L228</f>
        <v>5.8999999999999997E-2</v>
      </c>
      <c r="K228" s="363" t="s">
        <v>272</v>
      </c>
      <c r="L228" s="64">
        <v>8.5999999999999993E-2</v>
      </c>
      <c r="M228" s="363" t="s">
        <v>57</v>
      </c>
      <c r="N228" s="65">
        <v>71</v>
      </c>
      <c r="O228" s="363" t="s">
        <v>59</v>
      </c>
      <c r="P228" s="65">
        <v>71</v>
      </c>
      <c r="Q228" s="363" t="s">
        <v>60</v>
      </c>
      <c r="R228" s="65">
        <v>142</v>
      </c>
      <c r="S228" s="363" t="s">
        <v>61</v>
      </c>
      <c r="T228" s="65">
        <v>29</v>
      </c>
      <c r="U228" s="363" t="s">
        <v>54</v>
      </c>
      <c r="V228" s="66" t="s">
        <v>400</v>
      </c>
      <c r="W228" s="463" t="s">
        <v>394</v>
      </c>
      <c r="X228" s="465">
        <v>0.93</v>
      </c>
      <c r="Y228" s="463" t="s">
        <v>393</v>
      </c>
      <c r="Z228" s="358">
        <v>13</v>
      </c>
    </row>
    <row r="229" spans="1:26" x14ac:dyDescent="0.2">
      <c r="A229" s="362" t="s">
        <v>33</v>
      </c>
      <c r="B229" s="370">
        <v>0</v>
      </c>
      <c r="C229" s="371">
        <v>0.01</v>
      </c>
      <c r="D229" s="371">
        <v>0.02</v>
      </c>
      <c r="E229" s="371">
        <v>0.03</v>
      </c>
      <c r="F229" s="371">
        <v>0.04</v>
      </c>
      <c r="G229" s="371">
        <v>0.05</v>
      </c>
      <c r="H229" s="371">
        <v>0.1</v>
      </c>
      <c r="I229" s="371">
        <v>0.2</v>
      </c>
      <c r="J229" s="371">
        <v>0.3</v>
      </c>
      <c r="K229" s="371">
        <v>0.4</v>
      </c>
      <c r="L229" s="371">
        <v>0.6</v>
      </c>
      <c r="M229" s="371">
        <v>0.75</v>
      </c>
      <c r="N229" s="371">
        <v>0.81</v>
      </c>
      <c r="O229" s="371">
        <v>0.86</v>
      </c>
      <c r="P229" s="371">
        <v>0.9</v>
      </c>
      <c r="Q229" s="371">
        <v>0.95</v>
      </c>
      <c r="R229" s="371">
        <v>1</v>
      </c>
      <c r="S229" s="371">
        <v>1</v>
      </c>
      <c r="T229" s="371">
        <v>1</v>
      </c>
      <c r="U229" s="371">
        <v>1</v>
      </c>
      <c r="V229" s="371">
        <v>1</v>
      </c>
      <c r="W229" s="371">
        <v>1</v>
      </c>
      <c r="X229" s="371">
        <v>2</v>
      </c>
      <c r="Y229" s="381">
        <v>1000</v>
      </c>
    </row>
    <row r="230" spans="1:26" x14ac:dyDescent="0.2">
      <c r="A230" s="378" t="s">
        <v>34</v>
      </c>
      <c r="B230" s="372">
        <v>0</v>
      </c>
      <c r="C230" s="376">
        <v>55</v>
      </c>
      <c r="D230" s="376">
        <v>168</v>
      </c>
      <c r="E230" s="376">
        <v>157</v>
      </c>
      <c r="F230" s="376">
        <v>148</v>
      </c>
      <c r="G230" s="376">
        <v>125</v>
      </c>
      <c r="H230" s="376">
        <v>135</v>
      </c>
      <c r="I230" s="376">
        <v>141</v>
      </c>
      <c r="J230" s="376">
        <v>142</v>
      </c>
      <c r="K230" s="376">
        <v>141</v>
      </c>
      <c r="L230" s="376">
        <v>133</v>
      </c>
      <c r="M230" s="376">
        <v>127</v>
      </c>
      <c r="N230" s="376">
        <v>128</v>
      </c>
      <c r="O230" s="376">
        <v>60</v>
      </c>
      <c r="P230" s="376">
        <v>15</v>
      </c>
      <c r="Q230" s="376">
        <v>0</v>
      </c>
      <c r="R230" s="376">
        <v>0</v>
      </c>
      <c r="S230" s="376">
        <v>0</v>
      </c>
      <c r="T230" s="376">
        <v>0</v>
      </c>
      <c r="U230" s="376">
        <v>0</v>
      </c>
      <c r="V230" s="376">
        <v>0</v>
      </c>
      <c r="W230" s="376">
        <v>0</v>
      </c>
      <c r="X230" s="373">
        <v>0</v>
      </c>
      <c r="Y230" s="382">
        <v>0</v>
      </c>
    </row>
    <row r="231" spans="1:26" ht="13.5" thickBot="1" x14ac:dyDescent="0.25">
      <c r="A231" s="379" t="s">
        <v>116</v>
      </c>
      <c r="B231" s="374">
        <f t="shared" ref="B231:X231" si="78">(C230+B230)*(C229-B229)/2</f>
        <v>0.27500000000000002</v>
      </c>
      <c r="C231" s="375">
        <f t="shared" si="78"/>
        <v>1.115</v>
      </c>
      <c r="D231" s="375">
        <f t="shared" si="78"/>
        <v>1.6249999999999998</v>
      </c>
      <c r="E231" s="375">
        <f t="shared" si="78"/>
        <v>1.5250000000000004</v>
      </c>
      <c r="F231" s="375">
        <f t="shared" si="78"/>
        <v>1.3650000000000002</v>
      </c>
      <c r="G231" s="375">
        <f t="shared" si="78"/>
        <v>6.5</v>
      </c>
      <c r="H231" s="375">
        <f t="shared" si="78"/>
        <v>13.8</v>
      </c>
      <c r="I231" s="375">
        <f t="shared" si="78"/>
        <v>14.149999999999997</v>
      </c>
      <c r="J231" s="375">
        <f t="shared" si="78"/>
        <v>14.150000000000004</v>
      </c>
      <c r="K231" s="375">
        <f t="shared" si="78"/>
        <v>27.399999999999995</v>
      </c>
      <c r="L231" s="375">
        <f t="shared" si="78"/>
        <v>19.500000000000004</v>
      </c>
      <c r="M231" s="375">
        <f t="shared" si="78"/>
        <v>7.6500000000000066</v>
      </c>
      <c r="N231" s="375">
        <f t="shared" si="78"/>
        <v>4.699999999999994</v>
      </c>
      <c r="O231" s="375">
        <f t="shared" si="78"/>
        <v>1.5000000000000013</v>
      </c>
      <c r="P231" s="375">
        <f t="shared" si="78"/>
        <v>0.3749999999999995</v>
      </c>
      <c r="Q231" s="375">
        <f t="shared" si="78"/>
        <v>0</v>
      </c>
      <c r="R231" s="375">
        <f t="shared" si="78"/>
        <v>0</v>
      </c>
      <c r="S231" s="375">
        <f t="shared" si="78"/>
        <v>0</v>
      </c>
      <c r="T231" s="375">
        <f t="shared" si="78"/>
        <v>0</v>
      </c>
      <c r="U231" s="375">
        <f t="shared" si="78"/>
        <v>0</v>
      </c>
      <c r="V231" s="375">
        <f t="shared" si="78"/>
        <v>0</v>
      </c>
      <c r="W231" s="375">
        <f t="shared" si="78"/>
        <v>0</v>
      </c>
      <c r="X231" s="375">
        <f t="shared" si="78"/>
        <v>0</v>
      </c>
      <c r="Y231" s="369"/>
    </row>
    <row r="232" spans="1:26" ht="13.5" thickBot="1" x14ac:dyDescent="0.25">
      <c r="A232" s="6" t="s">
        <v>386</v>
      </c>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row>
    <row r="233" spans="1:26" ht="13.5" thickBot="1" x14ac:dyDescent="0.25">
      <c r="A233" s="361" t="s">
        <v>387</v>
      </c>
      <c r="B233" s="359">
        <f>ROW(A233)</f>
        <v>233</v>
      </c>
      <c r="C233" s="363" t="s">
        <v>115</v>
      </c>
      <c r="D233" s="353">
        <f>SUM(B236:Y236)</f>
        <v>115.63</v>
      </c>
      <c r="E233" s="363" t="s">
        <v>114</v>
      </c>
      <c r="F233" s="354">
        <f>D233/g/J233</f>
        <v>125.39310733728064</v>
      </c>
      <c r="G233" s="363" t="s">
        <v>56</v>
      </c>
      <c r="H233" s="64">
        <v>0.2</v>
      </c>
      <c r="I233" s="363" t="s">
        <v>271</v>
      </c>
      <c r="J233" s="355">
        <f>H233-L233</f>
        <v>9.4000000000000014E-2</v>
      </c>
      <c r="K233" s="363" t="s">
        <v>272</v>
      </c>
      <c r="L233" s="64">
        <v>0.106</v>
      </c>
      <c r="M233" s="363" t="s">
        <v>57</v>
      </c>
      <c r="N233" s="65">
        <v>93</v>
      </c>
      <c r="O233" s="363" t="s">
        <v>59</v>
      </c>
      <c r="P233" s="65">
        <v>93</v>
      </c>
      <c r="Q233" s="363" t="s">
        <v>60</v>
      </c>
      <c r="R233" s="65">
        <v>187</v>
      </c>
      <c r="S233" s="363" t="s">
        <v>61</v>
      </c>
      <c r="T233" s="65">
        <v>29</v>
      </c>
      <c r="U233" s="363" t="s">
        <v>54</v>
      </c>
      <c r="V233" s="66" t="s">
        <v>119</v>
      </c>
      <c r="W233" s="463" t="s">
        <v>394</v>
      </c>
      <c r="X233" s="465">
        <v>0.96</v>
      </c>
      <c r="Y233" s="463" t="s">
        <v>393</v>
      </c>
      <c r="Z233" s="358">
        <v>14</v>
      </c>
    </row>
    <row r="234" spans="1:26" x14ac:dyDescent="0.2">
      <c r="A234" s="362" t="s">
        <v>33</v>
      </c>
      <c r="B234" s="370">
        <v>0</v>
      </c>
      <c r="C234" s="371">
        <v>0.01</v>
      </c>
      <c r="D234" s="371">
        <v>0.02</v>
      </c>
      <c r="E234" s="371">
        <v>0.03</v>
      </c>
      <c r="F234" s="371">
        <v>0.04</v>
      </c>
      <c r="G234" s="371">
        <v>0.05</v>
      </c>
      <c r="H234" s="371">
        <v>0.1</v>
      </c>
      <c r="I234" s="371">
        <v>0.2</v>
      </c>
      <c r="J234" s="371">
        <v>0.3</v>
      </c>
      <c r="K234" s="371">
        <v>0.4</v>
      </c>
      <c r="L234" s="371">
        <v>0.6</v>
      </c>
      <c r="M234" s="371">
        <v>0.75</v>
      </c>
      <c r="N234" s="371">
        <v>0.81</v>
      </c>
      <c r="O234" s="371">
        <v>0.86</v>
      </c>
      <c r="P234" s="371">
        <v>0.9</v>
      </c>
      <c r="Q234" s="371">
        <v>0.95</v>
      </c>
      <c r="R234" s="371">
        <v>1</v>
      </c>
      <c r="S234" s="371">
        <f t="shared" ref="S234:X235" si="79">R234</f>
        <v>1</v>
      </c>
      <c r="T234" s="371">
        <f t="shared" si="79"/>
        <v>1</v>
      </c>
      <c r="U234" s="371">
        <f t="shared" si="79"/>
        <v>1</v>
      </c>
      <c r="V234" s="371">
        <f t="shared" si="79"/>
        <v>1</v>
      </c>
      <c r="W234" s="371">
        <f t="shared" si="79"/>
        <v>1</v>
      </c>
      <c r="X234" s="371">
        <v>2</v>
      </c>
      <c r="Y234" s="381">
        <v>1000</v>
      </c>
    </row>
    <row r="235" spans="1:26" x14ac:dyDescent="0.2">
      <c r="A235" s="378" t="s">
        <v>34</v>
      </c>
      <c r="B235" s="372">
        <v>0</v>
      </c>
      <c r="C235" s="373">
        <v>55</v>
      </c>
      <c r="D235" s="373">
        <v>168</v>
      </c>
      <c r="E235" s="373">
        <v>157</v>
      </c>
      <c r="F235" s="373">
        <v>148</v>
      </c>
      <c r="G235" s="373">
        <v>125</v>
      </c>
      <c r="H235" s="373">
        <v>135</v>
      </c>
      <c r="I235" s="373">
        <v>141</v>
      </c>
      <c r="J235" s="373">
        <v>142</v>
      </c>
      <c r="K235" s="373">
        <v>141</v>
      </c>
      <c r="L235" s="373">
        <v>133</v>
      </c>
      <c r="M235" s="373">
        <v>127</v>
      </c>
      <c r="N235" s="373">
        <v>128</v>
      </c>
      <c r="O235" s="373">
        <v>60</v>
      </c>
      <c r="P235" s="373">
        <v>15</v>
      </c>
      <c r="Q235" s="373">
        <v>0</v>
      </c>
      <c r="R235" s="373">
        <v>0</v>
      </c>
      <c r="S235" s="373">
        <f t="shared" si="79"/>
        <v>0</v>
      </c>
      <c r="T235" s="373">
        <f t="shared" si="79"/>
        <v>0</v>
      </c>
      <c r="U235" s="373">
        <f t="shared" si="79"/>
        <v>0</v>
      </c>
      <c r="V235" s="373">
        <f t="shared" si="79"/>
        <v>0</v>
      </c>
      <c r="W235" s="373">
        <f t="shared" si="79"/>
        <v>0</v>
      </c>
      <c r="X235" s="373">
        <f t="shared" si="79"/>
        <v>0</v>
      </c>
      <c r="Y235" s="382">
        <v>0</v>
      </c>
    </row>
    <row r="236" spans="1:26" ht="13.5" thickBot="1" x14ac:dyDescent="0.25">
      <c r="A236" s="379" t="s">
        <v>116</v>
      </c>
      <c r="B236" s="374">
        <f t="shared" ref="B236:X236" si="80">(C235+B235)*(C234-B234)/2</f>
        <v>0.27500000000000002</v>
      </c>
      <c r="C236" s="375">
        <f t="shared" si="80"/>
        <v>1.115</v>
      </c>
      <c r="D236" s="375">
        <f t="shared" si="80"/>
        <v>1.6249999999999998</v>
      </c>
      <c r="E236" s="375">
        <f t="shared" si="80"/>
        <v>1.5250000000000004</v>
      </c>
      <c r="F236" s="375">
        <f t="shared" si="80"/>
        <v>1.3650000000000002</v>
      </c>
      <c r="G236" s="375">
        <f t="shared" si="80"/>
        <v>6.5</v>
      </c>
      <c r="H236" s="375">
        <f t="shared" si="80"/>
        <v>13.8</v>
      </c>
      <c r="I236" s="375">
        <f t="shared" si="80"/>
        <v>14.149999999999997</v>
      </c>
      <c r="J236" s="375">
        <f t="shared" si="80"/>
        <v>14.150000000000004</v>
      </c>
      <c r="K236" s="375">
        <f t="shared" si="80"/>
        <v>27.399999999999995</v>
      </c>
      <c r="L236" s="375">
        <f t="shared" si="80"/>
        <v>19.500000000000004</v>
      </c>
      <c r="M236" s="375">
        <f t="shared" si="80"/>
        <v>7.6500000000000066</v>
      </c>
      <c r="N236" s="375">
        <f t="shared" si="80"/>
        <v>4.699999999999994</v>
      </c>
      <c r="O236" s="375">
        <f t="shared" si="80"/>
        <v>1.5000000000000013</v>
      </c>
      <c r="P236" s="375">
        <f t="shared" si="80"/>
        <v>0.3749999999999995</v>
      </c>
      <c r="Q236" s="375">
        <f t="shared" si="80"/>
        <v>0</v>
      </c>
      <c r="R236" s="375">
        <f t="shared" si="80"/>
        <v>0</v>
      </c>
      <c r="S236" s="375">
        <f t="shared" si="80"/>
        <v>0</v>
      </c>
      <c r="T236" s="375">
        <f t="shared" si="80"/>
        <v>0</v>
      </c>
      <c r="U236" s="375">
        <f t="shared" si="80"/>
        <v>0</v>
      </c>
      <c r="V236" s="375">
        <f t="shared" si="80"/>
        <v>0</v>
      </c>
      <c r="W236" s="375">
        <f t="shared" si="80"/>
        <v>0</v>
      </c>
      <c r="X236" s="375">
        <f t="shared" si="80"/>
        <v>0</v>
      </c>
      <c r="Y236" s="369"/>
    </row>
    <row r="237" spans="1:26" ht="13.5" thickBot="1" x14ac:dyDescent="0.25">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row>
    <row r="238" spans="1:26" ht="13.5" thickBot="1" x14ac:dyDescent="0.25">
      <c r="A238" s="361" t="s">
        <v>392</v>
      </c>
      <c r="B238" s="359">
        <f>ROW(A238)</f>
        <v>238</v>
      </c>
      <c r="C238" s="363" t="s">
        <v>115</v>
      </c>
      <c r="D238" s="353">
        <f>SUM(B241:Y241)</f>
        <v>158.04815100000002</v>
      </c>
      <c r="E238" s="363" t="s">
        <v>114</v>
      </c>
      <c r="F238" s="354">
        <v>198</v>
      </c>
      <c r="G238" s="363" t="s">
        <v>56</v>
      </c>
      <c r="H238" s="64">
        <v>0.19450000000000001</v>
      </c>
      <c r="I238" s="363" t="s">
        <v>271</v>
      </c>
      <c r="J238" s="355">
        <f>H238-L238</f>
        <v>8.9600000000000013E-2</v>
      </c>
      <c r="K238" s="363" t="s">
        <v>272</v>
      </c>
      <c r="L238" s="64">
        <v>0.10489999999999999</v>
      </c>
      <c r="M238" s="363" t="s">
        <v>57</v>
      </c>
      <c r="N238" s="65">
        <v>93</v>
      </c>
      <c r="O238" s="363" t="s">
        <v>59</v>
      </c>
      <c r="P238" s="65">
        <v>93</v>
      </c>
      <c r="Q238" s="363" t="s">
        <v>60</v>
      </c>
      <c r="R238" s="65">
        <v>187</v>
      </c>
      <c r="S238" s="363" t="s">
        <v>61</v>
      </c>
      <c r="T238" s="65">
        <v>29</v>
      </c>
      <c r="U238" s="363" t="s">
        <v>54</v>
      </c>
      <c r="V238" s="66" t="s">
        <v>119</v>
      </c>
      <c r="W238" s="463" t="s">
        <v>394</v>
      </c>
      <c r="X238" s="465">
        <v>1.27</v>
      </c>
      <c r="Y238" s="463" t="s">
        <v>393</v>
      </c>
      <c r="Z238" s="358">
        <v>14</v>
      </c>
    </row>
    <row r="239" spans="1:26" x14ac:dyDescent="0.2">
      <c r="A239" s="362" t="s">
        <v>33</v>
      </c>
      <c r="B239" s="471">
        <v>0</v>
      </c>
      <c r="C239" s="471">
        <v>4.0000000000000001E-3</v>
      </c>
      <c r="D239" s="471">
        <v>2.1999999999999999E-2</v>
      </c>
      <c r="E239" s="471">
        <v>3.9E-2</v>
      </c>
      <c r="F239" s="471">
        <v>0.122</v>
      </c>
      <c r="G239" s="471">
        <v>0.23599999999999999</v>
      </c>
      <c r="H239" s="471">
        <v>0.58899999999999997</v>
      </c>
      <c r="I239" s="471">
        <v>0.80100000000000005</v>
      </c>
      <c r="J239" s="471">
        <v>1.0680000000000001</v>
      </c>
      <c r="K239" s="471">
        <v>1.1180000000000001</v>
      </c>
      <c r="L239" s="471">
        <v>1.145</v>
      </c>
      <c r="M239" s="471">
        <v>1.1739999999999999</v>
      </c>
      <c r="N239" s="471">
        <v>1.2110000000000001</v>
      </c>
      <c r="O239" s="471">
        <v>1.2470000000000001</v>
      </c>
      <c r="P239" s="471">
        <v>1.2989999999999999</v>
      </c>
      <c r="Q239" s="371">
        <v>2</v>
      </c>
      <c r="R239" s="371">
        <v>2</v>
      </c>
      <c r="S239" s="371">
        <f t="shared" ref="S239:X240" si="81">R239</f>
        <v>2</v>
      </c>
      <c r="T239" s="371">
        <f t="shared" si="81"/>
        <v>2</v>
      </c>
      <c r="U239" s="371">
        <f t="shared" si="81"/>
        <v>2</v>
      </c>
      <c r="V239" s="371">
        <f t="shared" si="81"/>
        <v>2</v>
      </c>
      <c r="W239" s="371">
        <f t="shared" si="81"/>
        <v>2</v>
      </c>
      <c r="X239" s="371">
        <f t="shared" si="81"/>
        <v>2</v>
      </c>
      <c r="Y239" s="381">
        <v>1000</v>
      </c>
    </row>
    <row r="240" spans="1:26" x14ac:dyDescent="0.2">
      <c r="A240" s="378" t="s">
        <v>34</v>
      </c>
      <c r="B240" s="471">
        <v>0</v>
      </c>
      <c r="C240" s="471">
        <v>15.683</v>
      </c>
      <c r="D240" s="471">
        <v>170.834</v>
      </c>
      <c r="E240" s="471">
        <v>116.877</v>
      </c>
      <c r="F240" s="471">
        <v>142.642</v>
      </c>
      <c r="G240" s="471">
        <v>149.73699999999999</v>
      </c>
      <c r="H240" s="471">
        <v>142.642</v>
      </c>
      <c r="I240" s="471">
        <v>131.25299999999999</v>
      </c>
      <c r="J240" s="471">
        <v>122.104</v>
      </c>
      <c r="K240" s="471">
        <v>107.91500000000001</v>
      </c>
      <c r="L240" s="471">
        <v>78.415999999999997</v>
      </c>
      <c r="M240" s="471">
        <v>43.128999999999998</v>
      </c>
      <c r="N240" s="471">
        <v>21.471</v>
      </c>
      <c r="O240" s="471">
        <v>8.7750000000000004</v>
      </c>
      <c r="P240" s="471">
        <v>0</v>
      </c>
      <c r="Q240" s="373">
        <v>0</v>
      </c>
      <c r="R240" s="373">
        <v>0</v>
      </c>
      <c r="S240" s="373">
        <f t="shared" si="81"/>
        <v>0</v>
      </c>
      <c r="T240" s="373">
        <f t="shared" si="81"/>
        <v>0</v>
      </c>
      <c r="U240" s="373">
        <f t="shared" si="81"/>
        <v>0</v>
      </c>
      <c r="V240" s="373">
        <f t="shared" si="81"/>
        <v>0</v>
      </c>
      <c r="W240" s="373">
        <f t="shared" si="81"/>
        <v>0</v>
      </c>
      <c r="X240" s="373">
        <f t="shared" si="81"/>
        <v>0</v>
      </c>
      <c r="Y240" s="382">
        <v>0</v>
      </c>
    </row>
    <row r="241" spans="1:26" ht="13.5" thickBot="1" x14ac:dyDescent="0.25">
      <c r="A241" s="379" t="s">
        <v>116</v>
      </c>
      <c r="B241" s="374">
        <f t="shared" ref="B241:X241" si="82">(C240+B240)*(C239-B239)/2</f>
        <v>3.1365999999999998E-2</v>
      </c>
      <c r="C241" s="375">
        <f t="shared" si="82"/>
        <v>1.6786529999999997</v>
      </c>
      <c r="D241" s="375">
        <f t="shared" si="82"/>
        <v>2.4455435000000003</v>
      </c>
      <c r="E241" s="375">
        <f t="shared" si="82"/>
        <v>10.770038499999998</v>
      </c>
      <c r="F241" s="375">
        <f t="shared" si="82"/>
        <v>16.665603000000001</v>
      </c>
      <c r="G241" s="375">
        <f t="shared" si="82"/>
        <v>51.604893500000003</v>
      </c>
      <c r="H241" s="375">
        <f t="shared" si="82"/>
        <v>29.03287000000001</v>
      </c>
      <c r="I241" s="375">
        <f t="shared" si="82"/>
        <v>33.823159499999996</v>
      </c>
      <c r="J241" s="375">
        <f t="shared" si="82"/>
        <v>5.7504750000000051</v>
      </c>
      <c r="K241" s="375">
        <f t="shared" si="82"/>
        <v>2.5154684999999923</v>
      </c>
      <c r="L241" s="375">
        <f t="shared" si="82"/>
        <v>1.7624024999999945</v>
      </c>
      <c r="M241" s="375">
        <f t="shared" si="82"/>
        <v>1.1951000000000045</v>
      </c>
      <c r="N241" s="375">
        <f t="shared" si="82"/>
        <v>0.54442800000000058</v>
      </c>
      <c r="O241" s="375">
        <f t="shared" si="82"/>
        <v>0.22814999999999924</v>
      </c>
      <c r="P241" s="375">
        <f t="shared" si="82"/>
        <v>0</v>
      </c>
      <c r="Q241" s="375">
        <f t="shared" si="82"/>
        <v>0</v>
      </c>
      <c r="R241" s="375">
        <f t="shared" si="82"/>
        <v>0</v>
      </c>
      <c r="S241" s="375">
        <f t="shared" si="82"/>
        <v>0</v>
      </c>
      <c r="T241" s="375">
        <f t="shared" si="82"/>
        <v>0</v>
      </c>
      <c r="U241" s="375">
        <f t="shared" si="82"/>
        <v>0</v>
      </c>
      <c r="V241" s="375">
        <f t="shared" si="82"/>
        <v>0</v>
      </c>
      <c r="W241" s="375">
        <f t="shared" si="82"/>
        <v>0</v>
      </c>
      <c r="X241" s="375">
        <f t="shared" si="82"/>
        <v>0</v>
      </c>
      <c r="Y241" s="369"/>
    </row>
    <row r="242" spans="1:26" ht="13.5" thickBot="1" x14ac:dyDescent="0.25">
      <c r="A242" s="6" t="s">
        <v>374</v>
      </c>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row>
    <row r="243" spans="1:26" ht="13.5" thickBot="1" x14ac:dyDescent="0.25">
      <c r="A243" s="361" t="s">
        <v>379</v>
      </c>
      <c r="B243" s="359">
        <f>ROW(A243)</f>
        <v>243</v>
      </c>
      <c r="C243" s="363" t="s">
        <v>115</v>
      </c>
      <c r="D243" s="353">
        <f>SUM(B246:Y246)</f>
        <v>136.75235000000001</v>
      </c>
      <c r="E243" s="363" t="s">
        <v>114</v>
      </c>
      <c r="F243" s="354">
        <f>D243/g/J243</f>
        <v>152.35078513616639</v>
      </c>
      <c r="G243" s="363" t="s">
        <v>56</v>
      </c>
      <c r="H243" s="64">
        <v>0.21249999999999999</v>
      </c>
      <c r="I243" s="363" t="s">
        <v>271</v>
      </c>
      <c r="J243" s="355">
        <f>H243-L243</f>
        <v>9.1499999999999998E-2</v>
      </c>
      <c r="K243" s="363" t="s">
        <v>272</v>
      </c>
      <c r="L243" s="64">
        <v>0.121</v>
      </c>
      <c r="M243" s="363" t="s">
        <v>57</v>
      </c>
      <c r="N243" s="65">
        <v>63</v>
      </c>
      <c r="O243" s="363" t="s">
        <v>59</v>
      </c>
      <c r="P243" s="65">
        <v>114</v>
      </c>
      <c r="Q243" s="363" t="s">
        <v>60</v>
      </c>
      <c r="R243" s="65">
        <v>127</v>
      </c>
      <c r="S243" s="363" t="s">
        <v>61</v>
      </c>
      <c r="T243" s="65">
        <v>38</v>
      </c>
      <c r="U243" s="363" t="s">
        <v>54</v>
      </c>
      <c r="V243" s="66" t="s">
        <v>119</v>
      </c>
      <c r="W243" s="463" t="s">
        <v>394</v>
      </c>
      <c r="X243" s="465">
        <v>2.36</v>
      </c>
      <c r="Y243" s="463" t="s">
        <v>393</v>
      </c>
      <c r="Z243" s="358">
        <v>13</v>
      </c>
    </row>
    <row r="244" spans="1:26" x14ac:dyDescent="0.2">
      <c r="A244" s="362" t="s">
        <v>33</v>
      </c>
      <c r="B244" s="370">
        <v>0</v>
      </c>
      <c r="C244" s="371">
        <v>2.9000000000000001E-2</v>
      </c>
      <c r="D244" s="371">
        <v>4.5999999999999999E-2</v>
      </c>
      <c r="E244" s="371">
        <v>5.8000000000000003E-2</v>
      </c>
      <c r="F244" s="371">
        <v>8.4000000000000005E-2</v>
      </c>
      <c r="G244" s="371">
        <v>0.17100000000000001</v>
      </c>
      <c r="H244" s="371">
        <v>0.28000000000000003</v>
      </c>
      <c r="I244" s="371">
        <v>0.45500000000000002</v>
      </c>
      <c r="J244" s="371">
        <v>0.58599999999999997</v>
      </c>
      <c r="K244" s="371">
        <v>0.74099999999999999</v>
      </c>
      <c r="L244" s="371">
        <v>0.95199999999999996</v>
      </c>
      <c r="M244" s="371">
        <v>1.2170000000000001</v>
      </c>
      <c r="N244" s="371">
        <v>1.43</v>
      </c>
      <c r="O244" s="371">
        <v>1.6259999999999999</v>
      </c>
      <c r="P244" s="371">
        <v>1.8069999999999999</v>
      </c>
      <c r="Q244" s="371">
        <v>1.9590000000000001</v>
      </c>
      <c r="R244" s="371">
        <v>2.1040000000000001</v>
      </c>
      <c r="S244" s="371">
        <v>2.1680000000000001</v>
      </c>
      <c r="T244" s="371">
        <v>2.21</v>
      </c>
      <c r="U244" s="371">
        <v>2.2469999999999999</v>
      </c>
      <c r="V244" s="371">
        <v>2.3290000000000002</v>
      </c>
      <c r="W244" s="371">
        <f>2.4</f>
        <v>2.4</v>
      </c>
      <c r="X244" s="371">
        <f>W244</f>
        <v>2.4</v>
      </c>
      <c r="Y244" s="381">
        <v>1000</v>
      </c>
    </row>
    <row r="245" spans="1:26" x14ac:dyDescent="0.2">
      <c r="A245" s="378" t="s">
        <v>34</v>
      </c>
      <c r="B245" s="372">
        <v>0</v>
      </c>
      <c r="C245" s="373">
        <v>90.25</v>
      </c>
      <c r="D245" s="373">
        <v>69.17</v>
      </c>
      <c r="E245" s="373">
        <v>59.947000000000003</v>
      </c>
      <c r="F245" s="373">
        <v>47.167000000000002</v>
      </c>
      <c r="G245" s="373">
        <v>57.970999999999997</v>
      </c>
      <c r="H245" s="373">
        <v>59.552</v>
      </c>
      <c r="I245" s="373">
        <v>61.265000000000001</v>
      </c>
      <c r="J245" s="373">
        <v>61.66</v>
      </c>
      <c r="K245" s="373">
        <v>62.319000000000003</v>
      </c>
      <c r="L245" s="373">
        <v>63.768000000000001</v>
      </c>
      <c r="M245" s="373">
        <v>64.69</v>
      </c>
      <c r="N245" s="373">
        <v>63.768000000000001</v>
      </c>
      <c r="O245" s="373">
        <v>61.265000000000001</v>
      </c>
      <c r="P245" s="373">
        <v>58.103000000000002</v>
      </c>
      <c r="Q245" s="373">
        <v>53.887</v>
      </c>
      <c r="R245" s="373">
        <v>48.353000000000002</v>
      </c>
      <c r="S245" s="373">
        <v>47.563000000000002</v>
      </c>
      <c r="T245" s="373">
        <v>44.005000000000003</v>
      </c>
      <c r="U245" s="373">
        <v>37.286000000000001</v>
      </c>
      <c r="V245" s="373">
        <v>22.265999999999998</v>
      </c>
      <c r="W245" s="373">
        <v>0</v>
      </c>
      <c r="X245" s="373">
        <f>W245</f>
        <v>0</v>
      </c>
      <c r="Y245" s="382">
        <v>0</v>
      </c>
    </row>
    <row r="246" spans="1:26" ht="13.5" thickBot="1" x14ac:dyDescent="0.25">
      <c r="A246" s="379" t="s">
        <v>116</v>
      </c>
      <c r="B246" s="374">
        <f t="shared" ref="B246:X246" si="83">(C245+B245)*(C244-B244)/2</f>
        <v>1.3086250000000001</v>
      </c>
      <c r="C246" s="375">
        <f t="shared" si="83"/>
        <v>1.35507</v>
      </c>
      <c r="D246" s="375">
        <f t="shared" si="83"/>
        <v>0.77470200000000033</v>
      </c>
      <c r="E246" s="375">
        <f t="shared" si="83"/>
        <v>1.3924820000000002</v>
      </c>
      <c r="F246" s="375">
        <f t="shared" si="83"/>
        <v>4.5735030000000005</v>
      </c>
      <c r="G246" s="375">
        <f t="shared" si="83"/>
        <v>6.4050035000000003</v>
      </c>
      <c r="H246" s="375">
        <f t="shared" si="83"/>
        <v>10.5714875</v>
      </c>
      <c r="I246" s="375">
        <f t="shared" si="83"/>
        <v>8.0515874999999966</v>
      </c>
      <c r="J246" s="375">
        <f t="shared" si="83"/>
        <v>9.6083725000000015</v>
      </c>
      <c r="K246" s="375">
        <f t="shared" si="83"/>
        <v>13.302178499999998</v>
      </c>
      <c r="L246" s="375">
        <f t="shared" si="83"/>
        <v>17.020685000000007</v>
      </c>
      <c r="M246" s="375">
        <f t="shared" si="83"/>
        <v>13.68077699999999</v>
      </c>
      <c r="N246" s="375">
        <f t="shared" si="83"/>
        <v>12.253233999999997</v>
      </c>
      <c r="O246" s="375">
        <f t="shared" si="83"/>
        <v>10.802804000000002</v>
      </c>
      <c r="P246" s="375">
        <f t="shared" si="83"/>
        <v>8.5112400000000079</v>
      </c>
      <c r="Q246" s="375">
        <f t="shared" si="83"/>
        <v>7.4124000000000017</v>
      </c>
      <c r="R246" s="375">
        <f t="shared" si="83"/>
        <v>3.0693120000000027</v>
      </c>
      <c r="S246" s="375">
        <f t="shared" si="83"/>
        <v>1.9229279999999918</v>
      </c>
      <c r="T246" s="375">
        <f t="shared" si="83"/>
        <v>1.5038834999999968</v>
      </c>
      <c r="U246" s="375">
        <f t="shared" si="83"/>
        <v>2.4416320000000087</v>
      </c>
      <c r="V246" s="375">
        <f t="shared" si="83"/>
        <v>0.7904429999999969</v>
      </c>
      <c r="W246" s="375">
        <f t="shared" si="83"/>
        <v>0</v>
      </c>
      <c r="X246" s="375">
        <f t="shared" si="83"/>
        <v>0</v>
      </c>
      <c r="Y246" s="369"/>
    </row>
    <row r="247" spans="1:26" ht="13.5" thickBot="1" x14ac:dyDescent="0.25">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row>
    <row r="248" spans="1:26" ht="13.5" thickBot="1" x14ac:dyDescent="0.25">
      <c r="A248" s="361" t="s">
        <v>380</v>
      </c>
      <c r="B248" s="359">
        <f>ROW(A248)</f>
        <v>248</v>
      </c>
      <c r="C248" s="363" t="s">
        <v>115</v>
      </c>
      <c r="D248" s="353">
        <f>SUM(B251:Y251)</f>
        <v>127.06944999999999</v>
      </c>
      <c r="E248" s="363" t="s">
        <v>114</v>
      </c>
      <c r="F248" s="354">
        <f>D248/g/J248</f>
        <v>180.65624835614466</v>
      </c>
      <c r="G248" s="363" t="s">
        <v>56</v>
      </c>
      <c r="H248" s="64">
        <v>0.18840000000000001</v>
      </c>
      <c r="I248" s="363" t="s">
        <v>271</v>
      </c>
      <c r="J248" s="355">
        <f>H248-L248</f>
        <v>7.1700000000000014E-2</v>
      </c>
      <c r="K248" s="363" t="s">
        <v>272</v>
      </c>
      <c r="L248" s="64">
        <v>0.1167</v>
      </c>
      <c r="M248" s="363" t="s">
        <v>57</v>
      </c>
      <c r="N248" s="65">
        <v>63</v>
      </c>
      <c r="O248" s="363" t="s">
        <v>59</v>
      </c>
      <c r="P248" s="65">
        <v>114</v>
      </c>
      <c r="Q248" s="363" t="s">
        <v>60</v>
      </c>
      <c r="R248" s="65">
        <v>127</v>
      </c>
      <c r="S248" s="363" t="s">
        <v>61</v>
      </c>
      <c r="T248" s="65">
        <v>38</v>
      </c>
      <c r="U248" s="363" t="s">
        <v>54</v>
      </c>
      <c r="V248" s="66" t="s">
        <v>119</v>
      </c>
      <c r="W248" s="463" t="s">
        <v>394</v>
      </c>
      <c r="X248" s="465">
        <v>0.69</v>
      </c>
      <c r="Y248" s="463" t="s">
        <v>393</v>
      </c>
      <c r="Z248" s="358">
        <v>12</v>
      </c>
    </row>
    <row r="249" spans="1:26" x14ac:dyDescent="0.2">
      <c r="A249" s="362" t="s">
        <v>33</v>
      </c>
      <c r="B249" s="370">
        <v>0</v>
      </c>
      <c r="C249" s="371">
        <v>0.01</v>
      </c>
      <c r="D249" s="371">
        <v>0.02</v>
      </c>
      <c r="E249" s="371">
        <v>0.05</v>
      </c>
      <c r="F249" s="371">
        <v>0.1</v>
      </c>
      <c r="G249" s="371">
        <v>0.2</v>
      </c>
      <c r="H249" s="371">
        <v>0.3</v>
      </c>
      <c r="I249" s="371">
        <v>0.35</v>
      </c>
      <c r="J249" s="371">
        <v>0.4</v>
      </c>
      <c r="K249" s="371">
        <v>0.45</v>
      </c>
      <c r="L249" s="371">
        <v>0.5</v>
      </c>
      <c r="M249" s="371">
        <v>0.55000000000000004</v>
      </c>
      <c r="N249" s="371">
        <v>0.6</v>
      </c>
      <c r="O249" s="371">
        <v>0.61</v>
      </c>
      <c r="P249" s="371">
        <v>0.63</v>
      </c>
      <c r="Q249" s="371">
        <v>0.64</v>
      </c>
      <c r="R249" s="371">
        <v>0.65</v>
      </c>
      <c r="S249" s="371">
        <v>0.67</v>
      </c>
      <c r="T249" s="371">
        <v>0.68</v>
      </c>
      <c r="U249" s="371">
        <v>0.69</v>
      </c>
      <c r="V249" s="371">
        <f t="shared" ref="V249:X250" si="84">U249</f>
        <v>0.69</v>
      </c>
      <c r="W249" s="371">
        <f t="shared" si="84"/>
        <v>0.69</v>
      </c>
      <c r="X249" s="371">
        <v>2</v>
      </c>
      <c r="Y249" s="381">
        <v>1000</v>
      </c>
    </row>
    <row r="250" spans="1:26" x14ac:dyDescent="0.2">
      <c r="A250" s="378" t="s">
        <v>34</v>
      </c>
      <c r="B250" s="372">
        <v>0</v>
      </c>
      <c r="C250" s="373">
        <v>108.72</v>
      </c>
      <c r="D250" s="373">
        <v>131.19</v>
      </c>
      <c r="E250" s="373">
        <v>153.13999999999999</v>
      </c>
      <c r="F250" s="373">
        <v>168.97</v>
      </c>
      <c r="G250" s="373">
        <v>189.92</v>
      </c>
      <c r="H250" s="373">
        <v>199.95</v>
      </c>
      <c r="I250" s="373">
        <v>203.59</v>
      </c>
      <c r="J250" s="373">
        <v>205.03</v>
      </c>
      <c r="K250" s="373">
        <v>202.6</v>
      </c>
      <c r="L250" s="373">
        <v>203.06</v>
      </c>
      <c r="M250" s="373">
        <v>199.34</v>
      </c>
      <c r="N250" s="373">
        <v>194.71</v>
      </c>
      <c r="O250" s="373">
        <v>194.1</v>
      </c>
      <c r="P250" s="373">
        <v>193.49</v>
      </c>
      <c r="Q250" s="373">
        <v>193.68</v>
      </c>
      <c r="R250" s="373">
        <v>202.91</v>
      </c>
      <c r="S250" s="373">
        <v>163.38999999999999</v>
      </c>
      <c r="T250" s="373">
        <v>80.44</v>
      </c>
      <c r="U250" s="373">
        <v>0</v>
      </c>
      <c r="V250" s="373">
        <f t="shared" si="84"/>
        <v>0</v>
      </c>
      <c r="W250" s="373">
        <f t="shared" si="84"/>
        <v>0</v>
      </c>
      <c r="X250" s="373">
        <f t="shared" si="84"/>
        <v>0</v>
      </c>
      <c r="Y250" s="382">
        <v>0</v>
      </c>
    </row>
    <row r="251" spans="1:26" ht="13.5" thickBot="1" x14ac:dyDescent="0.25">
      <c r="A251" s="379" t="s">
        <v>116</v>
      </c>
      <c r="B251" s="374">
        <f t="shared" ref="B251:X251" si="85">(C250+B250)*(C249-B249)/2</f>
        <v>0.54359999999999997</v>
      </c>
      <c r="C251" s="375">
        <f t="shared" si="85"/>
        <v>1.1995500000000001</v>
      </c>
      <c r="D251" s="375">
        <f t="shared" si="85"/>
        <v>4.2649499999999998</v>
      </c>
      <c r="E251" s="375">
        <f t="shared" si="85"/>
        <v>8.0527500000000014</v>
      </c>
      <c r="F251" s="375">
        <f t="shared" si="85"/>
        <v>17.944500000000001</v>
      </c>
      <c r="G251" s="375">
        <f t="shared" si="85"/>
        <v>19.493499999999997</v>
      </c>
      <c r="H251" s="375">
        <f t="shared" si="85"/>
        <v>10.088499999999996</v>
      </c>
      <c r="I251" s="375">
        <f t="shared" si="85"/>
        <v>10.215500000000009</v>
      </c>
      <c r="J251" s="375">
        <f t="shared" si="85"/>
        <v>10.190749999999998</v>
      </c>
      <c r="K251" s="375">
        <f t="shared" si="85"/>
        <v>10.141499999999997</v>
      </c>
      <c r="L251" s="375">
        <f t="shared" si="85"/>
        <v>10.060000000000008</v>
      </c>
      <c r="M251" s="375">
        <f t="shared" si="85"/>
        <v>9.8512499999999878</v>
      </c>
      <c r="N251" s="375">
        <f t="shared" si="85"/>
        <v>1.9440500000000018</v>
      </c>
      <c r="O251" s="375">
        <f t="shared" si="85"/>
        <v>3.8759000000000037</v>
      </c>
      <c r="P251" s="375">
        <f t="shared" si="85"/>
        <v>1.9358500000000018</v>
      </c>
      <c r="Q251" s="375">
        <f t="shared" si="85"/>
        <v>1.982950000000002</v>
      </c>
      <c r="R251" s="375">
        <f t="shared" si="85"/>
        <v>3.6630000000000029</v>
      </c>
      <c r="S251" s="375">
        <f t="shared" si="85"/>
        <v>1.2191500000000011</v>
      </c>
      <c r="T251" s="375">
        <f t="shared" si="85"/>
        <v>0.40219999999999589</v>
      </c>
      <c r="U251" s="375">
        <f t="shared" si="85"/>
        <v>0</v>
      </c>
      <c r="V251" s="375">
        <f t="shared" si="85"/>
        <v>0</v>
      </c>
      <c r="W251" s="375">
        <f t="shared" si="85"/>
        <v>0</v>
      </c>
      <c r="X251" s="375">
        <f t="shared" si="85"/>
        <v>0</v>
      </c>
      <c r="Y251" s="369"/>
    </row>
    <row r="252" spans="1:26" ht="13.5" thickBot="1" x14ac:dyDescent="0.25">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row>
    <row r="253" spans="1:26" ht="13.5" thickBot="1" x14ac:dyDescent="0.25">
      <c r="A253" s="361" t="s">
        <v>388</v>
      </c>
      <c r="B253" s="359">
        <f>ROW(A253)</f>
        <v>253</v>
      </c>
      <c r="C253" s="363" t="s">
        <v>115</v>
      </c>
      <c r="D253" s="353">
        <f>SUM(B256:Y256)</f>
        <v>142.7236025</v>
      </c>
      <c r="E253" s="363" t="s">
        <v>114</v>
      </c>
      <c r="F253" s="354">
        <v>208</v>
      </c>
      <c r="G253" s="363" t="s">
        <v>56</v>
      </c>
      <c r="H253" s="64">
        <v>0.19700000000000001</v>
      </c>
      <c r="I253" s="363" t="s">
        <v>271</v>
      </c>
      <c r="J253" s="355">
        <f>H253-L253</f>
        <v>7.0000000000000007E-2</v>
      </c>
      <c r="K253" s="363" t="s">
        <v>272</v>
      </c>
      <c r="L253" s="64">
        <v>0.127</v>
      </c>
      <c r="M253" s="363" t="s">
        <v>57</v>
      </c>
      <c r="N253" s="65">
        <v>63</v>
      </c>
      <c r="O253" s="363" t="s">
        <v>59</v>
      </c>
      <c r="P253" s="65">
        <v>114</v>
      </c>
      <c r="Q253" s="363" t="s">
        <v>60</v>
      </c>
      <c r="R253" s="65">
        <v>127</v>
      </c>
      <c r="S253" s="363" t="s">
        <v>61</v>
      </c>
      <c r="T253" s="65">
        <v>38</v>
      </c>
      <c r="U253" s="363" t="s">
        <v>54</v>
      </c>
      <c r="V253" s="66" t="s">
        <v>119</v>
      </c>
      <c r="W253" s="463" t="s">
        <v>394</v>
      </c>
      <c r="X253" s="465">
        <v>1.8</v>
      </c>
      <c r="Y253" s="463" t="s">
        <v>393</v>
      </c>
      <c r="Z253" s="358">
        <v>15</v>
      </c>
    </row>
    <row r="254" spans="1:26" x14ac:dyDescent="0.2">
      <c r="A254" s="362" t="s">
        <v>33</v>
      </c>
      <c r="B254" s="370">
        <v>0</v>
      </c>
      <c r="C254" s="370">
        <v>6.0000000000000001E-3</v>
      </c>
      <c r="D254" s="371">
        <v>1.7999999999999999E-2</v>
      </c>
      <c r="E254" s="371">
        <v>3.5999999999999997E-2</v>
      </c>
      <c r="F254" s="371">
        <v>4.7E-2</v>
      </c>
      <c r="G254" s="371">
        <v>8.4000000000000005E-2</v>
      </c>
      <c r="H254" s="371">
        <v>0.13500000000000001</v>
      </c>
      <c r="I254" s="371">
        <v>0.23799999999999999</v>
      </c>
      <c r="J254" s="371">
        <v>0.438</v>
      </c>
      <c r="K254" s="371">
        <v>0.63</v>
      </c>
      <c r="L254" s="371">
        <v>0.85899999999999999</v>
      </c>
      <c r="M254" s="371">
        <v>1.2829999999999999</v>
      </c>
      <c r="N254" s="371">
        <v>1.4470000000000001</v>
      </c>
      <c r="O254" s="371">
        <v>1.643</v>
      </c>
      <c r="P254" s="371">
        <v>1.7130000000000001</v>
      </c>
      <c r="Q254" s="371">
        <v>1.7430000000000001</v>
      </c>
      <c r="R254" s="371">
        <v>1.79</v>
      </c>
      <c r="S254" s="371">
        <v>1.8180000000000001</v>
      </c>
      <c r="T254" s="371">
        <v>1.8520000000000001</v>
      </c>
      <c r="U254" s="371">
        <v>2</v>
      </c>
      <c r="V254" s="371">
        <f t="shared" ref="V254:X255" si="86">U254</f>
        <v>2</v>
      </c>
      <c r="W254" s="371">
        <f t="shared" si="86"/>
        <v>2</v>
      </c>
      <c r="X254" s="371">
        <f t="shared" si="86"/>
        <v>2</v>
      </c>
      <c r="Y254" s="381">
        <v>1000</v>
      </c>
    </row>
    <row r="255" spans="1:26" x14ac:dyDescent="0.2">
      <c r="A255" s="378" t="s">
        <v>34</v>
      </c>
      <c r="B255" s="372">
        <v>0</v>
      </c>
      <c r="C255" s="372">
        <v>104.068</v>
      </c>
      <c r="D255" s="373">
        <v>137.928</v>
      </c>
      <c r="E255" s="373">
        <v>70.706999999999994</v>
      </c>
      <c r="F255" s="373">
        <v>62.241999999999997</v>
      </c>
      <c r="G255" s="373">
        <v>73.694000000000003</v>
      </c>
      <c r="H255" s="373">
        <v>78.176000000000002</v>
      </c>
      <c r="I255" s="373">
        <v>84.150999999999996</v>
      </c>
      <c r="J255" s="373">
        <v>89.628</v>
      </c>
      <c r="K255" s="373">
        <v>88.135000000000005</v>
      </c>
      <c r="L255" s="373">
        <v>87.138999999999996</v>
      </c>
      <c r="M255" s="373">
        <v>77.180000000000007</v>
      </c>
      <c r="N255" s="373">
        <v>70.706999999999994</v>
      </c>
      <c r="O255" s="373">
        <v>67.718999999999994</v>
      </c>
      <c r="P255" s="373">
        <v>64.233999999999995</v>
      </c>
      <c r="Q255" s="373">
        <v>54.274999999999999</v>
      </c>
      <c r="R255" s="373">
        <v>18.423999999999999</v>
      </c>
      <c r="S255" s="373">
        <v>6.4729999999999999</v>
      </c>
      <c r="T255" s="373">
        <v>0</v>
      </c>
      <c r="U255" s="373">
        <v>0</v>
      </c>
      <c r="V255" s="373">
        <f t="shared" si="86"/>
        <v>0</v>
      </c>
      <c r="W255" s="373">
        <f t="shared" si="86"/>
        <v>0</v>
      </c>
      <c r="X255" s="373">
        <f t="shared" si="86"/>
        <v>0</v>
      </c>
      <c r="Y255" s="382">
        <v>0</v>
      </c>
    </row>
    <row r="256" spans="1:26" ht="13.5" thickBot="1" x14ac:dyDescent="0.25">
      <c r="A256" s="379" t="s">
        <v>116</v>
      </c>
      <c r="B256" s="374">
        <f t="shared" ref="B256:X256" si="87">(C255+B255)*(C254-B254)/2</f>
        <v>0.31220399999999998</v>
      </c>
      <c r="C256" s="375">
        <f t="shared" si="87"/>
        <v>1.4519759999999997</v>
      </c>
      <c r="D256" s="375">
        <f t="shared" si="87"/>
        <v>1.8777149999999998</v>
      </c>
      <c r="E256" s="375">
        <f t="shared" si="87"/>
        <v>0.73121950000000013</v>
      </c>
      <c r="F256" s="375">
        <f t="shared" si="87"/>
        <v>2.5148160000000006</v>
      </c>
      <c r="G256" s="375">
        <f t="shared" si="87"/>
        <v>3.8726850000000006</v>
      </c>
      <c r="H256" s="375">
        <f t="shared" si="87"/>
        <v>8.3598404999999989</v>
      </c>
      <c r="I256" s="375">
        <f t="shared" si="87"/>
        <v>17.3779</v>
      </c>
      <c r="J256" s="375">
        <f t="shared" si="87"/>
        <v>17.065248</v>
      </c>
      <c r="K256" s="375">
        <f t="shared" si="87"/>
        <v>20.068873</v>
      </c>
      <c r="L256" s="375">
        <f t="shared" si="87"/>
        <v>34.835628</v>
      </c>
      <c r="M256" s="375">
        <f t="shared" si="87"/>
        <v>12.126734000000011</v>
      </c>
      <c r="N256" s="375">
        <f t="shared" si="87"/>
        <v>13.565747999999996</v>
      </c>
      <c r="O256" s="375">
        <f t="shared" si="87"/>
        <v>4.6183550000000029</v>
      </c>
      <c r="P256" s="375">
        <f t="shared" si="87"/>
        <v>1.7776350000000014</v>
      </c>
      <c r="Q256" s="375">
        <f t="shared" si="87"/>
        <v>1.7084264999999974</v>
      </c>
      <c r="R256" s="375">
        <f t="shared" si="87"/>
        <v>0.34855800000000031</v>
      </c>
      <c r="S256" s="375">
        <f t="shared" si="87"/>
        <v>0.1100410000000001</v>
      </c>
      <c r="T256" s="375">
        <f t="shared" si="87"/>
        <v>0</v>
      </c>
      <c r="U256" s="375">
        <f t="shared" si="87"/>
        <v>0</v>
      </c>
      <c r="V256" s="375">
        <f t="shared" si="87"/>
        <v>0</v>
      </c>
      <c r="W256" s="375">
        <f t="shared" si="87"/>
        <v>0</v>
      </c>
      <c r="X256" s="375">
        <f t="shared" si="87"/>
        <v>0</v>
      </c>
      <c r="Y256" s="369"/>
    </row>
    <row r="257" spans="1:25" ht="13.5" thickBot="1" x14ac:dyDescent="0.25">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row>
    <row r="258" spans="1:25" ht="13.5" thickBot="1" x14ac:dyDescent="0.25">
      <c r="A258" s="361" t="s">
        <v>274</v>
      </c>
      <c r="B258" s="360">
        <f>ROW(A258)</f>
        <v>258</v>
      </c>
      <c r="C258" s="363" t="s">
        <v>115</v>
      </c>
      <c r="D258" s="353">
        <f>SUM(B261:Y261)</f>
        <v>33.500000000000007</v>
      </c>
      <c r="E258" s="363" t="s">
        <v>114</v>
      </c>
      <c r="F258" s="354">
        <f>D258/g/J258</f>
        <v>68.297655453618759</v>
      </c>
      <c r="G258" s="363" t="s">
        <v>56</v>
      </c>
      <c r="H258" s="64">
        <v>8.5000000000000006E-2</v>
      </c>
      <c r="I258" s="363" t="s">
        <v>271</v>
      </c>
      <c r="J258" s="355">
        <f>H258-L258</f>
        <v>0.05</v>
      </c>
      <c r="K258" s="363" t="s">
        <v>272</v>
      </c>
      <c r="L258" s="64">
        <v>3.5000000000000003E-2</v>
      </c>
      <c r="M258" s="363" t="s">
        <v>57</v>
      </c>
      <c r="N258" s="65">
        <v>20</v>
      </c>
      <c r="O258" s="363" t="s">
        <v>59</v>
      </c>
      <c r="P258" s="65">
        <v>20</v>
      </c>
      <c r="Q258" s="363" t="s">
        <v>60</v>
      </c>
      <c r="R258" s="65">
        <v>39</v>
      </c>
      <c r="S258" s="363" t="s">
        <v>61</v>
      </c>
      <c r="T258" s="65">
        <v>39</v>
      </c>
      <c r="U258" s="363" t="s">
        <v>54</v>
      </c>
      <c r="V258" s="66" t="s">
        <v>401</v>
      </c>
      <c r="W258" s="12"/>
      <c r="X258" s="12"/>
      <c r="Y258" s="12"/>
    </row>
    <row r="259" spans="1:25" x14ac:dyDescent="0.2">
      <c r="A259" s="362" t="s">
        <v>33</v>
      </c>
      <c r="B259" s="370">
        <v>0</v>
      </c>
      <c r="C259" s="371">
        <v>0.05</v>
      </c>
      <c r="D259" s="371">
        <v>0.1</v>
      </c>
      <c r="E259" s="371">
        <v>0.25</v>
      </c>
      <c r="F259" s="371">
        <v>0.3</v>
      </c>
      <c r="G259" s="371">
        <v>0.35</v>
      </c>
      <c r="H259" s="371">
        <v>0.45</v>
      </c>
      <c r="I259" s="371">
        <v>0.55000000000000004</v>
      </c>
      <c r="J259" s="371">
        <v>3.5</v>
      </c>
      <c r="K259" s="371">
        <v>3.6</v>
      </c>
      <c r="L259" s="371">
        <v>3.6</v>
      </c>
      <c r="M259" s="371">
        <v>3.6</v>
      </c>
      <c r="N259" s="371">
        <v>3.6</v>
      </c>
      <c r="O259" s="371">
        <v>3.6</v>
      </c>
      <c r="P259" s="371">
        <v>3.6</v>
      </c>
      <c r="Q259" s="371">
        <v>3.6</v>
      </c>
      <c r="R259" s="371">
        <v>3.6</v>
      </c>
      <c r="S259" s="371">
        <v>3.6</v>
      </c>
      <c r="T259" s="371">
        <v>3.6</v>
      </c>
      <c r="U259" s="371">
        <v>3.6</v>
      </c>
      <c r="V259" s="371">
        <v>3.6</v>
      </c>
      <c r="W259" s="371">
        <v>3.6</v>
      </c>
      <c r="X259" s="371">
        <v>3.6</v>
      </c>
      <c r="Y259" s="381">
        <v>1000</v>
      </c>
    </row>
    <row r="260" spans="1:25" x14ac:dyDescent="0.2">
      <c r="A260" s="378" t="s">
        <v>34</v>
      </c>
      <c r="B260" s="372">
        <v>0</v>
      </c>
      <c r="C260" s="373">
        <v>68</v>
      </c>
      <c r="D260" s="373">
        <v>62</v>
      </c>
      <c r="E260" s="373">
        <v>60</v>
      </c>
      <c r="F260" s="373">
        <v>39</v>
      </c>
      <c r="G260" s="373">
        <v>38</v>
      </c>
      <c r="H260" s="373">
        <v>9</v>
      </c>
      <c r="I260" s="373">
        <v>5</v>
      </c>
      <c r="J260" s="373">
        <v>3</v>
      </c>
      <c r="K260" s="373">
        <v>0</v>
      </c>
      <c r="L260" s="373">
        <v>0</v>
      </c>
      <c r="M260" s="373">
        <v>0</v>
      </c>
      <c r="N260" s="373">
        <v>0</v>
      </c>
      <c r="O260" s="373">
        <v>0</v>
      </c>
      <c r="P260" s="373">
        <v>0</v>
      </c>
      <c r="Q260" s="373">
        <v>0</v>
      </c>
      <c r="R260" s="373">
        <v>0</v>
      </c>
      <c r="S260" s="373">
        <v>0</v>
      </c>
      <c r="T260" s="373">
        <v>0</v>
      </c>
      <c r="U260" s="373">
        <v>0</v>
      </c>
      <c r="V260" s="373">
        <v>0</v>
      </c>
      <c r="W260" s="373">
        <v>0</v>
      </c>
      <c r="X260" s="373">
        <v>0</v>
      </c>
      <c r="Y260" s="382">
        <v>0</v>
      </c>
    </row>
    <row r="261" spans="1:25" ht="13.5" thickBot="1" x14ac:dyDescent="0.25">
      <c r="A261" s="379" t="s">
        <v>116</v>
      </c>
      <c r="B261" s="374">
        <f t="shared" ref="B261:V261" si="88">(C260+B260)*(C259-B259)/2</f>
        <v>1.7000000000000002</v>
      </c>
      <c r="C261" s="375">
        <f t="shared" si="88"/>
        <v>3.25</v>
      </c>
      <c r="D261" s="375">
        <f t="shared" si="88"/>
        <v>9.15</v>
      </c>
      <c r="E261" s="375">
        <f t="shared" si="88"/>
        <v>2.4749999999999996</v>
      </c>
      <c r="F261" s="375">
        <f t="shared" si="88"/>
        <v>1.9249999999999996</v>
      </c>
      <c r="G261" s="375">
        <f t="shared" si="88"/>
        <v>2.350000000000001</v>
      </c>
      <c r="H261" s="375">
        <f t="shared" si="88"/>
        <v>0.70000000000000018</v>
      </c>
      <c r="I261" s="375">
        <f t="shared" si="88"/>
        <v>11.8</v>
      </c>
      <c r="J261" s="375">
        <f t="shared" si="88"/>
        <v>0.15000000000000013</v>
      </c>
      <c r="K261" s="375">
        <f t="shared" si="88"/>
        <v>0</v>
      </c>
      <c r="L261" s="375">
        <f t="shared" si="88"/>
        <v>0</v>
      </c>
      <c r="M261" s="375">
        <f t="shared" si="88"/>
        <v>0</v>
      </c>
      <c r="N261" s="375">
        <f t="shared" si="88"/>
        <v>0</v>
      </c>
      <c r="O261" s="375">
        <f t="shared" si="88"/>
        <v>0</v>
      </c>
      <c r="P261" s="375">
        <f t="shared" si="88"/>
        <v>0</v>
      </c>
      <c r="Q261" s="375">
        <f t="shared" si="88"/>
        <v>0</v>
      </c>
      <c r="R261" s="375">
        <f t="shared" si="88"/>
        <v>0</v>
      </c>
      <c r="S261" s="375">
        <f t="shared" si="88"/>
        <v>0</v>
      </c>
      <c r="T261" s="375">
        <f t="shared" si="88"/>
        <v>0</v>
      </c>
      <c r="U261" s="375">
        <f t="shared" si="88"/>
        <v>0</v>
      </c>
      <c r="V261" s="375">
        <f t="shared" si="88"/>
        <v>0</v>
      </c>
      <c r="W261" s="375">
        <f>(X260+W260)*(X259-W259)/2</f>
        <v>0</v>
      </c>
      <c r="X261" s="375">
        <f>(Y260+X260)*(Y259-X259)/2</f>
        <v>0</v>
      </c>
      <c r="Y261" s="369"/>
    </row>
    <row r="262" spans="1:25" ht="13.5" thickBot="1" x14ac:dyDescent="0.25">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row>
    <row r="263" spans="1:25" ht="13.5" thickBot="1" x14ac:dyDescent="0.25">
      <c r="A263" s="361" t="s">
        <v>275</v>
      </c>
      <c r="B263" s="359">
        <f>ROW(A263)</f>
        <v>263</v>
      </c>
      <c r="C263" s="363" t="s">
        <v>115</v>
      </c>
      <c r="D263" s="353">
        <f>SUM(B266:Y266)</f>
        <v>145.46</v>
      </c>
      <c r="E263" s="363" t="s">
        <v>114</v>
      </c>
      <c r="F263" s="354">
        <f>D263/g/J263</f>
        <v>211.82466870540264</v>
      </c>
      <c r="G263" s="363" t="s">
        <v>56</v>
      </c>
      <c r="H263" s="64">
        <v>0.22</v>
      </c>
      <c r="I263" s="363" t="s">
        <v>271</v>
      </c>
      <c r="J263" s="355">
        <f>H263-L263</f>
        <v>7.0000000000000007E-2</v>
      </c>
      <c r="K263" s="363" t="s">
        <v>272</v>
      </c>
      <c r="L263" s="64">
        <v>0.15</v>
      </c>
      <c r="M263" s="363" t="s">
        <v>57</v>
      </c>
      <c r="N263" s="65">
        <v>50</v>
      </c>
      <c r="O263" s="363" t="s">
        <v>59</v>
      </c>
      <c r="P263" s="65">
        <v>55</v>
      </c>
      <c r="Q263" s="363" t="s">
        <v>60</v>
      </c>
      <c r="R263" s="65">
        <v>76</v>
      </c>
      <c r="S263" s="363" t="s">
        <v>61</v>
      </c>
      <c r="T263" s="65">
        <v>40</v>
      </c>
      <c r="U263" s="363" t="s">
        <v>54</v>
      </c>
      <c r="V263" s="66" t="s">
        <v>401</v>
      </c>
      <c r="W263" s="12"/>
      <c r="X263" s="12"/>
      <c r="Y263" s="12"/>
    </row>
    <row r="264" spans="1:25" x14ac:dyDescent="0.2">
      <c r="A264" s="362" t="s">
        <v>33</v>
      </c>
      <c r="B264" s="370">
        <v>0</v>
      </c>
      <c r="C264" s="371">
        <v>0.02</v>
      </c>
      <c r="D264" s="371">
        <v>0.04</v>
      </c>
      <c r="E264" s="371">
        <v>0.05</v>
      </c>
      <c r="F264" s="371">
        <v>0.06</v>
      </c>
      <c r="G264" s="371">
        <v>0.94</v>
      </c>
      <c r="H264" s="377">
        <v>0.94200000000000006</v>
      </c>
      <c r="I264" s="371">
        <v>0.95</v>
      </c>
      <c r="J264" s="371">
        <v>0.95</v>
      </c>
      <c r="K264" s="371">
        <v>0.95</v>
      </c>
      <c r="L264" s="371">
        <v>0.95</v>
      </c>
      <c r="M264" s="371">
        <v>0.95</v>
      </c>
      <c r="N264" s="371">
        <v>0.95</v>
      </c>
      <c r="O264" s="371">
        <v>0.95</v>
      </c>
      <c r="P264" s="371">
        <v>0.95</v>
      </c>
      <c r="Q264" s="371">
        <v>0.95</v>
      </c>
      <c r="R264" s="371">
        <v>0.95</v>
      </c>
      <c r="S264" s="371">
        <v>0.95</v>
      </c>
      <c r="T264" s="371">
        <v>0.95</v>
      </c>
      <c r="U264" s="371">
        <v>0.95</v>
      </c>
      <c r="V264" s="371">
        <v>0.95</v>
      </c>
      <c r="W264" s="371">
        <v>0.95</v>
      </c>
      <c r="X264" s="371">
        <v>2</v>
      </c>
      <c r="Y264" s="381">
        <v>1000</v>
      </c>
    </row>
    <row r="265" spans="1:25" x14ac:dyDescent="0.2">
      <c r="A265" s="378" t="s">
        <v>34</v>
      </c>
      <c r="B265" s="372">
        <v>0</v>
      </c>
      <c r="C265" s="373">
        <v>320</v>
      </c>
      <c r="D265" s="373">
        <v>170</v>
      </c>
      <c r="E265" s="373">
        <v>205</v>
      </c>
      <c r="F265" s="373">
        <v>217</v>
      </c>
      <c r="G265" s="373">
        <v>85</v>
      </c>
      <c r="H265" s="373">
        <v>82</v>
      </c>
      <c r="I265" s="373">
        <v>0</v>
      </c>
      <c r="J265" s="373">
        <v>0</v>
      </c>
      <c r="K265" s="373">
        <v>0</v>
      </c>
      <c r="L265" s="373">
        <v>0</v>
      </c>
      <c r="M265" s="373">
        <v>0</v>
      </c>
      <c r="N265" s="373">
        <v>0</v>
      </c>
      <c r="O265" s="373">
        <v>0</v>
      </c>
      <c r="P265" s="373">
        <v>0</v>
      </c>
      <c r="Q265" s="373">
        <v>0</v>
      </c>
      <c r="R265" s="373">
        <v>0</v>
      </c>
      <c r="S265" s="373">
        <v>0</v>
      </c>
      <c r="T265" s="373">
        <v>0</v>
      </c>
      <c r="U265" s="373">
        <v>0</v>
      </c>
      <c r="V265" s="373">
        <v>0</v>
      </c>
      <c r="W265" s="373">
        <v>0</v>
      </c>
      <c r="X265" s="373">
        <v>0</v>
      </c>
      <c r="Y265" s="382">
        <v>0</v>
      </c>
    </row>
    <row r="266" spans="1:25" ht="13.5" thickBot="1" x14ac:dyDescent="0.25">
      <c r="A266" s="379" t="s">
        <v>116</v>
      </c>
      <c r="B266" s="374">
        <f t="shared" ref="B266:H266" si="89">(C265+B265)*(C264-B264)/2</f>
        <v>3.2</v>
      </c>
      <c r="C266" s="375">
        <f t="shared" si="89"/>
        <v>4.9000000000000004</v>
      </c>
      <c r="D266" s="375">
        <f t="shared" si="89"/>
        <v>1.8750000000000004</v>
      </c>
      <c r="E266" s="375">
        <f t="shared" si="89"/>
        <v>2.109999999999999</v>
      </c>
      <c r="F266" s="375">
        <f t="shared" si="89"/>
        <v>132.88</v>
      </c>
      <c r="G266" s="375">
        <f t="shared" si="89"/>
        <v>0.16700000000000942</v>
      </c>
      <c r="H266" s="375">
        <f t="shared" si="89"/>
        <v>0.32799999999999574</v>
      </c>
      <c r="I266" s="375">
        <f t="shared" ref="I266:V266" si="90">(J265+I265)*(J264-I264)/2</f>
        <v>0</v>
      </c>
      <c r="J266" s="375">
        <f>(K265+J265)*(K264-J264)/2</f>
        <v>0</v>
      </c>
      <c r="K266" s="375">
        <f t="shared" si="90"/>
        <v>0</v>
      </c>
      <c r="L266" s="375">
        <f t="shared" si="90"/>
        <v>0</v>
      </c>
      <c r="M266" s="375">
        <f t="shared" si="90"/>
        <v>0</v>
      </c>
      <c r="N266" s="375">
        <f t="shared" si="90"/>
        <v>0</v>
      </c>
      <c r="O266" s="375">
        <f t="shared" si="90"/>
        <v>0</v>
      </c>
      <c r="P266" s="375">
        <f t="shared" si="90"/>
        <v>0</v>
      </c>
      <c r="Q266" s="375">
        <f t="shared" si="90"/>
        <v>0</v>
      </c>
      <c r="R266" s="375">
        <f t="shared" si="90"/>
        <v>0</v>
      </c>
      <c r="S266" s="375">
        <f>(T265+S265)*(T264-S264)/2</f>
        <v>0</v>
      </c>
      <c r="T266" s="375">
        <f t="shared" si="90"/>
        <v>0</v>
      </c>
      <c r="U266" s="375">
        <f t="shared" si="90"/>
        <v>0</v>
      </c>
      <c r="V266" s="375">
        <f t="shared" si="90"/>
        <v>0</v>
      </c>
      <c r="W266" s="375">
        <f>(X265+W265)*(X264-W264)/2</f>
        <v>0</v>
      </c>
      <c r="X266" s="375">
        <f>(Y265+X265)*(Y264-X264)/2</f>
        <v>0</v>
      </c>
      <c r="Y266" s="369"/>
    </row>
    <row r="267" spans="1:25" x14ac:dyDescent="0.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row>
    <row r="268" spans="1:25" ht="13.5" thickBot="1" x14ac:dyDescent="0.25">
      <c r="A268" s="6" t="s">
        <v>313</v>
      </c>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row>
    <row r="269" spans="1:25" ht="13.5" thickBot="1" x14ac:dyDescent="0.25">
      <c r="A269" s="361" t="s">
        <v>35</v>
      </c>
      <c r="B269" s="359">
        <f>ROW(A269)</f>
        <v>269</v>
      </c>
      <c r="C269" s="363" t="s">
        <v>115</v>
      </c>
      <c r="D269" s="353">
        <f>SUM(B272:Y272)</f>
        <v>1071.5999999999999</v>
      </c>
      <c r="E269" s="363" t="s">
        <v>114</v>
      </c>
      <c r="F269" s="354">
        <f>D269/g/J269</f>
        <v>163.03802090465106</v>
      </c>
      <c r="G269" s="363" t="s">
        <v>56</v>
      </c>
      <c r="H269" s="64">
        <v>2.02</v>
      </c>
      <c r="I269" s="363" t="s">
        <v>271</v>
      </c>
      <c r="J269" s="355">
        <f>H269-L269</f>
        <v>0.66999999999999993</v>
      </c>
      <c r="K269" s="363" t="s">
        <v>272</v>
      </c>
      <c r="L269" s="64">
        <v>1.35</v>
      </c>
      <c r="M269" s="363" t="s">
        <v>57</v>
      </c>
      <c r="N269" s="65">
        <v>154</v>
      </c>
      <c r="O269" s="363" t="s">
        <v>59</v>
      </c>
      <c r="P269" s="65">
        <v>168</v>
      </c>
      <c r="Q269" s="363" t="s">
        <v>60</v>
      </c>
      <c r="R269" s="65">
        <v>230</v>
      </c>
      <c r="S269" s="363" t="s">
        <v>61</v>
      </c>
      <c r="T269" s="65">
        <v>67</v>
      </c>
      <c r="U269" s="363" t="s">
        <v>54</v>
      </c>
      <c r="V269" s="66" t="s">
        <v>118</v>
      </c>
      <c r="W269" s="12"/>
      <c r="X269" s="12"/>
      <c r="Y269" s="12"/>
    </row>
    <row r="270" spans="1:25" x14ac:dyDescent="0.2">
      <c r="A270" s="362" t="s">
        <v>33</v>
      </c>
      <c r="B270" s="370">
        <v>0</v>
      </c>
      <c r="C270" s="371">
        <v>0.02</v>
      </c>
      <c r="D270" s="371">
        <v>0.05</v>
      </c>
      <c r="E270" s="371">
        <v>0.06</v>
      </c>
      <c r="F270" s="371">
        <v>0.09</v>
      </c>
      <c r="G270" s="371">
        <v>0.17</v>
      </c>
      <c r="H270" s="371">
        <v>0.2</v>
      </c>
      <c r="I270" s="371">
        <v>0.38</v>
      </c>
      <c r="J270" s="371">
        <v>0.75</v>
      </c>
      <c r="K270" s="371">
        <v>0.79</v>
      </c>
      <c r="L270" s="371">
        <v>1.1299999999999999</v>
      </c>
      <c r="M270" s="371">
        <v>1.2</v>
      </c>
      <c r="N270" s="371">
        <v>1.5</v>
      </c>
      <c r="O270" s="371">
        <v>1.54</v>
      </c>
      <c r="P270" s="371">
        <v>1.65</v>
      </c>
      <c r="Q270" s="371">
        <v>1.7</v>
      </c>
      <c r="R270" s="371">
        <v>1.79</v>
      </c>
      <c r="S270" s="371">
        <v>1.79</v>
      </c>
      <c r="T270" s="371">
        <v>1.79</v>
      </c>
      <c r="U270" s="371">
        <v>1.79</v>
      </c>
      <c r="V270" s="371">
        <v>1.79</v>
      </c>
      <c r="W270" s="371">
        <v>1.79</v>
      </c>
      <c r="X270" s="371">
        <v>1.79</v>
      </c>
      <c r="Y270" s="381">
        <v>1000</v>
      </c>
    </row>
    <row r="271" spans="1:25" x14ac:dyDescent="0.2">
      <c r="A271" s="378" t="s">
        <v>34</v>
      </c>
      <c r="B271" s="372">
        <v>0</v>
      </c>
      <c r="C271" s="373">
        <v>20</v>
      </c>
      <c r="D271" s="373">
        <v>870</v>
      </c>
      <c r="E271" s="373">
        <v>530</v>
      </c>
      <c r="F271" s="373">
        <v>790</v>
      </c>
      <c r="G271" s="373">
        <v>700</v>
      </c>
      <c r="H271" s="373">
        <v>710</v>
      </c>
      <c r="I271" s="373">
        <v>670</v>
      </c>
      <c r="J271" s="373">
        <v>630</v>
      </c>
      <c r="K271" s="373">
        <v>630</v>
      </c>
      <c r="L271" s="373">
        <v>710</v>
      </c>
      <c r="M271" s="373">
        <v>690</v>
      </c>
      <c r="N271" s="373">
        <v>690</v>
      </c>
      <c r="O271" s="373">
        <v>660</v>
      </c>
      <c r="P271" s="373">
        <v>160</v>
      </c>
      <c r="Q271" s="373">
        <v>10</v>
      </c>
      <c r="R271" s="373">
        <v>0</v>
      </c>
      <c r="S271" s="373">
        <v>0</v>
      </c>
      <c r="T271" s="373">
        <v>0</v>
      </c>
      <c r="U271" s="373">
        <v>0</v>
      </c>
      <c r="V271" s="373">
        <v>0</v>
      </c>
      <c r="W271" s="373">
        <v>0</v>
      </c>
      <c r="X271" s="373">
        <v>0</v>
      </c>
      <c r="Y271" s="382">
        <v>0</v>
      </c>
    </row>
    <row r="272" spans="1:25" ht="13.5" thickBot="1" x14ac:dyDescent="0.25">
      <c r="A272" s="379" t="s">
        <v>116</v>
      </c>
      <c r="B272" s="374">
        <f t="shared" ref="B272:Q272" si="91">(C271+B271)*(C270-B270)/2</f>
        <v>0.2</v>
      </c>
      <c r="C272" s="375">
        <f t="shared" si="91"/>
        <v>13.350000000000001</v>
      </c>
      <c r="D272" s="375">
        <f t="shared" si="91"/>
        <v>6.9999999999999964</v>
      </c>
      <c r="E272" s="375">
        <f t="shared" si="91"/>
        <v>19.8</v>
      </c>
      <c r="F272" s="375">
        <f t="shared" si="91"/>
        <v>59.600000000000009</v>
      </c>
      <c r="G272" s="375">
        <f t="shared" si="91"/>
        <v>21.15</v>
      </c>
      <c r="H272" s="375">
        <f t="shared" si="91"/>
        <v>124.19999999999999</v>
      </c>
      <c r="I272" s="375">
        <f t="shared" si="91"/>
        <v>240.5</v>
      </c>
      <c r="J272" s="375">
        <f>(K271+J271)*(K270-J270)/2</f>
        <v>25.200000000000024</v>
      </c>
      <c r="K272" s="375">
        <f t="shared" si="91"/>
        <v>227.7999999999999</v>
      </c>
      <c r="L272" s="375">
        <f t="shared" si="91"/>
        <v>49.000000000000043</v>
      </c>
      <c r="M272" s="375">
        <f t="shared" si="91"/>
        <v>207.00000000000003</v>
      </c>
      <c r="N272" s="375">
        <f t="shared" si="91"/>
        <v>27.000000000000025</v>
      </c>
      <c r="O272" s="375">
        <f t="shared" si="91"/>
        <v>45.099999999999952</v>
      </c>
      <c r="P272" s="375">
        <f t="shared" si="91"/>
        <v>4.2500000000000036</v>
      </c>
      <c r="Q272" s="375">
        <f t="shared" si="91"/>
        <v>0.4500000000000004</v>
      </c>
      <c r="R272" s="375">
        <f t="shared" ref="R272:X272" si="92">(S271+R271)*(S270-R270)/2</f>
        <v>0</v>
      </c>
      <c r="S272" s="375">
        <f t="shared" si="92"/>
        <v>0</v>
      </c>
      <c r="T272" s="375">
        <f t="shared" si="92"/>
        <v>0</v>
      </c>
      <c r="U272" s="375">
        <f t="shared" si="92"/>
        <v>0</v>
      </c>
      <c r="V272" s="375">
        <f t="shared" si="92"/>
        <v>0</v>
      </c>
      <c r="W272" s="375">
        <f t="shared" si="92"/>
        <v>0</v>
      </c>
      <c r="X272" s="375">
        <f t="shared" si="92"/>
        <v>0</v>
      </c>
      <c r="Y272" s="383"/>
    </row>
    <row r="273" spans="1:25" ht="13.5" thickBot="1" x14ac:dyDescent="0.25">
      <c r="S273" s="12"/>
      <c r="T273" s="12"/>
      <c r="U273" s="12"/>
      <c r="V273" s="12"/>
      <c r="W273" s="12"/>
      <c r="X273" s="12"/>
      <c r="Y273" s="12"/>
    </row>
    <row r="274" spans="1:25" ht="13.5" thickBot="1" x14ac:dyDescent="0.25">
      <c r="A274" s="361" t="s">
        <v>36</v>
      </c>
      <c r="B274" s="359">
        <f>ROW(A274)</f>
        <v>274</v>
      </c>
      <c r="C274" s="363" t="s">
        <v>115</v>
      </c>
      <c r="D274" s="353">
        <f>SUM(B277:Y277)</f>
        <v>2102.35</v>
      </c>
      <c r="E274" s="363" t="s">
        <v>114</v>
      </c>
      <c r="F274" s="354">
        <f>D274/g/J274</f>
        <v>174.23319493133766</v>
      </c>
      <c r="G274" s="363" t="s">
        <v>56</v>
      </c>
      <c r="H274" s="64">
        <v>3.7</v>
      </c>
      <c r="I274" s="363" t="s">
        <v>271</v>
      </c>
      <c r="J274" s="355">
        <f>H274-L274</f>
        <v>1.23</v>
      </c>
      <c r="K274" s="363" t="s">
        <v>272</v>
      </c>
      <c r="L274" s="64">
        <v>2.4700000000000002</v>
      </c>
      <c r="M274" s="363" t="s">
        <v>57</v>
      </c>
      <c r="N274" s="65">
        <v>151</v>
      </c>
      <c r="O274" s="363" t="s">
        <v>59</v>
      </c>
      <c r="P274" s="65">
        <v>171</v>
      </c>
      <c r="Q274" s="363" t="s">
        <v>60</v>
      </c>
      <c r="R274" s="65">
        <v>247</v>
      </c>
      <c r="S274" s="363" t="s">
        <v>61</v>
      </c>
      <c r="T274" s="65">
        <v>90</v>
      </c>
      <c r="U274" s="363" t="s">
        <v>54</v>
      </c>
      <c r="V274" s="66" t="s">
        <v>118</v>
      </c>
      <c r="W274" s="12"/>
      <c r="X274" s="12"/>
      <c r="Y274" s="12"/>
    </row>
    <row r="275" spans="1:25" x14ac:dyDescent="0.2">
      <c r="A275" s="362" t="s">
        <v>33</v>
      </c>
      <c r="B275" s="370">
        <v>0</v>
      </c>
      <c r="C275" s="371">
        <v>0.05</v>
      </c>
      <c r="D275" s="371">
        <v>0.1</v>
      </c>
      <c r="E275" s="371">
        <v>1</v>
      </c>
      <c r="F275" s="371">
        <v>1.35</v>
      </c>
      <c r="G275" s="371">
        <v>1.75</v>
      </c>
      <c r="H275" s="371">
        <v>2.15</v>
      </c>
      <c r="I275" s="371">
        <v>2.25</v>
      </c>
      <c r="J275" s="371">
        <v>2.48</v>
      </c>
      <c r="K275" s="371">
        <v>2.6</v>
      </c>
      <c r="L275" s="371">
        <v>2.8</v>
      </c>
      <c r="M275" s="371">
        <v>2.8</v>
      </c>
      <c r="N275" s="371">
        <v>2.8</v>
      </c>
      <c r="O275" s="371">
        <v>2.8</v>
      </c>
      <c r="P275" s="371">
        <v>2.8</v>
      </c>
      <c r="Q275" s="371">
        <v>2.8</v>
      </c>
      <c r="R275" s="371">
        <v>2.8</v>
      </c>
      <c r="S275" s="371">
        <v>2.8</v>
      </c>
      <c r="T275" s="371">
        <v>2.8</v>
      </c>
      <c r="U275" s="371">
        <v>2.8</v>
      </c>
      <c r="V275" s="371">
        <v>2.8</v>
      </c>
      <c r="W275" s="371">
        <v>2.8</v>
      </c>
      <c r="X275" s="371">
        <v>2.8</v>
      </c>
      <c r="Y275" s="381">
        <v>1000</v>
      </c>
    </row>
    <row r="276" spans="1:25" x14ac:dyDescent="0.2">
      <c r="A276" s="378" t="s">
        <v>34</v>
      </c>
      <c r="B276" s="372">
        <v>0</v>
      </c>
      <c r="C276" s="373">
        <v>860</v>
      </c>
      <c r="D276" s="373">
        <v>840</v>
      </c>
      <c r="E276" s="373">
        <v>840</v>
      </c>
      <c r="F276" s="373">
        <v>850</v>
      </c>
      <c r="G276" s="373">
        <v>900</v>
      </c>
      <c r="H276" s="373">
        <v>1050</v>
      </c>
      <c r="I276" s="373">
        <v>1020</v>
      </c>
      <c r="J276" s="373">
        <v>120</v>
      </c>
      <c r="K276" s="373">
        <v>30</v>
      </c>
      <c r="L276" s="373">
        <v>0</v>
      </c>
      <c r="M276" s="373">
        <v>0</v>
      </c>
      <c r="N276" s="373">
        <v>0</v>
      </c>
      <c r="O276" s="373">
        <v>0</v>
      </c>
      <c r="P276" s="373">
        <v>0</v>
      </c>
      <c r="Q276" s="373">
        <v>0</v>
      </c>
      <c r="R276" s="373">
        <v>0</v>
      </c>
      <c r="S276" s="373">
        <v>0</v>
      </c>
      <c r="T276" s="373">
        <v>0</v>
      </c>
      <c r="U276" s="373">
        <v>0</v>
      </c>
      <c r="V276" s="373">
        <v>0</v>
      </c>
      <c r="W276" s="373">
        <v>0</v>
      </c>
      <c r="X276" s="373">
        <v>0</v>
      </c>
      <c r="Y276" s="382">
        <v>0</v>
      </c>
    </row>
    <row r="277" spans="1:25" ht="13.5" thickBot="1" x14ac:dyDescent="0.25">
      <c r="A277" s="379" t="s">
        <v>116</v>
      </c>
      <c r="B277" s="374">
        <f t="shared" ref="B277:K277" si="93">(C276+B276)*(C275-B275)/2</f>
        <v>21.5</v>
      </c>
      <c r="C277" s="375">
        <f t="shared" si="93"/>
        <v>42.5</v>
      </c>
      <c r="D277" s="375">
        <f t="shared" si="93"/>
        <v>756</v>
      </c>
      <c r="E277" s="375">
        <f t="shared" si="93"/>
        <v>295.75000000000006</v>
      </c>
      <c r="F277" s="375">
        <f t="shared" si="93"/>
        <v>349.99999999999994</v>
      </c>
      <c r="G277" s="375">
        <f t="shared" si="93"/>
        <v>389.99999999999989</v>
      </c>
      <c r="H277" s="375">
        <f t="shared" si="93"/>
        <v>103.50000000000009</v>
      </c>
      <c r="I277" s="375">
        <f t="shared" si="93"/>
        <v>131.1</v>
      </c>
      <c r="J277" s="375">
        <f>(K276+J276)*(K275-J275)/2</f>
        <v>9.0000000000000071</v>
      </c>
      <c r="K277" s="375">
        <f t="shared" si="93"/>
        <v>2.999999999999996</v>
      </c>
      <c r="L277" s="375">
        <f t="shared" ref="L277:V277" si="94">(M276+L276)*(M275-L275)/2</f>
        <v>0</v>
      </c>
      <c r="M277" s="375">
        <f t="shared" si="94"/>
        <v>0</v>
      </c>
      <c r="N277" s="375">
        <f t="shared" si="94"/>
        <v>0</v>
      </c>
      <c r="O277" s="375">
        <f t="shared" si="94"/>
        <v>0</v>
      </c>
      <c r="P277" s="375">
        <f t="shared" si="94"/>
        <v>0</v>
      </c>
      <c r="Q277" s="375">
        <f t="shared" si="94"/>
        <v>0</v>
      </c>
      <c r="R277" s="375">
        <f t="shared" si="94"/>
        <v>0</v>
      </c>
      <c r="S277" s="375">
        <f>(T276+S276)*(T275-S275)/2</f>
        <v>0</v>
      </c>
      <c r="T277" s="375">
        <f t="shared" si="94"/>
        <v>0</v>
      </c>
      <c r="U277" s="375">
        <f t="shared" si="94"/>
        <v>0</v>
      </c>
      <c r="V277" s="375">
        <f t="shared" si="94"/>
        <v>0</v>
      </c>
      <c r="W277" s="375">
        <f>(X276+W276)*(X275-W275)/2</f>
        <v>0</v>
      </c>
      <c r="X277" s="375">
        <f>(Y276+X276)*(Y275-X275)/2</f>
        <v>0</v>
      </c>
      <c r="Y277" s="369"/>
    </row>
    <row r="278" spans="1:25" ht="13.5" thickBot="1" x14ac:dyDescent="0.25"/>
    <row r="279" spans="1:25" ht="13.5" thickBot="1" x14ac:dyDescent="0.25">
      <c r="A279" s="361" t="s">
        <v>549</v>
      </c>
      <c r="B279" s="359">
        <f>ROW(A279)</f>
        <v>279</v>
      </c>
      <c r="C279" s="363" t="s">
        <v>115</v>
      </c>
      <c r="D279" s="353">
        <f>SUM(B282:Y282)</f>
        <v>2058.37</v>
      </c>
      <c r="E279" s="363" t="s">
        <v>114</v>
      </c>
      <c r="F279" s="354">
        <f>D279/g/J279</f>
        <v>203.12066731598335</v>
      </c>
      <c r="G279" s="363" t="s">
        <v>56</v>
      </c>
      <c r="H279" s="64">
        <v>1.6850000000000001</v>
      </c>
      <c r="I279" s="363" t="s">
        <v>271</v>
      </c>
      <c r="J279" s="355">
        <f>H279-L279</f>
        <v>1.0329999999999999</v>
      </c>
      <c r="K279" s="363" t="s">
        <v>272</v>
      </c>
      <c r="L279" s="64">
        <v>0.65200000000000002</v>
      </c>
      <c r="M279" s="363" t="s">
        <v>57</v>
      </c>
      <c r="N279" s="65">
        <v>250</v>
      </c>
      <c r="O279" s="363" t="s">
        <v>59</v>
      </c>
      <c r="P279" s="65">
        <v>240</v>
      </c>
      <c r="Q279" s="363" t="s">
        <v>60</v>
      </c>
      <c r="R279" s="65">
        <v>488</v>
      </c>
      <c r="S279" s="363" t="s">
        <v>61</v>
      </c>
      <c r="T279" s="65">
        <v>54</v>
      </c>
      <c r="U279" s="363" t="s">
        <v>54</v>
      </c>
      <c r="V279" s="66" t="s">
        <v>118</v>
      </c>
      <c r="W279" s="12"/>
      <c r="X279" s="12"/>
      <c r="Y279" s="12"/>
    </row>
    <row r="280" spans="1:25" x14ac:dyDescent="0.2">
      <c r="A280" s="362" t="s">
        <v>33</v>
      </c>
      <c r="B280" s="370">
        <v>0</v>
      </c>
      <c r="C280" s="371">
        <v>0.05</v>
      </c>
      <c r="D280" s="371">
        <v>0.5</v>
      </c>
      <c r="E280" s="371">
        <v>1</v>
      </c>
      <c r="F280" s="371">
        <v>1.5</v>
      </c>
      <c r="G280" s="371">
        <v>2</v>
      </c>
      <c r="H280" s="371">
        <v>2.5</v>
      </c>
      <c r="I280" s="371">
        <v>2.97</v>
      </c>
      <c r="J280" s="371">
        <v>3.2</v>
      </c>
      <c r="K280" s="371">
        <v>3.47</v>
      </c>
      <c r="L280" s="371">
        <v>3.59</v>
      </c>
      <c r="M280" s="371">
        <v>3.59</v>
      </c>
      <c r="N280" s="371">
        <v>3.59</v>
      </c>
      <c r="O280" s="371">
        <v>3.59</v>
      </c>
      <c r="P280" s="371">
        <v>3.59</v>
      </c>
      <c r="Q280" s="371">
        <v>3.59</v>
      </c>
      <c r="R280" s="371">
        <v>3.59</v>
      </c>
      <c r="S280" s="371">
        <v>3.59</v>
      </c>
      <c r="T280" s="371">
        <v>3.59</v>
      </c>
      <c r="U280" s="371">
        <v>3.59</v>
      </c>
      <c r="V280" s="371">
        <v>3.59</v>
      </c>
      <c r="W280" s="371">
        <v>3.59</v>
      </c>
      <c r="X280" s="371">
        <v>3.59</v>
      </c>
      <c r="Y280" s="381">
        <v>1000</v>
      </c>
    </row>
    <row r="281" spans="1:25" x14ac:dyDescent="0.2">
      <c r="A281" s="378" t="s">
        <v>34</v>
      </c>
      <c r="B281" s="372">
        <v>0</v>
      </c>
      <c r="C281" s="373">
        <v>893</v>
      </c>
      <c r="D281" s="373">
        <v>798</v>
      </c>
      <c r="E281" s="373">
        <v>739</v>
      </c>
      <c r="F281" s="373">
        <v>659</v>
      </c>
      <c r="G281" s="373">
        <v>586</v>
      </c>
      <c r="H281" s="373">
        <v>513</v>
      </c>
      <c r="I281" s="373">
        <v>417</v>
      </c>
      <c r="J281" s="373">
        <v>225</v>
      </c>
      <c r="K281" s="373">
        <v>67</v>
      </c>
      <c r="L281" s="373">
        <v>0</v>
      </c>
      <c r="M281" s="373">
        <v>0</v>
      </c>
      <c r="N281" s="373">
        <v>0</v>
      </c>
      <c r="O281" s="373">
        <v>0</v>
      </c>
      <c r="P281" s="373">
        <v>0</v>
      </c>
      <c r="Q281" s="373">
        <v>0</v>
      </c>
      <c r="R281" s="373">
        <v>0</v>
      </c>
      <c r="S281" s="373">
        <v>0</v>
      </c>
      <c r="T281" s="373">
        <v>0</v>
      </c>
      <c r="U281" s="373">
        <v>0</v>
      </c>
      <c r="V281" s="373">
        <v>0</v>
      </c>
      <c r="W281" s="373">
        <v>0</v>
      </c>
      <c r="X281" s="373">
        <v>0</v>
      </c>
      <c r="Y281" s="382">
        <v>0</v>
      </c>
    </row>
    <row r="282" spans="1:25" ht="13.5" thickBot="1" x14ac:dyDescent="0.25">
      <c r="A282" s="380" t="s">
        <v>116</v>
      </c>
      <c r="B282" s="374">
        <f t="shared" ref="B282:V282" si="95">(C281+B281)*(C280-B280)/2</f>
        <v>22.325000000000003</v>
      </c>
      <c r="C282" s="375">
        <f t="shared" si="95"/>
        <v>380.47500000000002</v>
      </c>
      <c r="D282" s="375">
        <f t="shared" si="95"/>
        <v>384.25</v>
      </c>
      <c r="E282" s="375">
        <f t="shared" si="95"/>
        <v>349.5</v>
      </c>
      <c r="F282" s="375">
        <f t="shared" si="95"/>
        <v>311.25</v>
      </c>
      <c r="G282" s="375">
        <f t="shared" si="95"/>
        <v>274.75</v>
      </c>
      <c r="H282" s="375">
        <f t="shared" si="95"/>
        <v>218.5500000000001</v>
      </c>
      <c r="I282" s="375">
        <f t="shared" si="95"/>
        <v>73.83</v>
      </c>
      <c r="J282" s="375">
        <f>(K281+J281)*(K280-J280)/2</f>
        <v>39.42</v>
      </c>
      <c r="K282" s="375">
        <f t="shared" si="95"/>
        <v>4.0199999999999889</v>
      </c>
      <c r="L282" s="375">
        <f t="shared" si="95"/>
        <v>0</v>
      </c>
      <c r="M282" s="375">
        <f t="shared" si="95"/>
        <v>0</v>
      </c>
      <c r="N282" s="375">
        <f t="shared" si="95"/>
        <v>0</v>
      </c>
      <c r="O282" s="375">
        <f t="shared" si="95"/>
        <v>0</v>
      </c>
      <c r="P282" s="375">
        <f t="shared" si="95"/>
        <v>0</v>
      </c>
      <c r="Q282" s="375">
        <f t="shared" si="95"/>
        <v>0</v>
      </c>
      <c r="R282" s="375">
        <f t="shared" si="95"/>
        <v>0</v>
      </c>
      <c r="S282" s="375">
        <f>(T281+S281)*(T280-S280)/2</f>
        <v>0</v>
      </c>
      <c r="T282" s="375">
        <f t="shared" si="95"/>
        <v>0</v>
      </c>
      <c r="U282" s="375">
        <f t="shared" si="95"/>
        <v>0</v>
      </c>
      <c r="V282" s="375">
        <f t="shared" si="95"/>
        <v>0</v>
      </c>
      <c r="W282" s="375">
        <f>(X281+W281)*(X280-W280)/2</f>
        <v>0</v>
      </c>
      <c r="X282" s="375">
        <f>(Y281+X281)*(Y280-X280)/2</f>
        <v>0</v>
      </c>
      <c r="Y282" s="369"/>
    </row>
    <row r="283" spans="1:25" ht="13.5" thickBot="1" x14ac:dyDescent="0.25">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row>
    <row r="284" spans="1:25" ht="13.5" thickBot="1" x14ac:dyDescent="0.25">
      <c r="A284" s="361" t="s">
        <v>552</v>
      </c>
      <c r="B284" s="359">
        <f>ROW(A284)</f>
        <v>284</v>
      </c>
      <c r="C284" s="363" t="s">
        <v>115</v>
      </c>
      <c r="D284" s="353">
        <f>SUM(B287:Y287)</f>
        <v>1998.2428999999995</v>
      </c>
      <c r="E284" s="363" t="s">
        <v>114</v>
      </c>
      <c r="F284" s="354">
        <f>D284/g/J284</f>
        <v>207.42819268753979</v>
      </c>
      <c r="G284" s="363" t="s">
        <v>56</v>
      </c>
      <c r="H284" s="64">
        <v>1.6319999999999999</v>
      </c>
      <c r="I284" s="363" t="s">
        <v>271</v>
      </c>
      <c r="J284" s="355">
        <f>H284-L284</f>
        <v>0.98199999999999987</v>
      </c>
      <c r="K284" s="363" t="s">
        <v>272</v>
      </c>
      <c r="L284" s="64">
        <v>0.65</v>
      </c>
      <c r="M284" s="363" t="s">
        <v>57</v>
      </c>
      <c r="N284" s="65">
        <v>250</v>
      </c>
      <c r="O284" s="363" t="s">
        <v>59</v>
      </c>
      <c r="P284" s="65">
        <v>240</v>
      </c>
      <c r="Q284" s="363" t="s">
        <v>60</v>
      </c>
      <c r="R284" s="65">
        <v>488</v>
      </c>
      <c r="S284" s="363" t="s">
        <v>61</v>
      </c>
      <c r="T284" s="65">
        <v>54</v>
      </c>
      <c r="U284" s="363" t="s">
        <v>54</v>
      </c>
      <c r="V284" s="66" t="s">
        <v>118</v>
      </c>
      <c r="W284" s="12"/>
      <c r="X284" s="12"/>
      <c r="Y284" s="12"/>
    </row>
    <row r="285" spans="1:25" x14ac:dyDescent="0.2">
      <c r="A285" s="362" t="s">
        <v>33</v>
      </c>
      <c r="B285" s="373">
        <v>0</v>
      </c>
      <c r="C285" s="373">
        <v>0.01</v>
      </c>
      <c r="D285" s="373">
        <v>0.02</v>
      </c>
      <c r="E285" s="373">
        <v>0.05</v>
      </c>
      <c r="F285" s="373">
        <v>0.1</v>
      </c>
      <c r="G285" s="373">
        <v>0.2</v>
      </c>
      <c r="H285" s="373">
        <v>0.4</v>
      </c>
      <c r="I285" s="373">
        <v>0.8</v>
      </c>
      <c r="J285" s="373">
        <v>0.9</v>
      </c>
      <c r="K285" s="373">
        <v>1</v>
      </c>
      <c r="L285" s="373">
        <v>1.1000000000000001</v>
      </c>
      <c r="M285" s="373">
        <v>1.2</v>
      </c>
      <c r="N285" s="373">
        <v>1.3</v>
      </c>
      <c r="O285" s="373">
        <v>1.4</v>
      </c>
      <c r="P285" s="373">
        <v>1.55</v>
      </c>
      <c r="Q285" s="373">
        <v>1.6</v>
      </c>
      <c r="R285" s="373">
        <v>1.62</v>
      </c>
      <c r="S285" s="373">
        <v>1.64</v>
      </c>
      <c r="T285" s="373">
        <v>1.66</v>
      </c>
      <c r="U285" s="373">
        <v>1.67</v>
      </c>
      <c r="V285" s="373">
        <v>1.68</v>
      </c>
      <c r="W285" s="533">
        <v>1.69</v>
      </c>
      <c r="X285" s="533">
        <v>1.7</v>
      </c>
      <c r="Y285" s="381">
        <v>1000</v>
      </c>
    </row>
    <row r="286" spans="1:25" x14ac:dyDescent="0.2">
      <c r="A286" s="378" t="s">
        <v>34</v>
      </c>
      <c r="B286" s="373">
        <v>0</v>
      </c>
      <c r="C286" s="373">
        <v>492.25</v>
      </c>
      <c r="D286" s="373">
        <v>1369.46</v>
      </c>
      <c r="E286" s="373">
        <v>1236.01</v>
      </c>
      <c r="F286" s="373">
        <v>1279.47</v>
      </c>
      <c r="G286" s="373">
        <v>1311.39</v>
      </c>
      <c r="H286" s="373">
        <v>1331.39</v>
      </c>
      <c r="I286" s="373">
        <v>1304.08</v>
      </c>
      <c r="J286" s="373">
        <v>1280.6199999999999</v>
      </c>
      <c r="K286" s="373">
        <v>1249.8599999999999</v>
      </c>
      <c r="L286" s="373">
        <v>1217.94</v>
      </c>
      <c r="M286" s="373">
        <v>1199.29</v>
      </c>
      <c r="N286" s="373">
        <v>1158.77</v>
      </c>
      <c r="O286" s="373">
        <v>1112.56</v>
      </c>
      <c r="P286" s="373">
        <v>941.81</v>
      </c>
      <c r="Q286" s="373">
        <v>726.07</v>
      </c>
      <c r="R286" s="373">
        <v>559.16999999999996</v>
      </c>
      <c r="S286" s="373">
        <v>399.95</v>
      </c>
      <c r="T286" s="373">
        <v>317.66000000000003</v>
      </c>
      <c r="U286" s="373">
        <v>247.28</v>
      </c>
      <c r="V286" s="373">
        <v>198.05</v>
      </c>
      <c r="W286" s="373">
        <v>67.3</v>
      </c>
      <c r="X286" s="373">
        <v>0</v>
      </c>
      <c r="Y286" s="382">
        <v>0</v>
      </c>
    </row>
    <row r="287" spans="1:25" ht="13.5" thickBot="1" x14ac:dyDescent="0.25">
      <c r="A287" s="379" t="s">
        <v>116</v>
      </c>
      <c r="B287" s="374">
        <f t="shared" ref="B287:V287" si="96">(C286+B286)*(C285-B285)/2</f>
        <v>2.4612500000000002</v>
      </c>
      <c r="C287" s="375">
        <f t="shared" si="96"/>
        <v>9.3085500000000003</v>
      </c>
      <c r="D287" s="375">
        <f t="shared" si="96"/>
        <v>39.08205000000001</v>
      </c>
      <c r="E287" s="375">
        <f t="shared" si="96"/>
        <v>62.887</v>
      </c>
      <c r="F287" s="375">
        <f t="shared" si="96"/>
        <v>129.54300000000001</v>
      </c>
      <c r="G287" s="375">
        <f t="shared" si="96"/>
        <v>264.27800000000002</v>
      </c>
      <c r="H287" s="375">
        <f t="shared" si="96"/>
        <v>527.09400000000005</v>
      </c>
      <c r="I287" s="375">
        <f t="shared" si="96"/>
        <v>129.23499999999996</v>
      </c>
      <c r="J287" s="375">
        <f>(K286+J286)*(K285-J285)/2</f>
        <v>126.52399999999994</v>
      </c>
      <c r="K287" s="375">
        <f t="shared" si="96"/>
        <v>123.39000000000011</v>
      </c>
      <c r="L287" s="375">
        <f t="shared" si="96"/>
        <v>120.86149999999984</v>
      </c>
      <c r="M287" s="375">
        <f t="shared" si="96"/>
        <v>117.90300000000011</v>
      </c>
      <c r="N287" s="375">
        <f t="shared" si="96"/>
        <v>113.56649999999985</v>
      </c>
      <c r="O287" s="375">
        <f t="shared" si="96"/>
        <v>154.07775000000012</v>
      </c>
      <c r="P287" s="375">
        <f t="shared" si="96"/>
        <v>41.697000000000038</v>
      </c>
      <c r="Q287" s="375">
        <f t="shared" si="96"/>
        <v>12.852400000000012</v>
      </c>
      <c r="R287" s="375">
        <f t="shared" si="96"/>
        <v>9.5911999999999011</v>
      </c>
      <c r="S287" s="375">
        <f>(T286+S286)*(T285-S285)/2</f>
        <v>7.1761000000000061</v>
      </c>
      <c r="T287" s="375">
        <f t="shared" si="96"/>
        <v>2.8247000000000027</v>
      </c>
      <c r="U287" s="375">
        <f t="shared" si="96"/>
        <v>2.226650000000002</v>
      </c>
      <c r="V287" s="375">
        <f t="shared" si="96"/>
        <v>1.3267500000000012</v>
      </c>
      <c r="W287" s="375">
        <f>(X286+W286)*(X285-W285)/2</f>
        <v>0.3365000000000003</v>
      </c>
      <c r="X287" s="375">
        <f>(Y286+X286)*(Y285-X285)/2</f>
        <v>0</v>
      </c>
      <c r="Y287" s="369"/>
    </row>
    <row r="288" spans="1:25" ht="13.5" thickBot="1" x14ac:dyDescent="0.25">
      <c r="A288" s="12"/>
      <c r="L288" s="12"/>
      <c r="M288" s="12"/>
      <c r="N288" s="12"/>
      <c r="O288" s="12"/>
      <c r="P288" s="12"/>
      <c r="Q288" s="12"/>
      <c r="R288" s="12"/>
      <c r="S288" s="12"/>
      <c r="T288" s="12"/>
      <c r="U288" s="12"/>
      <c r="V288" s="12"/>
      <c r="W288" s="12"/>
      <c r="X288" s="12"/>
      <c r="Y288" s="12"/>
    </row>
    <row r="289" spans="1:25" ht="13.5" thickBot="1" x14ac:dyDescent="0.25">
      <c r="A289" s="361" t="s">
        <v>550</v>
      </c>
      <c r="B289" s="359">
        <f>ROW(A289)</f>
        <v>289</v>
      </c>
      <c r="C289" s="363" t="s">
        <v>115</v>
      </c>
      <c r="D289" s="353">
        <f>SUM(B292:Y292)</f>
        <v>3739.0284999999994</v>
      </c>
      <c r="E289" s="363" t="s">
        <v>114</v>
      </c>
      <c r="F289" s="354">
        <f>D289/g/J289</f>
        <v>203.4941790441234</v>
      </c>
      <c r="G289" s="363" t="s">
        <v>56</v>
      </c>
      <c r="H289" s="64">
        <v>3.5110000000000001</v>
      </c>
      <c r="I289" s="363" t="s">
        <v>271</v>
      </c>
      <c r="J289" s="355">
        <f>H289-L289</f>
        <v>1.8730000000000002</v>
      </c>
      <c r="K289" s="363" t="s">
        <v>272</v>
      </c>
      <c r="L289" s="64">
        <v>1.6379999999999999</v>
      </c>
      <c r="M289" s="363" t="s">
        <v>57</v>
      </c>
      <c r="N289" s="65">
        <v>243</v>
      </c>
      <c r="O289" s="363" t="s">
        <v>59</v>
      </c>
      <c r="P289" s="65">
        <v>249</v>
      </c>
      <c r="Q289" s="363" t="s">
        <v>60</v>
      </c>
      <c r="R289" s="65">
        <v>498</v>
      </c>
      <c r="S289" s="363" t="s">
        <v>61</v>
      </c>
      <c r="T289" s="65">
        <v>75</v>
      </c>
      <c r="U289" s="363" t="s">
        <v>54</v>
      </c>
      <c r="V289" s="66" t="s">
        <v>118</v>
      </c>
      <c r="W289" s="12"/>
      <c r="X289" s="12"/>
      <c r="Y289" s="12"/>
    </row>
    <row r="290" spans="1:25" x14ac:dyDescent="0.2">
      <c r="A290" s="362" t="s">
        <v>33</v>
      </c>
      <c r="B290" s="370">
        <v>0</v>
      </c>
      <c r="C290" s="371">
        <v>0.01</v>
      </c>
      <c r="D290" s="371">
        <v>0.1</v>
      </c>
      <c r="E290" s="371">
        <v>0.12</v>
      </c>
      <c r="F290" s="371">
        <v>0.26</v>
      </c>
      <c r="G290" s="371">
        <v>0.71</v>
      </c>
      <c r="H290" s="371">
        <v>1.28</v>
      </c>
      <c r="I290" s="371">
        <v>2.0499999999999998</v>
      </c>
      <c r="J290" s="371">
        <v>2.41</v>
      </c>
      <c r="K290" s="371">
        <v>2.83</v>
      </c>
      <c r="L290" s="371">
        <v>3.25</v>
      </c>
      <c r="M290" s="371">
        <v>3.65</v>
      </c>
      <c r="N290" s="371">
        <v>3.8</v>
      </c>
      <c r="O290" s="371">
        <v>4</v>
      </c>
      <c r="P290" s="371">
        <v>4.0999999999999996</v>
      </c>
      <c r="Q290" s="371">
        <v>4.1900000000000004</v>
      </c>
      <c r="R290" s="371">
        <v>4.3099999999999996</v>
      </c>
      <c r="S290" s="371">
        <v>4.41</v>
      </c>
      <c r="T290" s="371">
        <v>4.5199999999999996</v>
      </c>
      <c r="U290" s="371">
        <v>4.5999999999999996</v>
      </c>
      <c r="V290" s="371">
        <v>4.6500000000000004</v>
      </c>
      <c r="W290" s="371">
        <v>4.67</v>
      </c>
      <c r="X290" s="371">
        <v>4.68</v>
      </c>
      <c r="Y290" s="381">
        <v>1000</v>
      </c>
    </row>
    <row r="291" spans="1:25" x14ac:dyDescent="0.2">
      <c r="A291" s="378" t="s">
        <v>34</v>
      </c>
      <c r="B291" s="372">
        <v>27</v>
      </c>
      <c r="C291" s="373">
        <v>402.4</v>
      </c>
      <c r="D291" s="373">
        <v>1286</v>
      </c>
      <c r="E291" s="373">
        <v>1257</v>
      </c>
      <c r="F291" s="373">
        <v>1042</v>
      </c>
      <c r="G291" s="373">
        <v>1027</v>
      </c>
      <c r="H291" s="373">
        <v>998.4</v>
      </c>
      <c r="I291" s="373">
        <v>901.4</v>
      </c>
      <c r="J291" s="373">
        <v>849.6</v>
      </c>
      <c r="K291" s="373">
        <v>763.5</v>
      </c>
      <c r="L291" s="373">
        <v>707.1</v>
      </c>
      <c r="M291" s="373">
        <v>655.1</v>
      </c>
      <c r="N291" s="373">
        <v>651.70000000000005</v>
      </c>
      <c r="O291" s="373">
        <v>624.1</v>
      </c>
      <c r="P291" s="373">
        <v>601.29999999999995</v>
      </c>
      <c r="Q291" s="373">
        <v>536.20000000000005</v>
      </c>
      <c r="R291" s="373">
        <v>415.7</v>
      </c>
      <c r="S291" s="373">
        <v>270.2</v>
      </c>
      <c r="T291" s="373">
        <v>140.19999999999999</v>
      </c>
      <c r="U291" s="373">
        <v>76.900000000000006</v>
      </c>
      <c r="V291" s="373">
        <v>54.9</v>
      </c>
      <c r="W291" s="373">
        <v>40.200000000000003</v>
      </c>
      <c r="X291" s="373">
        <v>0</v>
      </c>
      <c r="Y291" s="382">
        <v>0</v>
      </c>
    </row>
    <row r="292" spans="1:25" ht="13.5" thickBot="1" x14ac:dyDescent="0.25">
      <c r="A292" s="379" t="s">
        <v>116</v>
      </c>
      <c r="B292" s="374">
        <f t="shared" ref="B292:V292" si="97">(C291+B291)*(C290-B290)/2</f>
        <v>2.1469999999999998</v>
      </c>
      <c r="C292" s="375">
        <f t="shared" si="97"/>
        <v>75.978000000000009</v>
      </c>
      <c r="D292" s="375">
        <f t="shared" si="97"/>
        <v>25.429999999999989</v>
      </c>
      <c r="E292" s="375">
        <f t="shared" si="97"/>
        <v>160.93</v>
      </c>
      <c r="F292" s="375">
        <f t="shared" si="97"/>
        <v>465.52499999999998</v>
      </c>
      <c r="G292" s="375">
        <f t="shared" si="97"/>
        <v>577.23900000000003</v>
      </c>
      <c r="H292" s="375">
        <f t="shared" si="97"/>
        <v>731.42299999999977</v>
      </c>
      <c r="I292" s="375">
        <f t="shared" si="97"/>
        <v>315.18000000000029</v>
      </c>
      <c r="J292" s="375">
        <f>(K291+J291)*(K290-J290)/2</f>
        <v>338.75099999999992</v>
      </c>
      <c r="K292" s="375">
        <f t="shared" si="97"/>
        <v>308.82599999999991</v>
      </c>
      <c r="L292" s="375">
        <f t="shared" si="97"/>
        <v>272.43999999999994</v>
      </c>
      <c r="M292" s="375">
        <f t="shared" si="97"/>
        <v>98.009999999999962</v>
      </c>
      <c r="N292" s="375">
        <f t="shared" si="97"/>
        <v>127.58000000000013</v>
      </c>
      <c r="O292" s="375">
        <f t="shared" si="97"/>
        <v>61.26999999999979</v>
      </c>
      <c r="P292" s="375">
        <f t="shared" si="97"/>
        <v>51.187500000000426</v>
      </c>
      <c r="Q292" s="375">
        <f t="shared" si="97"/>
        <v>57.113999999999635</v>
      </c>
      <c r="R292" s="375">
        <f t="shared" si="97"/>
        <v>34.295000000000179</v>
      </c>
      <c r="S292" s="375">
        <f>(T291+S291)*(T290-S290)/2</f>
        <v>22.571999999999882</v>
      </c>
      <c r="T292" s="375">
        <f t="shared" si="97"/>
        <v>8.6840000000000082</v>
      </c>
      <c r="U292" s="375">
        <f t="shared" si="97"/>
        <v>3.295000000000047</v>
      </c>
      <c r="V292" s="375">
        <f t="shared" si="97"/>
        <v>0.95099999999997964</v>
      </c>
      <c r="W292" s="375">
        <f>(X291+W291)*(X290-W290)/2</f>
        <v>0.20099999999999574</v>
      </c>
      <c r="X292" s="375">
        <f>(Y291+X291)*(Y290-X290)/2</f>
        <v>0</v>
      </c>
      <c r="Y292" s="369"/>
    </row>
    <row r="293" spans="1:25" ht="13.5" thickBot="1" x14ac:dyDescent="0.25">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row>
    <row r="294" spans="1:25" ht="13.5" thickBot="1" x14ac:dyDescent="0.25">
      <c r="A294" s="361" t="s">
        <v>556</v>
      </c>
      <c r="B294" s="359">
        <f>ROW(A294)</f>
        <v>294</v>
      </c>
      <c r="C294" s="363" t="s">
        <v>115</v>
      </c>
      <c r="D294" s="353">
        <f>SUM(B297:Y297)</f>
        <v>14273.976008499998</v>
      </c>
      <c r="E294" s="363" t="s">
        <v>114</v>
      </c>
      <c r="F294" s="354">
        <f>D294/g/J294</f>
        <v>169.50645688990159</v>
      </c>
      <c r="G294" s="363" t="s">
        <v>56</v>
      </c>
      <c r="H294" s="64">
        <v>13.247999999999999</v>
      </c>
      <c r="I294" s="363" t="s">
        <v>271</v>
      </c>
      <c r="J294" s="355">
        <f>H294-L294</f>
        <v>8.5839999999999996</v>
      </c>
      <c r="K294" s="363" t="s">
        <v>272</v>
      </c>
      <c r="L294" s="64">
        <v>4.6639999999999997</v>
      </c>
      <c r="M294" s="363" t="s">
        <v>57</v>
      </c>
      <c r="N294" s="65">
        <f>R294/2</f>
        <v>505</v>
      </c>
      <c r="O294" s="363" t="s">
        <v>59</v>
      </c>
      <c r="P294" s="65">
        <v>505</v>
      </c>
      <c r="Q294" s="363" t="s">
        <v>60</v>
      </c>
      <c r="R294" s="65">
        <v>1010</v>
      </c>
      <c r="S294" s="363" t="s">
        <v>61</v>
      </c>
      <c r="T294" s="65">
        <v>98</v>
      </c>
      <c r="U294" s="363" t="s">
        <v>54</v>
      </c>
      <c r="V294" s="66" t="s">
        <v>118</v>
      </c>
      <c r="W294" s="12"/>
      <c r="X294" s="12"/>
      <c r="Y294" s="12"/>
    </row>
    <row r="295" spans="1:25" x14ac:dyDescent="0.2">
      <c r="A295" s="362" t="s">
        <v>33</v>
      </c>
      <c r="B295" s="370">
        <v>0</v>
      </c>
      <c r="C295" s="371">
        <v>0.04</v>
      </c>
      <c r="D295" s="371">
        <v>0.08</v>
      </c>
      <c r="E295" s="371">
        <v>0.20100000000000001</v>
      </c>
      <c r="F295" s="371">
        <v>0.44700000000000001</v>
      </c>
      <c r="G295" s="371">
        <v>0.67800000000000005</v>
      </c>
      <c r="H295" s="371">
        <v>0.75800000000000001</v>
      </c>
      <c r="I295" s="371">
        <v>0.85299999999999998</v>
      </c>
      <c r="J295" s="371">
        <v>2.4249999999999998</v>
      </c>
      <c r="K295" s="371">
        <v>2.52</v>
      </c>
      <c r="L295" s="371">
        <v>2.7610000000000001</v>
      </c>
      <c r="M295" s="371">
        <v>3.4340000000000002</v>
      </c>
      <c r="N295" s="371">
        <v>3.7149999999999999</v>
      </c>
      <c r="O295" s="371">
        <v>4.077</v>
      </c>
      <c r="P295" s="371">
        <v>4.96</v>
      </c>
      <c r="Q295" s="371">
        <v>5.492</v>
      </c>
      <c r="R295" s="371">
        <v>6.1050000000000004</v>
      </c>
      <c r="S295" s="371">
        <v>6.4459999999999997</v>
      </c>
      <c r="T295" s="371">
        <v>6.6470000000000002</v>
      </c>
      <c r="U295" s="371">
        <v>7.0739999999999998</v>
      </c>
      <c r="V295" s="371">
        <v>7.2389999999999999</v>
      </c>
      <c r="W295" s="533">
        <v>7.2539999999999996</v>
      </c>
      <c r="X295" s="371">
        <v>8</v>
      </c>
      <c r="Y295" s="381">
        <v>1000</v>
      </c>
    </row>
    <row r="296" spans="1:25" x14ac:dyDescent="0.2">
      <c r="A296" s="378" t="s">
        <v>34</v>
      </c>
      <c r="B296" s="372">
        <v>0</v>
      </c>
      <c r="C296" s="373">
        <v>1382.46</v>
      </c>
      <c r="D296" s="373">
        <v>1699.1469999999999</v>
      </c>
      <c r="E296" s="373">
        <v>1781.364</v>
      </c>
      <c r="F296" s="373">
        <v>1793.5440000000001</v>
      </c>
      <c r="G296" s="373">
        <v>1820.95</v>
      </c>
      <c r="H296" s="373">
        <v>1927.527</v>
      </c>
      <c r="I296" s="373">
        <v>1842.2660000000001</v>
      </c>
      <c r="J296" s="373">
        <v>2088.9160000000002</v>
      </c>
      <c r="K296" s="373">
        <v>2180.268</v>
      </c>
      <c r="L296" s="373">
        <v>2198.538</v>
      </c>
      <c r="M296" s="373">
        <v>2213.7640000000001</v>
      </c>
      <c r="N296" s="373">
        <v>2268.5749999999998</v>
      </c>
      <c r="O296" s="373">
        <v>2299.0259999999998</v>
      </c>
      <c r="P296" s="373">
        <v>2238.1239999999998</v>
      </c>
      <c r="Q296" s="373">
        <v>2161.998</v>
      </c>
      <c r="R296" s="373">
        <v>2024.97</v>
      </c>
      <c r="S296" s="373">
        <v>1878.806</v>
      </c>
      <c r="T296" s="373">
        <v>1668.6969999999999</v>
      </c>
      <c r="U296" s="373">
        <v>602.923</v>
      </c>
      <c r="V296" s="373">
        <v>140.07300000000001</v>
      </c>
      <c r="W296" s="373">
        <v>0</v>
      </c>
      <c r="X296" s="373">
        <v>0</v>
      </c>
      <c r="Y296" s="382">
        <v>0</v>
      </c>
    </row>
    <row r="297" spans="1:25" ht="13.5" thickBot="1" x14ac:dyDescent="0.25">
      <c r="A297" s="379" t="s">
        <v>116</v>
      </c>
      <c r="B297" s="374">
        <f t="shared" ref="B297:X297" si="98">(C296+B296)*(C295-B295)/2</f>
        <v>27.6492</v>
      </c>
      <c r="C297" s="375">
        <f t="shared" si="98"/>
        <v>61.63214</v>
      </c>
      <c r="D297" s="375">
        <f t="shared" si="98"/>
        <v>210.57091550000001</v>
      </c>
      <c r="E297" s="375">
        <f t="shared" si="98"/>
        <v>439.71368400000006</v>
      </c>
      <c r="F297" s="375">
        <f t="shared" si="98"/>
        <v>417.47405700000007</v>
      </c>
      <c r="G297" s="375">
        <f t="shared" si="98"/>
        <v>149.93907999999993</v>
      </c>
      <c r="H297" s="375">
        <f t="shared" si="98"/>
        <v>179.06516749999994</v>
      </c>
      <c r="I297" s="375">
        <f t="shared" si="98"/>
        <v>3089.909052</v>
      </c>
      <c r="J297" s="375">
        <f t="shared" si="98"/>
        <v>202.78624000000042</v>
      </c>
      <c r="K297" s="375">
        <f t="shared" si="98"/>
        <v>527.64612300000033</v>
      </c>
      <c r="L297" s="375">
        <f t="shared" si="98"/>
        <v>1484.7396229999999</v>
      </c>
      <c r="M297" s="375">
        <f t="shared" si="98"/>
        <v>629.76862949999929</v>
      </c>
      <c r="N297" s="375">
        <f t="shared" si="98"/>
        <v>826.7357810000002</v>
      </c>
      <c r="O297" s="375">
        <f t="shared" si="98"/>
        <v>2003.1517249999999</v>
      </c>
      <c r="P297" s="375">
        <f t="shared" si="98"/>
        <v>1170.432452</v>
      </c>
      <c r="Q297" s="375">
        <f t="shared" si="98"/>
        <v>1283.3056920000008</v>
      </c>
      <c r="R297" s="375">
        <f t="shared" si="98"/>
        <v>665.5938079999986</v>
      </c>
      <c r="S297" s="375">
        <f t="shared" si="98"/>
        <v>356.52405150000089</v>
      </c>
      <c r="T297" s="375">
        <f t="shared" si="98"/>
        <v>484.99086999999952</v>
      </c>
      <c r="U297" s="375">
        <f t="shared" si="98"/>
        <v>61.297170000000008</v>
      </c>
      <c r="V297" s="375">
        <f t="shared" si="98"/>
        <v>1.0505474999999778</v>
      </c>
      <c r="W297" s="375">
        <f t="shared" si="98"/>
        <v>0</v>
      </c>
      <c r="X297" s="375">
        <f t="shared" si="98"/>
        <v>0</v>
      </c>
      <c r="Y297" s="369"/>
    </row>
    <row r="298" spans="1:25" ht="13.5" thickBot="1" x14ac:dyDescent="0.25">
      <c r="A298" s="12"/>
      <c r="L298" s="12"/>
      <c r="M298" s="12"/>
      <c r="N298" s="12"/>
      <c r="O298" s="12"/>
      <c r="P298" s="12"/>
      <c r="Q298" s="12"/>
      <c r="R298" s="12"/>
      <c r="S298" s="12"/>
      <c r="T298" s="12"/>
      <c r="U298" s="12"/>
      <c r="V298" s="12"/>
      <c r="W298" s="12"/>
      <c r="X298" s="12"/>
      <c r="Y298" s="12"/>
    </row>
    <row r="299" spans="1:25" ht="13.5" thickBot="1" x14ac:dyDescent="0.25">
      <c r="A299" s="361" t="s">
        <v>318</v>
      </c>
      <c r="B299" s="359">
        <f>ROW(A299)</f>
        <v>299</v>
      </c>
      <c r="C299" s="363" t="s">
        <v>115</v>
      </c>
      <c r="D299" s="353">
        <f>SUM(B302:Y302)</f>
        <v>7412.4371409999985</v>
      </c>
      <c r="E299" s="363" t="s">
        <v>114</v>
      </c>
      <c r="F299" s="354">
        <f>D299/g/J299</f>
        <v>223.28608637999045</v>
      </c>
      <c r="G299" s="363" t="s">
        <v>56</v>
      </c>
      <c r="H299" s="64">
        <v>6.25</v>
      </c>
      <c r="I299" s="363" t="s">
        <v>271</v>
      </c>
      <c r="J299" s="355">
        <f>H299-L299</f>
        <v>3.3839999999999999</v>
      </c>
      <c r="K299" s="363" t="s">
        <v>272</v>
      </c>
      <c r="L299" s="64">
        <v>2.8660000000000001</v>
      </c>
      <c r="M299" s="363" t="s">
        <v>57</v>
      </c>
      <c r="N299" s="65">
        <v>290</v>
      </c>
      <c r="O299" s="363" t="s">
        <v>59</v>
      </c>
      <c r="P299" s="65">
        <v>290</v>
      </c>
      <c r="Q299" s="363" t="s">
        <v>60</v>
      </c>
      <c r="R299" s="65">
        <v>579</v>
      </c>
      <c r="S299" s="363" t="s">
        <v>61</v>
      </c>
      <c r="T299" s="65">
        <v>98</v>
      </c>
      <c r="U299" s="363" t="s">
        <v>54</v>
      </c>
      <c r="V299" s="66" t="s">
        <v>118</v>
      </c>
      <c r="W299" s="12"/>
      <c r="X299" s="12"/>
      <c r="Y299" s="12"/>
    </row>
    <row r="300" spans="1:25" x14ac:dyDescent="0.2">
      <c r="A300" s="362" t="s">
        <v>33</v>
      </c>
      <c r="B300" s="370">
        <v>0</v>
      </c>
      <c r="C300" s="371">
        <v>1.7000000000000001E-2</v>
      </c>
      <c r="D300" s="371">
        <v>5.1999999999999998E-2</v>
      </c>
      <c r="E300" s="371">
        <v>8.7999999999999995E-2</v>
      </c>
      <c r="F300" s="371">
        <v>0.108</v>
      </c>
      <c r="G300" s="371">
        <v>0.127</v>
      </c>
      <c r="H300" s="371">
        <v>0.17399999999999999</v>
      </c>
      <c r="I300" s="371">
        <v>0.25700000000000001</v>
      </c>
      <c r="J300" s="371">
        <v>0.40300000000000002</v>
      </c>
      <c r="K300" s="371">
        <v>0.76200000000000001</v>
      </c>
      <c r="L300" s="371">
        <v>0.97699999999999998</v>
      </c>
      <c r="M300" s="371">
        <v>1.341</v>
      </c>
      <c r="N300" s="371">
        <v>1.5009999999999999</v>
      </c>
      <c r="O300" s="371">
        <v>1.661</v>
      </c>
      <c r="P300" s="371">
        <v>1.96</v>
      </c>
      <c r="Q300" s="371">
        <v>2.4039999999999999</v>
      </c>
      <c r="R300" s="371">
        <v>2.641</v>
      </c>
      <c r="S300" s="371">
        <v>2.7160000000000002</v>
      </c>
      <c r="T300" s="371">
        <v>2.8210000000000002</v>
      </c>
      <c r="U300" s="371">
        <v>2.8919999999999999</v>
      </c>
      <c r="V300" s="371">
        <v>2.92</v>
      </c>
      <c r="W300" s="371">
        <v>2.97</v>
      </c>
      <c r="X300" s="371">
        <v>3</v>
      </c>
      <c r="Y300" s="381">
        <v>1000</v>
      </c>
    </row>
    <row r="301" spans="1:25" x14ac:dyDescent="0.2">
      <c r="A301" s="378" t="s">
        <v>34</v>
      </c>
      <c r="B301" s="372">
        <v>0</v>
      </c>
      <c r="C301" s="373">
        <v>329.84699999999998</v>
      </c>
      <c r="D301" s="373">
        <v>1003.68</v>
      </c>
      <c r="E301" s="373">
        <v>2346.62</v>
      </c>
      <c r="F301" s="373">
        <v>2549.2399999999998</v>
      </c>
      <c r="G301" s="373">
        <v>2605.79</v>
      </c>
      <c r="H301" s="373">
        <v>2520.9699999999998</v>
      </c>
      <c r="I301" s="373">
        <v>2516.2600000000002</v>
      </c>
      <c r="J301" s="373">
        <v>2596.37</v>
      </c>
      <c r="K301" s="373">
        <v>2808.41</v>
      </c>
      <c r="L301" s="373">
        <v>2954.49</v>
      </c>
      <c r="M301" s="373">
        <v>2959.2</v>
      </c>
      <c r="N301" s="373">
        <v>2907.36</v>
      </c>
      <c r="O301" s="373">
        <v>2869.67</v>
      </c>
      <c r="P301" s="373">
        <v>2695.32</v>
      </c>
      <c r="Q301" s="373">
        <v>2351.34</v>
      </c>
      <c r="R301" s="373">
        <v>2228.8200000000002</v>
      </c>
      <c r="S301" s="373">
        <v>2007.35</v>
      </c>
      <c r="T301" s="373">
        <v>1427.77</v>
      </c>
      <c r="U301" s="373">
        <v>504.19400000000002</v>
      </c>
      <c r="V301" s="373">
        <v>334.55900000000003</v>
      </c>
      <c r="W301" s="373">
        <v>122.515</v>
      </c>
      <c r="X301" s="373">
        <v>0</v>
      </c>
      <c r="Y301" s="382">
        <v>0</v>
      </c>
    </row>
    <row r="302" spans="1:25" ht="13.5" thickBot="1" x14ac:dyDescent="0.25">
      <c r="A302" s="379" t="s">
        <v>116</v>
      </c>
      <c r="B302" s="374">
        <f t="shared" ref="B302:X302" si="99">(C301+B301)*(C300-B300)/2</f>
        <v>2.8036995</v>
      </c>
      <c r="C302" s="375">
        <f t="shared" si="99"/>
        <v>23.336722499999997</v>
      </c>
      <c r="D302" s="375">
        <f t="shared" si="99"/>
        <v>60.305399999999992</v>
      </c>
      <c r="E302" s="375">
        <f t="shared" si="99"/>
        <v>48.958600000000004</v>
      </c>
      <c r="F302" s="375">
        <f t="shared" si="99"/>
        <v>48.972785000000002</v>
      </c>
      <c r="G302" s="375">
        <f t="shared" si="99"/>
        <v>120.47885999999997</v>
      </c>
      <c r="H302" s="375">
        <f t="shared" si="99"/>
        <v>209.04504500000002</v>
      </c>
      <c r="I302" s="375">
        <f t="shared" si="99"/>
        <v>373.22199000000006</v>
      </c>
      <c r="J302" s="375">
        <f t="shared" si="99"/>
        <v>970.15800999999988</v>
      </c>
      <c r="K302" s="375">
        <f t="shared" si="99"/>
        <v>619.51174999999989</v>
      </c>
      <c r="L302" s="375">
        <f t="shared" si="99"/>
        <v>1076.2915799999998</v>
      </c>
      <c r="M302" s="375">
        <f t="shared" si="99"/>
        <v>469.3247999999997</v>
      </c>
      <c r="N302" s="375">
        <f t="shared" si="99"/>
        <v>462.16240000000045</v>
      </c>
      <c r="O302" s="375">
        <f t="shared" si="99"/>
        <v>831.96600499999977</v>
      </c>
      <c r="P302" s="375">
        <f t="shared" si="99"/>
        <v>1120.3585199999998</v>
      </c>
      <c r="Q302" s="375">
        <f t="shared" si="99"/>
        <v>542.74896000000024</v>
      </c>
      <c r="R302" s="375">
        <f t="shared" si="99"/>
        <v>158.85637500000038</v>
      </c>
      <c r="S302" s="375">
        <f t="shared" si="99"/>
        <v>180.34379999999996</v>
      </c>
      <c r="T302" s="375">
        <f t="shared" si="99"/>
        <v>68.584721999999744</v>
      </c>
      <c r="U302" s="375">
        <f t="shared" si="99"/>
        <v>11.742542000000011</v>
      </c>
      <c r="V302" s="375">
        <f t="shared" si="99"/>
        <v>11.42685000000006</v>
      </c>
      <c r="W302" s="375">
        <f t="shared" si="99"/>
        <v>1.8377249999999881</v>
      </c>
      <c r="X302" s="375">
        <f t="shared" si="99"/>
        <v>0</v>
      </c>
      <c r="Y302" s="369"/>
    </row>
    <row r="303" spans="1:25" ht="13.5" thickBot="1" x14ac:dyDescent="0.25">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row>
    <row r="304" spans="1:25" ht="13.5" thickBot="1" x14ac:dyDescent="0.25">
      <c r="A304" s="361" t="s">
        <v>551</v>
      </c>
      <c r="B304" s="359">
        <f>ROW(A304)</f>
        <v>304</v>
      </c>
      <c r="C304" s="363" t="s">
        <v>115</v>
      </c>
      <c r="D304" s="353">
        <f>SUM(B307:Y307)</f>
        <v>17734.977350500001</v>
      </c>
      <c r="E304" s="363" t="s">
        <v>114</v>
      </c>
      <c r="F304" s="354">
        <f>D304/g/J304</f>
        <v>192.73420306179892</v>
      </c>
      <c r="G304" s="363" t="s">
        <v>56</v>
      </c>
      <c r="H304" s="64">
        <v>14.747999999999999</v>
      </c>
      <c r="I304" s="363" t="s">
        <v>271</v>
      </c>
      <c r="J304" s="355">
        <f>H304-L304</f>
        <v>9.379999999999999</v>
      </c>
      <c r="K304" s="363" t="s">
        <v>272</v>
      </c>
      <c r="L304" s="64">
        <v>5.3680000000000003</v>
      </c>
      <c r="M304" s="363" t="s">
        <v>57</v>
      </c>
      <c r="N304" s="65">
        <v>500</v>
      </c>
      <c r="O304" s="363" t="s">
        <v>59</v>
      </c>
      <c r="P304" s="65">
        <v>500</v>
      </c>
      <c r="Q304" s="363" t="s">
        <v>60</v>
      </c>
      <c r="R304" s="65">
        <v>1046</v>
      </c>
      <c r="S304" s="363" t="s">
        <v>61</v>
      </c>
      <c r="T304" s="65">
        <v>98</v>
      </c>
      <c r="U304" s="363" t="s">
        <v>54</v>
      </c>
      <c r="V304" s="66" t="s">
        <v>118</v>
      </c>
      <c r="W304" s="12"/>
      <c r="X304" s="12"/>
      <c r="Y304" s="12"/>
    </row>
    <row r="305" spans="1:25" x14ac:dyDescent="0.2">
      <c r="A305" s="362" t="s">
        <v>33</v>
      </c>
      <c r="B305" s="370">
        <v>0</v>
      </c>
      <c r="C305" s="371">
        <v>3.0000000000000001E-3</v>
      </c>
      <c r="D305" s="371">
        <v>0.05</v>
      </c>
      <c r="E305" s="371">
        <v>7.8E-2</v>
      </c>
      <c r="F305" s="371">
        <v>0.121</v>
      </c>
      <c r="G305" s="371">
        <v>0.65200000000000002</v>
      </c>
      <c r="H305" s="371">
        <v>1.123</v>
      </c>
      <c r="I305" s="371">
        <v>1.655</v>
      </c>
      <c r="J305" s="371">
        <v>2.3530000000000002</v>
      </c>
      <c r="K305" s="371">
        <v>3.0350000000000001</v>
      </c>
      <c r="L305" s="371">
        <v>3.7</v>
      </c>
      <c r="M305" s="371">
        <v>3.7330000000000001</v>
      </c>
      <c r="N305" s="371">
        <v>3.887</v>
      </c>
      <c r="O305" s="371">
        <v>4.0359999999999996</v>
      </c>
      <c r="P305" s="371">
        <v>4.1970000000000001</v>
      </c>
      <c r="Q305" s="371">
        <v>4.2619999999999996</v>
      </c>
      <c r="R305" s="371">
        <v>4.3</v>
      </c>
      <c r="S305" s="371">
        <v>5</v>
      </c>
      <c r="T305" s="371">
        <v>5</v>
      </c>
      <c r="U305" s="371">
        <v>5</v>
      </c>
      <c r="V305" s="371">
        <v>5</v>
      </c>
      <c r="W305" s="371">
        <v>5</v>
      </c>
      <c r="X305" s="371">
        <v>5</v>
      </c>
      <c r="Y305" s="381">
        <v>1000</v>
      </c>
    </row>
    <row r="306" spans="1:25" x14ac:dyDescent="0.2">
      <c r="A306" s="378" t="s">
        <v>34</v>
      </c>
      <c r="B306" s="372">
        <v>0</v>
      </c>
      <c r="C306" s="373">
        <v>203.87700000000001</v>
      </c>
      <c r="D306" s="373">
        <v>2362.8789999999999</v>
      </c>
      <c r="E306" s="373">
        <v>3946.8449999999998</v>
      </c>
      <c r="F306" s="373">
        <v>4281.4120000000003</v>
      </c>
      <c r="G306" s="373">
        <v>4370.2809999999999</v>
      </c>
      <c r="H306" s="373">
        <v>4453.9229999999998</v>
      </c>
      <c r="I306" s="373">
        <v>4772.8069999999998</v>
      </c>
      <c r="J306" s="373">
        <v>4621.2060000000001</v>
      </c>
      <c r="K306" s="373">
        <v>4511.4269999999997</v>
      </c>
      <c r="L306" s="373">
        <v>4375.509</v>
      </c>
      <c r="M306" s="373">
        <v>4182.0870000000004</v>
      </c>
      <c r="N306" s="373">
        <v>2969.2820000000002</v>
      </c>
      <c r="O306" s="373">
        <v>1589.193</v>
      </c>
      <c r="P306" s="373">
        <v>533.21600000000001</v>
      </c>
      <c r="Q306" s="373">
        <v>240.47</v>
      </c>
      <c r="R306" s="373">
        <v>0</v>
      </c>
      <c r="S306" s="373">
        <v>0</v>
      </c>
      <c r="T306" s="373">
        <v>0</v>
      </c>
      <c r="U306" s="373">
        <v>0</v>
      </c>
      <c r="V306" s="373">
        <v>0</v>
      </c>
      <c r="W306" s="373">
        <v>0</v>
      </c>
      <c r="X306" s="373">
        <v>0</v>
      </c>
      <c r="Y306" s="382">
        <v>0</v>
      </c>
    </row>
    <row r="307" spans="1:25" ht="13.5" thickBot="1" x14ac:dyDescent="0.25">
      <c r="A307" s="379" t="s">
        <v>116</v>
      </c>
      <c r="B307" s="374">
        <f t="shared" ref="B307" si="100">(C306+B306)*(C305-B305)/2</f>
        <v>0.30581550000000002</v>
      </c>
      <c r="C307" s="375">
        <f t="shared" ref="C307" si="101">(D306+C306)*(D305-C305)/2</f>
        <v>60.318765999999997</v>
      </c>
      <c r="D307" s="375">
        <f t="shared" ref="D307" si="102">(E306+D306)*(E305-D305)/2</f>
        <v>88.336135999999996</v>
      </c>
      <c r="E307" s="375">
        <f t="shared" ref="E307" si="103">(F306+E306)*(F305-E305)/2</f>
        <v>176.90752549999999</v>
      </c>
      <c r="F307" s="375">
        <f t="shared" ref="F307" si="104">(G306+F306)*(G305-F305)/2</f>
        <v>2297.0244914999998</v>
      </c>
      <c r="G307" s="375">
        <f t="shared" ref="G307" si="105">(H306+G306)*(H305-G305)/2</f>
        <v>2078.100042</v>
      </c>
      <c r="H307" s="375">
        <f t="shared" ref="H307" si="106">(I306+H306)*(I305-H305)/2</f>
        <v>2454.3101799999999</v>
      </c>
      <c r="I307" s="375">
        <f t="shared" ref="I307" si="107">(J306+I306)*(J305-I305)/2</f>
        <v>3278.5105370000006</v>
      </c>
      <c r="J307" s="375">
        <f t="shared" ref="J307" si="108">(K306+J306)*(K305-J305)/2</f>
        <v>3114.2278529999999</v>
      </c>
      <c r="K307" s="375">
        <f t="shared" ref="K307" si="109">(L306+K306)*(L305-K305)/2</f>
        <v>2954.9062199999998</v>
      </c>
      <c r="L307" s="375">
        <f t="shared" ref="L307" si="110">(M306+L306)*(M305-L305)/2</f>
        <v>141.20033399999969</v>
      </c>
      <c r="M307" s="375">
        <f t="shared" ref="M307" si="111">(N306+M306)*(N305-M305)/2</f>
        <v>550.65541299999973</v>
      </c>
      <c r="N307" s="375">
        <f t="shared" ref="N307" si="112">(O306+N306)*(O305-N305)/2</f>
        <v>339.60638749999907</v>
      </c>
      <c r="O307" s="375">
        <f t="shared" ref="O307" si="113">(P306+O306)*(P305-O305)/2</f>
        <v>170.85392450000052</v>
      </c>
      <c r="P307" s="375">
        <f t="shared" ref="P307" si="114">(Q306+P306)*(Q305-P305)/2</f>
        <v>25.14479499999981</v>
      </c>
      <c r="Q307" s="375">
        <f t="shared" ref="Q307" si="115">(R306+Q306)*(R305-Q305)/2</f>
        <v>4.568930000000031</v>
      </c>
      <c r="R307" s="375">
        <f t="shared" ref="R307" si="116">(S306+R306)*(S305-R305)/2</f>
        <v>0</v>
      </c>
      <c r="S307" s="375">
        <f t="shared" ref="S307" si="117">(T306+S306)*(T305-S305)/2</f>
        <v>0</v>
      </c>
      <c r="T307" s="375">
        <f t="shared" ref="T307" si="118">(U306+T306)*(U305-T305)/2</f>
        <v>0</v>
      </c>
      <c r="U307" s="375">
        <f t="shared" ref="U307" si="119">(V306+U306)*(V305-U305)/2</f>
        <v>0</v>
      </c>
      <c r="V307" s="375">
        <f t="shared" ref="V307" si="120">(W306+V306)*(W305-V305)/2</f>
        <v>0</v>
      </c>
      <c r="W307" s="375">
        <f t="shared" ref="W307" si="121">(X306+W306)*(X305-W305)/2</f>
        <v>0</v>
      </c>
      <c r="X307" s="375">
        <f t="shared" ref="X307" si="122">(Y306+X306)*(Y305-X305)/2</f>
        <v>0</v>
      </c>
      <c r="Y307" s="369"/>
    </row>
    <row r="308" spans="1:25" ht="13.5" thickBot="1" x14ac:dyDescent="0.25">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row>
    <row r="309" spans="1:25" ht="13.5" thickBot="1" x14ac:dyDescent="0.25">
      <c r="A309" s="361" t="s">
        <v>44</v>
      </c>
      <c r="B309" s="359">
        <f>ROW(A309)</f>
        <v>309</v>
      </c>
      <c r="C309" s="363" t="s">
        <v>115</v>
      </c>
      <c r="D309" s="353">
        <f>SUM(B312:Y312)</f>
        <v>1E-3</v>
      </c>
      <c r="E309" s="363" t="s">
        <v>114</v>
      </c>
      <c r="F309" s="354">
        <f>D309/g/J309</f>
        <v>1.019367991845056</v>
      </c>
      <c r="G309" s="363" t="s">
        <v>56</v>
      </c>
      <c r="H309" s="64">
        <v>1E-4</v>
      </c>
      <c r="I309" s="363" t="s">
        <v>271</v>
      </c>
      <c r="J309" s="355">
        <f>H309-L309</f>
        <v>1E-4</v>
      </c>
      <c r="K309" s="363" t="s">
        <v>272</v>
      </c>
      <c r="L309" s="64">
        <v>0</v>
      </c>
      <c r="M309" s="363" t="s">
        <v>57</v>
      </c>
      <c r="N309" s="65">
        <v>0</v>
      </c>
      <c r="O309" s="363" t="s">
        <v>59</v>
      </c>
      <c r="P309" s="65">
        <v>0</v>
      </c>
      <c r="Q309" s="363" t="s">
        <v>60</v>
      </c>
      <c r="R309" s="65">
        <v>0</v>
      </c>
      <c r="S309" s="363" t="s">
        <v>61</v>
      </c>
      <c r="T309" s="65">
        <v>0</v>
      </c>
      <c r="U309" s="363" t="s">
        <v>54</v>
      </c>
      <c r="V309" s="66" t="s">
        <v>118</v>
      </c>
      <c r="W309" s="12"/>
      <c r="X309" s="12"/>
      <c r="Y309" s="12"/>
    </row>
    <row r="310" spans="1:25" x14ac:dyDescent="0.2">
      <c r="A310" s="362" t="s">
        <v>33</v>
      </c>
      <c r="B310" s="370">
        <v>0</v>
      </c>
      <c r="C310" s="371">
        <v>0.1</v>
      </c>
      <c r="D310" s="371">
        <v>0.2</v>
      </c>
      <c r="E310" s="371">
        <v>1</v>
      </c>
      <c r="F310" s="371">
        <v>1</v>
      </c>
      <c r="G310" s="371">
        <v>1</v>
      </c>
      <c r="H310" s="371">
        <v>1</v>
      </c>
      <c r="I310" s="371">
        <v>1</v>
      </c>
      <c r="J310" s="371">
        <v>1</v>
      </c>
      <c r="K310" s="371">
        <v>1</v>
      </c>
      <c r="L310" s="371">
        <v>1</v>
      </c>
      <c r="M310" s="371">
        <v>1</v>
      </c>
      <c r="N310" s="371">
        <v>1</v>
      </c>
      <c r="O310" s="371">
        <v>1</v>
      </c>
      <c r="P310" s="371">
        <v>1</v>
      </c>
      <c r="Q310" s="371">
        <v>1</v>
      </c>
      <c r="R310" s="371">
        <v>1</v>
      </c>
      <c r="S310" s="371">
        <v>1</v>
      </c>
      <c r="T310" s="371">
        <v>1</v>
      </c>
      <c r="U310" s="371">
        <v>1</v>
      </c>
      <c r="V310" s="371">
        <v>1</v>
      </c>
      <c r="W310" s="371">
        <v>1</v>
      </c>
      <c r="X310" s="371">
        <v>1</v>
      </c>
      <c r="Y310" s="381">
        <v>1000</v>
      </c>
    </row>
    <row r="311" spans="1:25" x14ac:dyDescent="0.2">
      <c r="A311" s="378" t="s">
        <v>34</v>
      </c>
      <c r="B311" s="372">
        <v>0</v>
      </c>
      <c r="C311" s="373">
        <v>0.01</v>
      </c>
      <c r="D311" s="373">
        <v>0</v>
      </c>
      <c r="E311" s="373">
        <v>0</v>
      </c>
      <c r="F311" s="373">
        <v>0</v>
      </c>
      <c r="G311" s="373">
        <v>0</v>
      </c>
      <c r="H311" s="373">
        <v>0</v>
      </c>
      <c r="I311" s="373">
        <v>0</v>
      </c>
      <c r="J311" s="373">
        <v>0</v>
      </c>
      <c r="K311" s="373">
        <v>0</v>
      </c>
      <c r="L311" s="373">
        <v>0</v>
      </c>
      <c r="M311" s="373">
        <v>0</v>
      </c>
      <c r="N311" s="373">
        <v>0</v>
      </c>
      <c r="O311" s="373">
        <v>0</v>
      </c>
      <c r="P311" s="373">
        <v>0</v>
      </c>
      <c r="Q311" s="373">
        <v>0</v>
      </c>
      <c r="R311" s="373">
        <v>0</v>
      </c>
      <c r="S311" s="373">
        <v>0</v>
      </c>
      <c r="T311" s="373">
        <v>0</v>
      </c>
      <c r="U311" s="373">
        <v>0</v>
      </c>
      <c r="V311" s="373">
        <v>0</v>
      </c>
      <c r="W311" s="373">
        <v>0</v>
      </c>
      <c r="X311" s="373">
        <v>0</v>
      </c>
      <c r="Y311" s="382">
        <v>0</v>
      </c>
    </row>
    <row r="312" spans="1:25" ht="13.5" thickBot="1" x14ac:dyDescent="0.25">
      <c r="A312" s="379" t="s">
        <v>116</v>
      </c>
      <c r="B312" s="374">
        <f t="shared" ref="B312:G312" si="123">(C311+B311)*(C310-B310)/2</f>
        <v>5.0000000000000001E-4</v>
      </c>
      <c r="C312" s="375">
        <f t="shared" si="123"/>
        <v>5.0000000000000001E-4</v>
      </c>
      <c r="D312" s="375">
        <f t="shared" si="123"/>
        <v>0</v>
      </c>
      <c r="E312" s="375">
        <f t="shared" si="123"/>
        <v>0</v>
      </c>
      <c r="F312" s="375">
        <f t="shared" si="123"/>
        <v>0</v>
      </c>
      <c r="G312" s="375">
        <f t="shared" si="123"/>
        <v>0</v>
      </c>
      <c r="H312" s="375">
        <f t="shared" ref="H312:V312" si="124">(I311+H311)*(I310-H310)/2</f>
        <v>0</v>
      </c>
      <c r="I312" s="375">
        <f t="shared" si="124"/>
        <v>0</v>
      </c>
      <c r="J312" s="375">
        <f>(K311+J311)*(K310-J310)/2</f>
        <v>0</v>
      </c>
      <c r="K312" s="375">
        <f t="shared" si="124"/>
        <v>0</v>
      </c>
      <c r="L312" s="375">
        <f t="shared" si="124"/>
        <v>0</v>
      </c>
      <c r="M312" s="375">
        <f t="shared" si="124"/>
        <v>0</v>
      </c>
      <c r="N312" s="375">
        <f t="shared" si="124"/>
        <v>0</v>
      </c>
      <c r="O312" s="375">
        <f t="shared" si="124"/>
        <v>0</v>
      </c>
      <c r="P312" s="375">
        <f t="shared" si="124"/>
        <v>0</v>
      </c>
      <c r="Q312" s="375">
        <f t="shared" si="124"/>
        <v>0</v>
      </c>
      <c r="R312" s="375">
        <f t="shared" si="124"/>
        <v>0</v>
      </c>
      <c r="S312" s="375">
        <f>(T311+S311)*(T310-S310)/2</f>
        <v>0</v>
      </c>
      <c r="T312" s="375">
        <f t="shared" si="124"/>
        <v>0</v>
      </c>
      <c r="U312" s="375">
        <f t="shared" si="124"/>
        <v>0</v>
      </c>
      <c r="V312" s="375">
        <f t="shared" si="124"/>
        <v>0</v>
      </c>
      <c r="W312" s="375">
        <f>(X311+W311)*(X310-W310)/2</f>
        <v>0</v>
      </c>
      <c r="X312" s="375">
        <f>(Y311+X311)*(Y310-X310)/2</f>
        <v>0</v>
      </c>
      <c r="Y312" s="369"/>
    </row>
    <row r="314" spans="1:25" x14ac:dyDescent="0.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row>
    <row r="316" spans="1:25" x14ac:dyDescent="0.2">
      <c r="A316" s="397" t="str">
        <f>IF(Lang="Français","Liste des propu affichés :","Motor list (shown):")</f>
        <v>Liste des propu affichés :</v>
      </c>
      <c r="C316" s="640" t="s">
        <v>276</v>
      </c>
      <c r="D316" s="641"/>
      <c r="F316" s="640" t="s">
        <v>181</v>
      </c>
      <c r="G316" s="641"/>
      <c r="H316" s="12"/>
      <c r="I316" s="640" t="s">
        <v>397</v>
      </c>
      <c r="J316" s="641"/>
      <c r="K316" s="12"/>
      <c r="L316" s="640" t="s">
        <v>182</v>
      </c>
      <c r="M316" s="641"/>
      <c r="O316" s="640" t="s">
        <v>396</v>
      </c>
      <c r="P316" s="641"/>
      <c r="R316" s="640" t="s">
        <v>118</v>
      </c>
      <c r="S316" s="641"/>
    </row>
    <row r="317" spans="1:25" x14ac:dyDescent="0.2">
      <c r="A317" s="398" t="str">
        <f t="array" ref="A317:A346">IF(RIGHT(Type_fusee,1)=".",Liste_fusex, IF(LEFT(Type_fusee,4)="Mini",Liste_minif, IF(LEFT(Type_fusee,5)="Micro",Liste_µfu, IF(RIGHT(Type_fusee,1)=" ",Liste_H2O, IF(LEFT(Type_fusee,1)="R",Liste_RC, IF(LEFT(Type_fusee,1)=",",Liste_minifT))))))</f>
        <v>Pro54-5G WT</v>
      </c>
      <c r="C317" s="642" t="str">
        <f>A26</f>
        <v>H2O 1.5L 300g 6bar</v>
      </c>
      <c r="D317" s="643"/>
      <c r="F317" s="642" t="str">
        <f>A67</f>
        <v>µ-propu A8-3</v>
      </c>
      <c r="G317" s="643"/>
      <c r="H317" s="472"/>
      <c r="I317" s="644" t="str">
        <f>A148</f>
        <v>p29-1G 56F31</v>
      </c>
      <c r="J317" s="645"/>
      <c r="K317" s="472"/>
      <c r="L317" s="644" t="str">
        <f>A158</f>
        <v>p29-1G 57F59</v>
      </c>
      <c r="M317" s="645"/>
      <c r="O317" s="642" t="str">
        <f>A108</f>
        <v>p24-1G 24E22</v>
      </c>
      <c r="P317" s="643"/>
      <c r="R317" s="642" t="str">
        <f>A284</f>
        <v>Pro54-5G WT</v>
      </c>
      <c r="S317" s="643"/>
    </row>
    <row r="318" spans="1:25" x14ac:dyDescent="0.2">
      <c r="A318" s="398" t="str">
        <v>Barasinga (Pro54-5G C)</v>
      </c>
      <c r="C318" s="642" t="str">
        <f>A31</f>
        <v>H2O 1.5L 450g 6bar</v>
      </c>
      <c r="D318" s="643"/>
      <c r="F318" s="642" t="str">
        <f>A72</f>
        <v>µ-propu B4-4</v>
      </c>
      <c r="G318" s="643"/>
      <c r="H318" s="472"/>
      <c r="I318" s="644" t="str">
        <f>A153</f>
        <v>p29-1G 56F120</v>
      </c>
      <c r="J318" s="645"/>
      <c r="K318" s="472"/>
      <c r="L318" s="644" t="str">
        <f>A183</f>
        <v>p24-3G 74F85</v>
      </c>
      <c r="M318" s="645"/>
      <c r="O318" s="642" t="str">
        <f>A113</f>
        <v>p24-1G 25E75 (Rufina)</v>
      </c>
      <c r="P318" s="643"/>
      <c r="R318" s="642" t="str">
        <f>A279</f>
        <v>Barasinga (Pro54-5G C)</v>
      </c>
      <c r="S318" s="643"/>
    </row>
    <row r="319" spans="1:25" x14ac:dyDescent="0.2">
      <c r="A319" s="398" t="str">
        <v>Orignal (Pro75-3G C)</v>
      </c>
      <c r="C319" s="642" t="str">
        <f>A36</f>
        <v>H2O 1.5L 600g 6bar</v>
      </c>
      <c r="D319" s="643"/>
      <c r="F319" s="642" t="str">
        <f>A77</f>
        <v>µ-propu C6-3</v>
      </c>
      <c r="G319" s="643"/>
      <c r="H319" s="472"/>
      <c r="I319" s="644" t="str">
        <f>A158</f>
        <v>p29-1G 57F59</v>
      </c>
      <c r="J319" s="645"/>
      <c r="K319" s="472"/>
      <c r="L319" s="644" t="str">
        <f>A188</f>
        <v>p24-3G 75F51</v>
      </c>
      <c r="M319" s="645"/>
      <c r="O319" s="642" t="str">
        <f>A118</f>
        <v>p24-1G 26E31</v>
      </c>
      <c r="P319" s="643"/>
      <c r="R319" s="642" t="str">
        <f>A289</f>
        <v>Orignal (Pro75-3G C)</v>
      </c>
      <c r="S319" s="643"/>
    </row>
    <row r="320" spans="1:25" x14ac:dyDescent="0.2">
      <c r="A320" s="398" t="str">
        <v>Pro98-6G Green</v>
      </c>
      <c r="C320" s="642" t="str">
        <f>A41</f>
        <v>H2O 1.5L 750g 6bar</v>
      </c>
      <c r="D320" s="643"/>
      <c r="F320" s="642" t="str">
        <f>A82</f>
        <v>µ-propu C6-3 x2</v>
      </c>
      <c r="G320" s="643"/>
      <c r="H320" s="472"/>
      <c r="I320" s="644" t="str">
        <f>A183</f>
        <v>p24-3G 74F85</v>
      </c>
      <c r="J320" s="645"/>
      <c r="K320" s="472"/>
      <c r="L320" s="644" t="str">
        <f>A228</f>
        <v>p29-2G 116G126</v>
      </c>
      <c r="M320" s="645"/>
      <c r="O320" s="642" t="str">
        <f>A123</f>
        <v>p24-2G 50E51</v>
      </c>
      <c r="P320" s="643"/>
      <c r="R320" s="642" t="str">
        <f>A294</f>
        <v>Pro98-6G Green</v>
      </c>
      <c r="S320" s="643"/>
    </row>
    <row r="321" spans="1:19" x14ac:dyDescent="0.2">
      <c r="A321" s="398" t="str">
        <v xml:space="preserve"> </v>
      </c>
      <c r="C321" s="642" t="str">
        <f>A46</f>
        <v>H2O 2.0L 400g 6bar</v>
      </c>
      <c r="D321" s="643"/>
      <c r="F321" s="642" t="str">
        <f>A87</f>
        <v>µ-propu C6-3 x3</v>
      </c>
      <c r="G321" s="643"/>
      <c r="H321" s="472"/>
      <c r="I321" s="644" t="str">
        <f>A188</f>
        <v>p24-3G 75F51</v>
      </c>
      <c r="J321" s="645"/>
      <c r="K321" s="472"/>
      <c r="L321" s="644" t="str">
        <f>A198</f>
        <v>Pandora (Pro24-6G BS)</v>
      </c>
      <c r="M321" s="645"/>
      <c r="O321" s="642" t="str">
        <f>A128</f>
        <v>p24-1G 53E70</v>
      </c>
      <c r="P321" s="643"/>
      <c r="R321" s="642" t="s">
        <v>183</v>
      </c>
      <c r="S321" s="643"/>
    </row>
    <row r="322" spans="1:19" x14ac:dyDescent="0.2">
      <c r="A322" s="398" t="str">
        <v xml:space="preserve"> </v>
      </c>
      <c r="C322" s="642" t="str">
        <f>A51</f>
        <v>H2O 2.0L 600g 6bar</v>
      </c>
      <c r="D322" s="643"/>
      <c r="F322" s="642" t="s">
        <v>183</v>
      </c>
      <c r="G322" s="643"/>
      <c r="H322" s="472"/>
      <c r="I322" s="644" t="s">
        <v>183</v>
      </c>
      <c r="J322" s="645"/>
      <c r="K322" s="472"/>
      <c r="L322" s="642" t="str">
        <f>A92</f>
        <v>Klima D9-7</v>
      </c>
      <c r="M322" s="643"/>
      <c r="O322" s="642" t="str">
        <f>A133</f>
        <v>p29-1G 41F36</v>
      </c>
      <c r="P322" s="643"/>
      <c r="R322" s="642" t="s">
        <v>183</v>
      </c>
      <c r="S322" s="643"/>
    </row>
    <row r="323" spans="1:19" x14ac:dyDescent="0.2">
      <c r="A323" s="398" t="str">
        <v xml:space="preserve"> </v>
      </c>
      <c r="C323" s="642" t="str">
        <f>A56</f>
        <v>H2O 2.0L 800g 6bar</v>
      </c>
      <c r="D323" s="643"/>
      <c r="F323" s="642" t="s">
        <v>183</v>
      </c>
      <c r="G323" s="643"/>
      <c r="H323" s="472"/>
      <c r="I323" s="644" t="s">
        <v>183</v>
      </c>
      <c r="J323" s="645"/>
      <c r="K323" s="472"/>
      <c r="L323" s="642" t="str">
        <f>A97</f>
        <v>Klima D9-7 x2</v>
      </c>
      <c r="M323" s="643"/>
      <c r="O323" s="642" t="str">
        <f>A138</f>
        <v>p29-1G 51F36</v>
      </c>
      <c r="P323" s="643"/>
      <c r="R323" s="642" t="s">
        <v>183</v>
      </c>
      <c r="S323" s="643"/>
    </row>
    <row r="324" spans="1:19" x14ac:dyDescent="0.2">
      <c r="A324" s="398" t="str">
        <v xml:space="preserve"> </v>
      </c>
      <c r="C324" s="642" t="str">
        <f>A61</f>
        <v>H2O 2.0L 1000g 6bar</v>
      </c>
      <c r="D324" s="643"/>
      <c r="F324" s="642" t="s">
        <v>183</v>
      </c>
      <c r="G324" s="643"/>
      <c r="H324" s="472"/>
      <c r="I324" s="644" t="s">
        <v>183</v>
      </c>
      <c r="J324" s="645"/>
      <c r="K324" s="472"/>
      <c r="L324" s="642" t="str">
        <f>A102</f>
        <v>Klima D9-7 x3</v>
      </c>
      <c r="M324" s="643"/>
      <c r="O324" s="642" t="str">
        <f>A143</f>
        <v>p29-1G 55F29</v>
      </c>
      <c r="P324" s="643"/>
      <c r="R324" s="642" t="s">
        <v>183</v>
      </c>
      <c r="S324" s="643"/>
    </row>
    <row r="325" spans="1:19" x14ac:dyDescent="0.2">
      <c r="A325" s="398" t="str">
        <v xml:space="preserve"> </v>
      </c>
      <c r="C325" s="642" t="s">
        <v>183</v>
      </c>
      <c r="D325" s="643"/>
      <c r="F325" s="642" t="s">
        <v>183</v>
      </c>
      <c r="G325" s="643"/>
      <c r="H325" s="472"/>
      <c r="I325" s="644" t="s">
        <v>183</v>
      </c>
      <c r="J325" s="645"/>
      <c r="K325" s="472"/>
      <c r="L325" s="642" t="s">
        <v>183</v>
      </c>
      <c r="M325" s="643"/>
      <c r="O325" s="642" t="str">
        <f>A153</f>
        <v>p29-1G 56F120</v>
      </c>
      <c r="P325" s="643"/>
      <c r="R325" s="642" t="s">
        <v>183</v>
      </c>
      <c r="S325" s="643"/>
    </row>
    <row r="326" spans="1:19" x14ac:dyDescent="0.2">
      <c r="A326" s="398" t="str">
        <v xml:space="preserve"> </v>
      </c>
      <c r="C326" s="642" t="s">
        <v>183</v>
      </c>
      <c r="D326" s="643"/>
      <c r="F326" s="642" t="s">
        <v>183</v>
      </c>
      <c r="G326" s="643"/>
      <c r="H326" s="472"/>
      <c r="I326" s="644" t="s">
        <v>183</v>
      </c>
      <c r="J326" s="645"/>
      <c r="K326" s="472"/>
      <c r="L326" s="642" t="s">
        <v>183</v>
      </c>
      <c r="M326" s="643"/>
      <c r="O326" s="642" t="str">
        <f>A158</f>
        <v>p29-1G 57F59</v>
      </c>
      <c r="P326" s="643"/>
      <c r="R326" s="642" t="s">
        <v>183</v>
      </c>
      <c r="S326" s="643"/>
    </row>
    <row r="327" spans="1:19" x14ac:dyDescent="0.2">
      <c r="A327" s="398" t="str">
        <v xml:space="preserve"> </v>
      </c>
      <c r="C327" s="642" t="s">
        <v>183</v>
      </c>
      <c r="D327" s="643"/>
      <c r="F327" s="642" t="s">
        <v>183</v>
      </c>
      <c r="G327" s="643"/>
      <c r="H327" s="472"/>
      <c r="I327" s="644" t="s">
        <v>183</v>
      </c>
      <c r="J327" s="645"/>
      <c r="K327" s="472"/>
      <c r="L327" s="642" t="s">
        <v>183</v>
      </c>
      <c r="M327" s="643"/>
      <c r="O327" s="642" t="str">
        <f>A163</f>
        <v>p24-3G 60F50</v>
      </c>
      <c r="P327" s="643"/>
      <c r="R327" s="642" t="s">
        <v>183</v>
      </c>
      <c r="S327" s="643"/>
    </row>
    <row r="328" spans="1:19" x14ac:dyDescent="0.2">
      <c r="A328" s="398" t="str">
        <v xml:space="preserve"> </v>
      </c>
      <c r="C328" s="642" t="s">
        <v>183</v>
      </c>
      <c r="D328" s="643"/>
      <c r="F328" s="642" t="s">
        <v>183</v>
      </c>
      <c r="G328" s="643"/>
      <c r="H328" s="472"/>
      <c r="I328" s="644" t="s">
        <v>183</v>
      </c>
      <c r="J328" s="645"/>
      <c r="K328" s="472"/>
      <c r="L328" s="642" t="s">
        <v>183</v>
      </c>
      <c r="M328" s="643"/>
      <c r="O328" s="642" t="str">
        <f>A168</f>
        <v>p24-3G 68F79</v>
      </c>
      <c r="P328" s="643"/>
      <c r="R328" s="642" t="s">
        <v>183</v>
      </c>
      <c r="S328" s="643"/>
    </row>
    <row r="329" spans="1:19" x14ac:dyDescent="0.2">
      <c r="A329" s="398" t="str">
        <v xml:space="preserve"> </v>
      </c>
      <c r="C329" s="642" t="s">
        <v>183</v>
      </c>
      <c r="D329" s="643"/>
      <c r="F329" s="642" t="s">
        <v>183</v>
      </c>
      <c r="G329" s="643"/>
      <c r="H329" s="472"/>
      <c r="I329" s="644" t="s">
        <v>183</v>
      </c>
      <c r="J329" s="645"/>
      <c r="K329" s="472"/>
      <c r="L329" s="642" t="s">
        <v>183</v>
      </c>
      <c r="M329" s="643"/>
      <c r="O329" s="642" t="str">
        <f>A173</f>
        <v>p24-3G 68F240</v>
      </c>
      <c r="P329" s="643"/>
      <c r="R329" s="642" t="s">
        <v>183</v>
      </c>
      <c r="S329" s="643"/>
    </row>
    <row r="330" spans="1:19" x14ac:dyDescent="0.2">
      <c r="A330" s="398" t="str">
        <v xml:space="preserve"> </v>
      </c>
      <c r="C330" s="642" t="s">
        <v>183</v>
      </c>
      <c r="D330" s="643"/>
      <c r="F330" s="642" t="s">
        <v>183</v>
      </c>
      <c r="G330" s="643"/>
      <c r="H330" s="472"/>
      <c r="I330" s="644" t="s">
        <v>183</v>
      </c>
      <c r="J330" s="645"/>
      <c r="K330" s="472"/>
      <c r="L330" s="642" t="s">
        <v>183</v>
      </c>
      <c r="M330" s="643"/>
      <c r="O330" s="642" t="str">
        <f>A178</f>
        <v>p24-3G 73F30</v>
      </c>
      <c r="P330" s="643"/>
      <c r="R330" s="642" t="s">
        <v>183</v>
      </c>
      <c r="S330" s="643"/>
    </row>
    <row r="331" spans="1:19" x14ac:dyDescent="0.2">
      <c r="A331" s="398" t="str">
        <v xml:space="preserve"> </v>
      </c>
      <c r="C331" s="642" t="s">
        <v>183</v>
      </c>
      <c r="D331" s="643"/>
      <c r="F331" s="642" t="s">
        <v>183</v>
      </c>
      <c r="G331" s="643"/>
      <c r="H331" s="472"/>
      <c r="I331" s="648" t="s">
        <v>183</v>
      </c>
      <c r="J331" s="649"/>
      <c r="K331" s="472"/>
      <c r="L331" s="642" t="s">
        <v>183</v>
      </c>
      <c r="M331" s="643"/>
      <c r="O331" s="642" t="str">
        <f>A183</f>
        <v>p24-3G 74F85</v>
      </c>
      <c r="P331" s="643"/>
      <c r="R331" s="642" t="s">
        <v>183</v>
      </c>
      <c r="S331" s="643"/>
    </row>
    <row r="332" spans="1:19" x14ac:dyDescent="0.2">
      <c r="A332" s="462" t="str">
        <v xml:space="preserve"> </v>
      </c>
      <c r="C332" s="646" t="s">
        <v>183</v>
      </c>
      <c r="D332" s="647"/>
      <c r="F332" s="646" t="s">
        <v>183</v>
      </c>
      <c r="G332" s="647"/>
      <c r="H332" s="472"/>
      <c r="I332" s="646" t="s">
        <v>183</v>
      </c>
      <c r="J332" s="647"/>
      <c r="K332" s="472"/>
      <c r="L332" s="646" t="s">
        <v>183</v>
      </c>
      <c r="M332" s="647"/>
      <c r="O332" s="642" t="str">
        <f>A188</f>
        <v>p24-3G 75F51</v>
      </c>
      <c r="P332" s="643"/>
      <c r="R332" s="646" t="s">
        <v>183</v>
      </c>
      <c r="S332" s="647"/>
    </row>
    <row r="333" spans="1:19" x14ac:dyDescent="0.2">
      <c r="A333" s="398" t="str">
        <v xml:space="preserve"> </v>
      </c>
      <c r="C333" s="637" t="s">
        <v>183</v>
      </c>
      <c r="D333" s="637"/>
      <c r="F333" s="637" t="s">
        <v>183</v>
      </c>
      <c r="G333" s="637"/>
      <c r="I333" s="639" t="s">
        <v>183</v>
      </c>
      <c r="J333" s="639"/>
      <c r="L333" s="639" t="s">
        <v>183</v>
      </c>
      <c r="M333" s="639"/>
      <c r="O333" s="642" t="str">
        <f>A213</f>
        <v>p29-2G 84G88</v>
      </c>
      <c r="P333" s="643"/>
      <c r="R333" s="651" t="s">
        <v>183</v>
      </c>
      <c r="S333" s="651"/>
    </row>
    <row r="334" spans="1:19" x14ac:dyDescent="0.2">
      <c r="A334" s="398" t="str">
        <v>Isard</v>
      </c>
      <c r="C334" s="638" t="s">
        <v>183</v>
      </c>
      <c r="D334" s="638"/>
      <c r="F334" s="638" t="s">
        <v>183</v>
      </c>
      <c r="G334" s="638"/>
      <c r="I334" s="639" t="s">
        <v>183</v>
      </c>
      <c r="J334" s="639"/>
      <c r="L334" s="639" t="s">
        <v>183</v>
      </c>
      <c r="M334" s="639"/>
      <c r="O334" s="642" t="str">
        <f>A218</f>
        <v>p29-2G 93G80</v>
      </c>
      <c r="P334" s="643"/>
      <c r="R334" s="650" t="str">
        <f>A269</f>
        <v>Isard</v>
      </c>
      <c r="S334" s="650"/>
    </row>
    <row r="335" spans="1:19" x14ac:dyDescent="0.2">
      <c r="A335" s="398" t="str">
        <v>Chamois</v>
      </c>
      <c r="C335" s="638" t="s">
        <v>183</v>
      </c>
      <c r="D335" s="638"/>
      <c r="F335" s="638" t="s">
        <v>183</v>
      </c>
      <c r="G335" s="638"/>
      <c r="I335" s="639" t="s">
        <v>183</v>
      </c>
      <c r="J335" s="639"/>
      <c r="L335" s="639" t="s">
        <v>183</v>
      </c>
      <c r="M335" s="639"/>
      <c r="O335" s="642" t="str">
        <f>A223</f>
        <v>p29-2G 110G250</v>
      </c>
      <c r="P335" s="643"/>
      <c r="R335" s="650" t="str">
        <f>A274</f>
        <v>Chamois</v>
      </c>
      <c r="S335" s="650"/>
    </row>
    <row r="336" spans="1:19" x14ac:dyDescent="0.2">
      <c r="A336" s="398" t="str">
        <v>Pro54-5G WT</v>
      </c>
      <c r="C336" s="638" t="s">
        <v>183</v>
      </c>
      <c r="D336" s="638"/>
      <c r="F336" s="638" t="s">
        <v>183</v>
      </c>
      <c r="G336" s="638"/>
      <c r="I336" s="639" t="s">
        <v>183</v>
      </c>
      <c r="J336" s="639"/>
      <c r="L336" s="639" t="s">
        <v>183</v>
      </c>
      <c r="M336" s="639"/>
      <c r="O336" s="642" t="str">
        <f>A228</f>
        <v>p29-2G 116G126</v>
      </c>
      <c r="P336" s="643"/>
      <c r="R336" s="650" t="str">
        <f>A284</f>
        <v>Pro54-5G WT</v>
      </c>
      <c r="S336" s="650"/>
    </row>
    <row r="337" spans="1:19" x14ac:dyDescent="0.2">
      <c r="A337" s="398" t="str">
        <v>Pro98-6G Green</v>
      </c>
      <c r="C337" s="638" t="s">
        <v>183</v>
      </c>
      <c r="D337" s="638"/>
      <c r="F337" s="638" t="s">
        <v>183</v>
      </c>
      <c r="G337" s="638"/>
      <c r="I337" s="639" t="s">
        <v>183</v>
      </c>
      <c r="J337" s="639"/>
      <c r="L337" s="639" t="s">
        <v>183</v>
      </c>
      <c r="M337" s="639"/>
      <c r="O337" s="642" t="str">
        <f>A233</f>
        <v>p29-3G 125G131</v>
      </c>
      <c r="P337" s="643"/>
      <c r="R337" s="650" t="str">
        <f>A294</f>
        <v>Pro98-6G Green</v>
      </c>
      <c r="S337" s="650"/>
    </row>
    <row r="338" spans="1:19" x14ac:dyDescent="0.2">
      <c r="A338" s="398" t="str">
        <v>Pro98-3G WT</v>
      </c>
      <c r="C338" s="638" t="s">
        <v>183</v>
      </c>
      <c r="D338" s="638"/>
      <c r="F338" s="638" t="s">
        <v>183</v>
      </c>
      <c r="G338" s="638"/>
      <c r="I338" s="639" t="s">
        <v>183</v>
      </c>
      <c r="J338" s="639"/>
      <c r="L338" s="639" t="s">
        <v>183</v>
      </c>
      <c r="M338" s="639"/>
      <c r="O338" s="642" t="str">
        <f>A248</f>
        <v>p38-1G 128G185</v>
      </c>
      <c r="P338" s="643"/>
      <c r="R338" s="650" t="str">
        <f>A299</f>
        <v>Pro98-3G WT</v>
      </c>
      <c r="S338" s="650"/>
    </row>
    <row r="339" spans="1:19" x14ac:dyDescent="0.2">
      <c r="A339" s="398" t="str">
        <v>Aucun (2e ét. inerte)</v>
      </c>
      <c r="C339" s="638" t="s">
        <v>183</v>
      </c>
      <c r="D339" s="638"/>
      <c r="F339" s="638" t="s">
        <v>183</v>
      </c>
      <c r="G339" s="638"/>
      <c r="I339" s="639" t="s">
        <v>183</v>
      </c>
      <c r="J339" s="639"/>
      <c r="L339" s="639" t="s">
        <v>183</v>
      </c>
      <c r="M339" s="639"/>
      <c r="O339" s="642" t="str">
        <f>A243</f>
        <v>p38-1G 137G58</v>
      </c>
      <c r="P339" s="643"/>
      <c r="R339" s="650" t="str">
        <f>A309</f>
        <v>Aucun (2e ét. inerte)</v>
      </c>
      <c r="S339" s="650"/>
    </row>
    <row r="340" spans="1:19" x14ac:dyDescent="0.2">
      <c r="A340" s="398" t="str">
        <v xml:space="preserve"> </v>
      </c>
      <c r="C340" s="638" t="s">
        <v>183</v>
      </c>
      <c r="D340" s="638"/>
      <c r="F340" s="638" t="s">
        <v>183</v>
      </c>
      <c r="G340" s="638"/>
      <c r="I340" s="639" t="s">
        <v>183</v>
      </c>
      <c r="J340" s="639"/>
      <c r="L340" s="639" t="s">
        <v>183</v>
      </c>
      <c r="M340" s="639"/>
      <c r="O340" s="642" t="str">
        <f>A253</f>
        <v>p38-1G 141G78</v>
      </c>
      <c r="P340" s="643"/>
      <c r="R340" s="639" t="s">
        <v>183</v>
      </c>
      <c r="S340" s="639"/>
    </row>
    <row r="341" spans="1:19" x14ac:dyDescent="0.2">
      <c r="A341" s="398" t="str">
        <v xml:space="preserve"> </v>
      </c>
      <c r="C341" s="638" t="s">
        <v>183</v>
      </c>
      <c r="D341" s="638"/>
      <c r="F341" s="638" t="s">
        <v>183</v>
      </c>
      <c r="G341" s="638"/>
      <c r="I341" s="638" t="s">
        <v>183</v>
      </c>
      <c r="J341" s="638"/>
      <c r="L341" s="639" t="s">
        <v>183</v>
      </c>
      <c r="M341" s="639"/>
      <c r="O341" s="642" t="str">
        <f>A193</f>
        <v>p24-6G 140G145 PK</v>
      </c>
      <c r="P341" s="643"/>
      <c r="R341" s="638" t="s">
        <v>183</v>
      </c>
      <c r="S341" s="638"/>
    </row>
    <row r="342" spans="1:19" x14ac:dyDescent="0.2">
      <c r="A342" s="398" t="str">
        <v xml:space="preserve"> </v>
      </c>
      <c r="C342" s="638" t="s">
        <v>183</v>
      </c>
      <c r="D342" s="638"/>
      <c r="F342" s="638" t="s">
        <v>183</v>
      </c>
      <c r="G342" s="638"/>
      <c r="I342" s="638" t="s">
        <v>183</v>
      </c>
      <c r="J342" s="638"/>
      <c r="L342" s="639" t="s">
        <v>183</v>
      </c>
      <c r="M342" s="639"/>
      <c r="O342" s="642" t="str">
        <f>A198</f>
        <v>Pandora (Pro24-6G BS)</v>
      </c>
      <c r="P342" s="643"/>
      <c r="R342" s="638" t="s">
        <v>183</v>
      </c>
      <c r="S342" s="638"/>
    </row>
    <row r="343" spans="1:19" x14ac:dyDescent="0.2">
      <c r="A343" s="398" t="str">
        <v xml:space="preserve"> </v>
      </c>
      <c r="C343" s="638" t="s">
        <v>183</v>
      </c>
      <c r="D343" s="638"/>
      <c r="F343" s="638" t="s">
        <v>183</v>
      </c>
      <c r="G343" s="638"/>
      <c r="I343" s="638" t="s">
        <v>183</v>
      </c>
      <c r="J343" s="638"/>
      <c r="L343" s="638" t="s">
        <v>183</v>
      </c>
      <c r="M343" s="638"/>
      <c r="O343" s="644" t="str">
        <f>A203</f>
        <v>p24-6G 142G117 WT</v>
      </c>
      <c r="P343" s="645"/>
      <c r="R343" s="638" t="s">
        <v>183</v>
      </c>
      <c r="S343" s="638"/>
    </row>
    <row r="344" spans="1:19" x14ac:dyDescent="0.2">
      <c r="A344" s="398" t="str">
        <v xml:space="preserve"> </v>
      </c>
      <c r="C344" s="638" t="s">
        <v>183</v>
      </c>
      <c r="D344" s="638"/>
      <c r="F344" s="638" t="s">
        <v>183</v>
      </c>
      <c r="G344" s="638"/>
      <c r="I344" s="638" t="s">
        <v>183</v>
      </c>
      <c r="J344" s="638"/>
      <c r="L344" s="638" t="s">
        <v>183</v>
      </c>
      <c r="M344" s="638"/>
      <c r="O344" s="644" t="str">
        <f>A208</f>
        <v>p24-6G 139G107 DT</v>
      </c>
      <c r="P344" s="645"/>
      <c r="R344" s="638" t="s">
        <v>183</v>
      </c>
      <c r="S344" s="638"/>
    </row>
    <row r="345" spans="1:19" x14ac:dyDescent="0.2">
      <c r="A345" s="398" t="str">
        <v xml:space="preserve"> </v>
      </c>
      <c r="C345" s="638" t="s">
        <v>183</v>
      </c>
      <c r="D345" s="638"/>
      <c r="F345" s="638" t="s">
        <v>183</v>
      </c>
      <c r="G345" s="638"/>
      <c r="I345" s="638" t="s">
        <v>183</v>
      </c>
      <c r="J345" s="638"/>
      <c r="L345" s="638" t="s">
        <v>183</v>
      </c>
      <c r="M345" s="638"/>
      <c r="O345" s="644" t="str">
        <f>A263</f>
        <v>Cariacou</v>
      </c>
      <c r="P345" s="645"/>
      <c r="R345" s="638" t="s">
        <v>183</v>
      </c>
      <c r="S345" s="638"/>
    </row>
    <row r="346" spans="1:19" x14ac:dyDescent="0.2">
      <c r="A346" s="473" t="str">
        <v xml:space="preserve"> </v>
      </c>
      <c r="C346" s="638" t="s">
        <v>183</v>
      </c>
      <c r="D346" s="638"/>
      <c r="F346" s="638" t="s">
        <v>183</v>
      </c>
      <c r="G346" s="638"/>
      <c r="I346" s="638" t="s">
        <v>183</v>
      </c>
      <c r="J346" s="638"/>
      <c r="L346" s="638" t="s">
        <v>183</v>
      </c>
      <c r="M346" s="638"/>
      <c r="O346" s="652" t="str">
        <f>A258</f>
        <v>Wapiti</v>
      </c>
      <c r="P346" s="653"/>
      <c r="R346" s="638" t="s">
        <v>183</v>
      </c>
      <c r="S346" s="638"/>
    </row>
  </sheetData>
  <sheetProtection algorithmName="SHA-512" hashValue="TT52kldpbNfsZI03mY8g5TIIsjEeL9Q9TBJMBYh4cROlVUm3NqAv8usVb5XJtvE8tyHIClwYMgtE2emaKO5x7A==" saltValue="IfNq7E35bfDyzUo3UGtZTg==" spinCount="100000" sheet="1" objects="1" scenarios="1"/>
  <dataConsolidate/>
  <mergeCells count="186">
    <mergeCell ref="R346:S346"/>
    <mergeCell ref="R342:S342"/>
    <mergeCell ref="F342:G342"/>
    <mergeCell ref="F343:G343"/>
    <mergeCell ref="F344:G344"/>
    <mergeCell ref="F345:G345"/>
    <mergeCell ref="F346:G346"/>
    <mergeCell ref="O346:P346"/>
    <mergeCell ref="L345:M345"/>
    <mergeCell ref="L346:M346"/>
    <mergeCell ref="I344:J344"/>
    <mergeCell ref="I346:J346"/>
    <mergeCell ref="I345:J345"/>
    <mergeCell ref="R340:S340"/>
    <mergeCell ref="R341:S341"/>
    <mergeCell ref="R343:S343"/>
    <mergeCell ref="R344:S344"/>
    <mergeCell ref="R345:S345"/>
    <mergeCell ref="O345:P345"/>
    <mergeCell ref="O340:P340"/>
    <mergeCell ref="R339:S339"/>
    <mergeCell ref="F332:G332"/>
    <mergeCell ref="O343:P343"/>
    <mergeCell ref="R338:S338"/>
    <mergeCell ref="R336:S336"/>
    <mergeCell ref="R337:S337"/>
    <mergeCell ref="R334:S334"/>
    <mergeCell ref="F341:G341"/>
    <mergeCell ref="O342:P342"/>
    <mergeCell ref="O335:P335"/>
    <mergeCell ref="O334:P334"/>
    <mergeCell ref="O339:P339"/>
    <mergeCell ref="O344:P344"/>
    <mergeCell ref="R335:S335"/>
    <mergeCell ref="R333:S333"/>
    <mergeCell ref="I337:J337"/>
    <mergeCell ref="I338:J338"/>
    <mergeCell ref="F336:G336"/>
    <mergeCell ref="F337:G337"/>
    <mergeCell ref="O327:P327"/>
    <mergeCell ref="O333:P333"/>
    <mergeCell ref="L328:M328"/>
    <mergeCell ref="I336:J336"/>
    <mergeCell ref="O332:P332"/>
    <mergeCell ref="L333:M333"/>
    <mergeCell ref="I341:J341"/>
    <mergeCell ref="O337:P337"/>
    <mergeCell ref="F339:G339"/>
    <mergeCell ref="F340:G340"/>
    <mergeCell ref="O338:P338"/>
    <mergeCell ref="O336:P336"/>
    <mergeCell ref="I328:J328"/>
    <mergeCell ref="I329:J329"/>
    <mergeCell ref="I330:J330"/>
    <mergeCell ref="I331:J331"/>
    <mergeCell ref="I335:J335"/>
    <mergeCell ref="L337:M337"/>
    <mergeCell ref="O341:P341"/>
    <mergeCell ref="L334:M334"/>
    <mergeCell ref="F329:G329"/>
    <mergeCell ref="F330:G330"/>
    <mergeCell ref="F331:G331"/>
    <mergeCell ref="F324:G324"/>
    <mergeCell ref="F321:G321"/>
    <mergeCell ref="F320:G320"/>
    <mergeCell ref="O323:P323"/>
    <mergeCell ref="O320:P320"/>
    <mergeCell ref="O319:P319"/>
    <mergeCell ref="O324:P324"/>
    <mergeCell ref="F319:G319"/>
    <mergeCell ref="O322:P322"/>
    <mergeCell ref="I320:J320"/>
    <mergeCell ref="L319:M319"/>
    <mergeCell ref="L326:M326"/>
    <mergeCell ref="L327:M327"/>
    <mergeCell ref="L321:M321"/>
    <mergeCell ref="L322:M322"/>
    <mergeCell ref="O325:P325"/>
    <mergeCell ref="O330:P330"/>
    <mergeCell ref="F327:G327"/>
    <mergeCell ref="F326:G326"/>
    <mergeCell ref="L316:M316"/>
    <mergeCell ref="C327:D327"/>
    <mergeCell ref="C326:D326"/>
    <mergeCell ref="C325:D325"/>
    <mergeCell ref="C324:D324"/>
    <mergeCell ref="C323:D323"/>
    <mergeCell ref="C322:D322"/>
    <mergeCell ref="O316:P316"/>
    <mergeCell ref="F318:G318"/>
    <mergeCell ref="F317:G317"/>
    <mergeCell ref="O318:P318"/>
    <mergeCell ref="O317:P317"/>
    <mergeCell ref="L318:M318"/>
    <mergeCell ref="C316:D316"/>
    <mergeCell ref="C317:D317"/>
    <mergeCell ref="C318:D318"/>
    <mergeCell ref="C319:D319"/>
    <mergeCell ref="C320:D320"/>
    <mergeCell ref="F316:G316"/>
    <mergeCell ref="L320:M320"/>
    <mergeCell ref="I316:J316"/>
    <mergeCell ref="I317:J317"/>
    <mergeCell ref="I318:J318"/>
    <mergeCell ref="I319:J319"/>
    <mergeCell ref="L317:M317"/>
    <mergeCell ref="C332:D332"/>
    <mergeCell ref="R322:S322"/>
    <mergeCell ref="R328:S328"/>
    <mergeCell ref="R332:S332"/>
    <mergeCell ref="F328:G328"/>
    <mergeCell ref="F322:G322"/>
    <mergeCell ref="O326:P326"/>
    <mergeCell ref="F323:G323"/>
    <mergeCell ref="O331:P331"/>
    <mergeCell ref="R330:S330"/>
    <mergeCell ref="R329:S329"/>
    <mergeCell ref="O329:P329"/>
    <mergeCell ref="R331:S331"/>
    <mergeCell ref="L331:M331"/>
    <mergeCell ref="L332:M332"/>
    <mergeCell ref="L329:M329"/>
    <mergeCell ref="L330:M330"/>
    <mergeCell ref="L325:M325"/>
    <mergeCell ref="C329:D329"/>
    <mergeCell ref="C330:D330"/>
    <mergeCell ref="I332:J332"/>
    <mergeCell ref="C331:D331"/>
    <mergeCell ref="F325:G325"/>
    <mergeCell ref="R316:S316"/>
    <mergeCell ref="R317:S317"/>
    <mergeCell ref="R318:S318"/>
    <mergeCell ref="R319:S319"/>
    <mergeCell ref="R320:S320"/>
    <mergeCell ref="C328:D328"/>
    <mergeCell ref="O328:P328"/>
    <mergeCell ref="R327:S327"/>
    <mergeCell ref="R326:S326"/>
    <mergeCell ref="C321:D321"/>
    <mergeCell ref="O321:P321"/>
    <mergeCell ref="R321:S321"/>
    <mergeCell ref="R325:S325"/>
    <mergeCell ref="R324:S324"/>
    <mergeCell ref="R323:S323"/>
    <mergeCell ref="I321:J321"/>
    <mergeCell ref="I322:J322"/>
    <mergeCell ref="I323:J323"/>
    <mergeCell ref="I324:J324"/>
    <mergeCell ref="I325:J325"/>
    <mergeCell ref="I326:J326"/>
    <mergeCell ref="I327:J327"/>
    <mergeCell ref="L323:M323"/>
    <mergeCell ref="L324:M324"/>
    <mergeCell ref="C345:D345"/>
    <mergeCell ref="C346:D346"/>
    <mergeCell ref="C335:D335"/>
    <mergeCell ref="C336:D336"/>
    <mergeCell ref="C337:D337"/>
    <mergeCell ref="C338:D338"/>
    <mergeCell ref="C339:D339"/>
    <mergeCell ref="C340:D340"/>
    <mergeCell ref="C334:D334"/>
    <mergeCell ref="C333:D333"/>
    <mergeCell ref="L343:M343"/>
    <mergeCell ref="L344:M344"/>
    <mergeCell ref="F338:G338"/>
    <mergeCell ref="C341:D341"/>
    <mergeCell ref="C342:D342"/>
    <mergeCell ref="C343:D343"/>
    <mergeCell ref="I342:J342"/>
    <mergeCell ref="I343:J343"/>
    <mergeCell ref="L341:M341"/>
    <mergeCell ref="L342:M342"/>
    <mergeCell ref="C344:D344"/>
    <mergeCell ref="L338:M338"/>
    <mergeCell ref="F333:G333"/>
    <mergeCell ref="L335:M335"/>
    <mergeCell ref="L336:M336"/>
    <mergeCell ref="I333:J333"/>
    <mergeCell ref="I334:J334"/>
    <mergeCell ref="L339:M339"/>
    <mergeCell ref="L340:M340"/>
    <mergeCell ref="I340:J340"/>
    <mergeCell ref="I339:J339"/>
    <mergeCell ref="F334:G334"/>
    <mergeCell ref="F335:G335"/>
  </mergeCells>
  <phoneticPr fontId="8" type="noConversion"/>
  <pageMargins left="0.39370078740157483" right="0.39370078740157483" top="0.39370078740157483" bottom="0.39370078740157483" header="0" footer="0"/>
  <pageSetup scale="44" firstPageNumber="0" fitToHeight="3" orientation="landscape" horizontalDpi="300" verticalDpi="300" r:id="rId1"/>
  <headerFooter alignWithMargins="0"/>
  <ignoredErrors>
    <ignoredError sqref="S318 C317:D324 F317:G321 O322:P339 O342:P342 R334:S339 O340:O341 O317:P319 O320:P321 P341 M324 S317" unlockedFormula="1"/>
  </ignoredError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4">
    <pageSetUpPr fitToPage="1"/>
  </sheetPr>
  <dimension ref="A1:IN1075"/>
  <sheetViews>
    <sheetView showGridLines="0" workbookViewId="0">
      <pane xSplit="3" ySplit="7" topLeftCell="D206" activePane="bottomRight" state="frozen"/>
      <selection pane="topRight" activeCell="D1" sqref="D1"/>
      <selection pane="bottomLeft" activeCell="A8" sqref="A8"/>
      <selection pane="bottomRight" activeCell="L436" sqref="L436"/>
    </sheetView>
  </sheetViews>
  <sheetFormatPr baseColWidth="10" defaultColWidth="11.5703125" defaultRowHeight="12.75" x14ac:dyDescent="0.2"/>
  <cols>
    <col min="1" max="1" width="4.5703125" style="7" bestFit="1" customWidth="1"/>
    <col min="2" max="2" width="6" style="7" bestFit="1" customWidth="1"/>
    <col min="3" max="3" width="1.42578125" style="8" customWidth="1"/>
    <col min="4" max="4" width="7.140625" style="7" customWidth="1"/>
    <col min="5" max="6" width="7.42578125" style="7" customWidth="1"/>
    <col min="7" max="7" width="7.140625" style="7" customWidth="1"/>
    <col min="8" max="8" width="7.42578125" style="7" customWidth="1"/>
    <col min="9" max="9" width="7.140625" style="7" customWidth="1"/>
    <col min="10" max="12" width="7.5703125" style="7" bestFit="1" customWidth="1"/>
    <col min="13" max="13" width="5.85546875" style="7" customWidth="1"/>
    <col min="14" max="14" width="6.42578125" style="7" customWidth="1"/>
    <col min="15" max="15" width="1.42578125" style="8" customWidth="1"/>
    <col min="16" max="16" width="4" style="7" customWidth="1"/>
    <col min="17" max="17" width="8.5703125" style="7" customWidth="1"/>
    <col min="18" max="18" width="5.85546875" style="7" customWidth="1"/>
    <col min="19" max="19" width="5.140625" style="7" customWidth="1"/>
    <col min="20" max="20" width="6" style="7" customWidth="1"/>
    <col min="21" max="21" width="8.85546875" style="7" customWidth="1"/>
    <col min="22" max="22" width="6.85546875" style="7" customWidth="1"/>
    <col min="23" max="23" width="7.140625" style="7" customWidth="1"/>
    <col min="24" max="24" width="1.42578125" style="8" customWidth="1"/>
    <col min="25" max="25" width="15.85546875" style="7" customWidth="1"/>
    <col min="26" max="26" width="5.85546875" style="7" customWidth="1"/>
    <col min="27" max="27" width="7.85546875" style="7" customWidth="1"/>
    <col min="28" max="28" width="1.5703125" style="7" customWidth="1"/>
    <col min="29" max="29" width="7.140625" style="7" bestFit="1" customWidth="1"/>
    <col min="30" max="31" width="6.85546875" style="7" bestFit="1" customWidth="1"/>
    <col min="32" max="32" width="1.85546875" style="7" customWidth="1"/>
    <col min="33" max="238" width="11.42578125" style="7" customWidth="1"/>
    <col min="239" max="239" width="11" style="7" customWidth="1"/>
  </cols>
  <sheetData>
    <row r="1" spans="1:248" ht="13.5" thickBot="1" x14ac:dyDescent="0.25">
      <c r="D1" s="654" t="s">
        <v>265</v>
      </c>
      <c r="E1" s="655"/>
      <c r="F1" s="655"/>
      <c r="G1" s="655"/>
      <c r="H1" s="655"/>
      <c r="I1" s="655"/>
      <c r="J1" s="655"/>
      <c r="K1" s="655"/>
      <c r="L1" s="655"/>
      <c r="M1" s="655"/>
      <c r="N1" s="656"/>
      <c r="P1" s="654" t="s">
        <v>17</v>
      </c>
      <c r="Q1" s="655"/>
      <c r="R1" s="655"/>
      <c r="S1" s="655"/>
      <c r="T1" s="655"/>
      <c r="U1" s="655"/>
      <c r="V1" s="655"/>
      <c r="W1" s="656"/>
      <c r="Y1" s="9"/>
      <c r="Z1" s="9"/>
      <c r="AA1" s="9"/>
      <c r="AC1" s="661" t="s">
        <v>185</v>
      </c>
      <c r="AD1" s="661"/>
      <c r="AE1" s="661"/>
      <c r="AG1" s="657" t="s">
        <v>18</v>
      </c>
      <c r="AH1" s="657"/>
    </row>
    <row r="2" spans="1:248" s="12" customFormat="1" x14ac:dyDescent="0.2">
      <c r="A2" s="330" t="s">
        <v>19</v>
      </c>
      <c r="B2" s="331" t="s">
        <v>2</v>
      </c>
      <c r="C2" s="10"/>
      <c r="D2" s="334" t="s">
        <v>192</v>
      </c>
      <c r="E2" s="335" t="s">
        <v>193</v>
      </c>
      <c r="F2" s="331" t="s">
        <v>194</v>
      </c>
      <c r="G2" s="334" t="s">
        <v>189</v>
      </c>
      <c r="H2" s="335" t="s">
        <v>190</v>
      </c>
      <c r="I2" s="331" t="s">
        <v>191</v>
      </c>
      <c r="J2" s="334" t="s">
        <v>186</v>
      </c>
      <c r="K2" s="335" t="s">
        <v>187</v>
      </c>
      <c r="L2" s="331" t="s">
        <v>188</v>
      </c>
      <c r="M2" s="330" t="s">
        <v>20</v>
      </c>
      <c r="N2" s="331" t="s">
        <v>21</v>
      </c>
      <c r="O2" s="10"/>
      <c r="P2" s="330" t="s">
        <v>26</v>
      </c>
      <c r="Q2" s="331" t="s">
        <v>25</v>
      </c>
      <c r="R2" s="330" t="s">
        <v>22</v>
      </c>
      <c r="S2" s="335" t="s">
        <v>38</v>
      </c>
      <c r="T2" s="331" t="s">
        <v>27</v>
      </c>
      <c r="U2" s="338" t="s">
        <v>28</v>
      </c>
      <c r="V2" s="330" t="s">
        <v>24</v>
      </c>
      <c r="W2" s="331" t="s">
        <v>23</v>
      </c>
      <c r="X2" s="11"/>
      <c r="Y2" s="658" t="s">
        <v>184</v>
      </c>
      <c r="Z2" s="659"/>
      <c r="AA2" s="660"/>
      <c r="AC2" s="330" t="s">
        <v>11</v>
      </c>
      <c r="AD2" s="335" t="s">
        <v>3</v>
      </c>
      <c r="AE2" s="331" t="s">
        <v>29</v>
      </c>
      <c r="AG2" s="345" t="s">
        <v>31</v>
      </c>
      <c r="AH2" s="346" t="s">
        <v>30</v>
      </c>
      <c r="IF2"/>
      <c r="IG2"/>
      <c r="IH2"/>
      <c r="II2"/>
      <c r="IJ2"/>
      <c r="IK2"/>
      <c r="IL2"/>
      <c r="IM2"/>
      <c r="IN2"/>
    </row>
    <row r="3" spans="1:248" s="12" customFormat="1" x14ac:dyDescent="0.2">
      <c r="A3" s="332" t="s">
        <v>153</v>
      </c>
      <c r="B3" s="333" t="s">
        <v>153</v>
      </c>
      <c r="C3" s="10"/>
      <c r="D3" s="336" t="s">
        <v>7</v>
      </c>
      <c r="E3" s="337" t="s">
        <v>7</v>
      </c>
      <c r="F3" s="333" t="s">
        <v>7</v>
      </c>
      <c r="G3" s="336" t="s">
        <v>154</v>
      </c>
      <c r="H3" s="337" t="s">
        <v>154</v>
      </c>
      <c r="I3" s="333" t="s">
        <v>154</v>
      </c>
      <c r="J3" s="336" t="s">
        <v>38</v>
      </c>
      <c r="K3" s="337" t="s">
        <v>38</v>
      </c>
      <c r="L3" s="333" t="s">
        <v>38</v>
      </c>
      <c r="M3" s="332" t="s">
        <v>243</v>
      </c>
      <c r="N3" s="333" t="s">
        <v>155</v>
      </c>
      <c r="O3" s="10"/>
      <c r="P3" s="336" t="s">
        <v>14</v>
      </c>
      <c r="Q3" s="339" t="s">
        <v>226</v>
      </c>
      <c r="R3" s="336" t="s">
        <v>244</v>
      </c>
      <c r="S3" s="340" t="s">
        <v>227</v>
      </c>
      <c r="T3" s="339" t="s">
        <v>226</v>
      </c>
      <c r="U3" s="341" t="s">
        <v>226</v>
      </c>
      <c r="V3" s="336" t="s">
        <v>8</v>
      </c>
      <c r="W3" s="339" t="s">
        <v>226</v>
      </c>
      <c r="X3" s="11"/>
      <c r="Y3" s="342"/>
      <c r="Z3" s="343"/>
      <c r="AA3" s="344"/>
      <c r="AC3" s="336" t="s">
        <v>153</v>
      </c>
      <c r="AD3" s="340" t="s">
        <v>38</v>
      </c>
      <c r="AE3" s="339" t="s">
        <v>38</v>
      </c>
      <c r="AG3" s="342" t="s">
        <v>7</v>
      </c>
      <c r="AH3" s="339" t="s">
        <v>7</v>
      </c>
      <c r="IF3"/>
      <c r="IG3"/>
      <c r="IH3"/>
      <c r="II3"/>
      <c r="IJ3"/>
      <c r="IK3"/>
      <c r="IL3"/>
      <c r="IM3"/>
      <c r="IN3"/>
    </row>
    <row r="4" spans="1:248" x14ac:dyDescent="0.2">
      <c r="A4" s="292" t="s">
        <v>14</v>
      </c>
      <c r="B4" s="349">
        <f>T_ini</f>
        <v>0</v>
      </c>
      <c r="D4" s="292" t="s">
        <v>14</v>
      </c>
      <c r="E4" s="293" t="s">
        <v>14</v>
      </c>
      <c r="F4" s="294" t="s">
        <v>14</v>
      </c>
      <c r="G4" s="292">
        <f>vit_xz*COS(Beta)</f>
        <v>0</v>
      </c>
      <c r="H4" s="293">
        <f>vit_xz*SIN(Beta)</f>
        <v>0</v>
      </c>
      <c r="I4" s="349">
        <f>V_ini</f>
        <v>0</v>
      </c>
      <c r="J4" s="350">
        <f>X_ini</f>
        <v>0</v>
      </c>
      <c r="K4" s="351">
        <f>Z_ini</f>
        <v>0</v>
      </c>
      <c r="L4" s="327">
        <f t="shared" ref="L4:L67" si="0">SQRT(pos_x^2+pos_z^2)</f>
        <v>0</v>
      </c>
      <c r="M4" s="292">
        <f>RADIANS(N4)</f>
        <v>1.3962634015954636</v>
      </c>
      <c r="N4" s="349">
        <f>Beta_rampe</f>
        <v>80</v>
      </c>
      <c r="P4" s="292" t="s">
        <v>14</v>
      </c>
      <c r="Q4" s="294" t="s">
        <v>14</v>
      </c>
      <c r="R4" s="292" t="s">
        <v>14</v>
      </c>
      <c r="S4" s="351">
        <f ca="1">m_tot</f>
        <v>8.4320000000000004</v>
      </c>
      <c r="T4" s="327">
        <f t="shared" ref="T4:T67" ca="1" si="1">m*g</f>
        <v>82.717920000000007</v>
      </c>
      <c r="U4" s="328">
        <f t="shared" ref="U4:U67" ca="1" si="2">IF(pos_xz&lt;L_rampe,Poids*COS(Beta),0)</f>
        <v>14.363816068398938</v>
      </c>
      <c r="V4" s="329">
        <f t="shared" ref="V4:V67" si="3">Rho_moyen*(20000-Alt_rampe-pos_z)/(20000+Alt_rampe+pos_z)</f>
        <v>1.2250000000000001</v>
      </c>
      <c r="W4" s="327">
        <f t="shared" ref="W4:W67" si="4">1/2*Rho*Sref*Cx*vit_xz^2</f>
        <v>0</v>
      </c>
      <c r="Y4" s="295" t="s">
        <v>14</v>
      </c>
      <c r="Z4" s="296" t="s">
        <v>14</v>
      </c>
      <c r="AA4" s="297" t="s">
        <v>14</v>
      </c>
      <c r="AC4" s="320">
        <f>IF(ABS(t-ROUND(t,0))&lt;0.001,t,-1)</f>
        <v>0</v>
      </c>
      <c r="AD4" s="321">
        <f>IF(ABS(t-ROUND(t,0))&lt;0.001,pos_x,-1)</f>
        <v>0</v>
      </c>
      <c r="AE4" s="322">
        <f t="shared" ref="AE4:AE67" si="5">IF(t&lt;T_para, pos_z, NA())</f>
        <v>0</v>
      </c>
      <c r="AG4" s="292" t="s">
        <v>14</v>
      </c>
      <c r="AH4" s="294" t="s">
        <v>14</v>
      </c>
    </row>
    <row r="5" spans="1:248" x14ac:dyDescent="0.2">
      <c r="A5" s="347">
        <f t="shared" ref="A5:A68" ca="1" si="6">IF(B4+0.01&lt;=T_ini+ROUNDUP(Temps_fin_propu,0), 0.01, IF(K4&gt;0, 0.1, 0.0001))</f>
        <v>0.01</v>
      </c>
      <c r="B5" s="304">
        <f t="shared" ref="B5:B68" ca="1" si="7">B4+pas</f>
        <v>0.01</v>
      </c>
      <c r="D5" s="306">
        <f t="shared" ref="D5:D68" ca="1" si="8">IF(AND(L4&lt;L_rampe,Poussee&lt;Poids*SIN(M4)),0,(-W4+Poussee)/m*COS(M4)-U4/m*SIN(M4))</f>
        <v>3.3915633919127166</v>
      </c>
      <c r="E5" s="307">
        <f t="shared" ref="E5:E68" ca="1" si="9">IF(AND(L4&lt;L_rampe,Poussee&lt;Poids*SIN(M4)),0,(-W4+Poussee)/m*SIN(M4)+U4/m*COS(M4)-Poids/m)</f>
        <v>19.235919211452192</v>
      </c>
      <c r="F5" s="304">
        <f t="shared" ref="F5:F68" ca="1" si="10">SQRT(acc_x^2+acc_z^2)</f>
        <v>19.532621179731048</v>
      </c>
      <c r="G5" s="306">
        <f t="shared" ref="G5:G68" ca="1" si="11">G4+acc_x*pas</f>
        <v>3.3915633919127164E-2</v>
      </c>
      <c r="H5" s="307">
        <f t="shared" ref="H5:H68" ca="1" si="12">H4+acc_z*pas</f>
        <v>0.19235919211452193</v>
      </c>
      <c r="I5" s="304">
        <f t="shared" ref="I5:I68" ca="1" si="13">SQRT(vit_x^2+vit_z^2)</f>
        <v>0.19532621179731052</v>
      </c>
      <c r="J5" s="306">
        <f t="shared" ref="J5:J68" ca="1" si="14">J4+0.5*(vit_x+G4)*pas*(K4&gt;=0)</f>
        <v>1.6957816959563583E-4</v>
      </c>
      <c r="K5" s="307">
        <f t="shared" ref="K5:K68" ca="1" si="15">K4+0.5*(vit_z+H4)*pas</f>
        <v>9.6179596057260972E-4</v>
      </c>
      <c r="L5" s="304">
        <f t="shared" ca="1" si="0"/>
        <v>9.7663105898655256E-4</v>
      </c>
      <c r="M5" s="306">
        <f t="shared" ref="M5:M68" ca="1" si="16">IF(AND(L4&gt;L_rampe,G5&gt;0),ATAN2(G5,H5),$M$4)</f>
        <v>1.3962634015954636</v>
      </c>
      <c r="N5" s="304">
        <f t="shared" ref="N5:N68" ca="1" si="17">DEGREES(Beta)</f>
        <v>80</v>
      </c>
      <c r="P5" s="310">
        <f t="shared" ref="P5:P68" ca="1" si="18">MATCH(t-pas/2-T_ini,CdP_t)</f>
        <v>1</v>
      </c>
      <c r="Q5" s="304">
        <f t="shared" ref="Q5:Q68" ca="1" si="19">(INDEX(CdP,2,i_P+1)-INDEX(CdP,2,i_P+0))/(INDEX(CdP,1,i_P+1)-INDEX(CdP,1,i_P+0))*(t-pas/2-T_ini-INDEX(CdP,1,i_P+0))+INDEX(CdP,2,i_P+0)</f>
        <v>246.125</v>
      </c>
      <c r="R5" s="306">
        <f t="shared" ref="R5:R68" ca="1" si="20">Poussee/(g*ISP)</f>
        <v>0.12095363881938478</v>
      </c>
      <c r="S5" s="307">
        <f t="shared" ref="S5:S68" ca="1" si="21">S4-Débit*pas</f>
        <v>8.4307904636118067</v>
      </c>
      <c r="T5" s="304">
        <f t="shared" ca="1" si="1"/>
        <v>82.706054448031821</v>
      </c>
      <c r="U5" s="311">
        <f t="shared" ca="1" si="2"/>
        <v>14.36175563692265</v>
      </c>
      <c r="V5" s="306">
        <f t="shared" ca="1" si="3"/>
        <v>1.2249998821800003</v>
      </c>
      <c r="W5" s="304">
        <f t="shared" ca="1" si="4"/>
        <v>1.533984239552251E-4</v>
      </c>
      <c r="Y5" s="314" t="str">
        <f t="shared" ref="Y5:Y68" ca="1" si="22">IF(AND(pos_z&lt;=0,K4&gt;0),"Impact balistique","") &amp; IF(AND(H6&lt;0,vit_z&gt;=0),"Apogée","") &amp; IF(AND(Poussee=0,Q4&gt;0),"Fin de propulsion","") &amp; IF(AND(L6&gt;L_rampe,pos_xz&lt;=L_rampe),"Sortie de rampe","")</f>
        <v/>
      </c>
      <c r="Z5" s="315" t="str">
        <f t="shared" ref="Z5:Z68" ca="1" si="23">IF(ABS(t-T_para)&lt;pas/2,"Para","")</f>
        <v/>
      </c>
      <c r="AA5" s="316" t="str">
        <f t="shared" ref="AA5:AA68" ca="1" si="24">IF(ABS(t-T_satellite)&lt;pas/2,"Satellite","")</f>
        <v/>
      </c>
      <c r="AC5" s="310" t="e">
        <f t="shared" ref="AC5:AC68" ca="1" si="25">IF(ABS(t-ROUND(t,0))&lt;0.001,t,NA())</f>
        <v>#N/A</v>
      </c>
      <c r="AD5" s="323" t="e">
        <f t="shared" ref="AD5:AD68" ca="1" si="26">IF(ABS(t-ROUND(t,0))&lt;0.001,pos_x,NA())</f>
        <v>#N/A</v>
      </c>
      <c r="AE5" s="324">
        <f t="shared" ca="1" si="5"/>
        <v>9.6179596057260972E-4</v>
      </c>
      <c r="AG5" s="306">
        <f t="shared" ref="AG5:AG68" ca="1" si="27">IF(AND(L4&lt;L_rampe,Poussee&lt;Poids*SIN(M4)),0,(-W4+Poussee)/m-Poids*SIN(M4)/m)</f>
        <v>19.53262117820212</v>
      </c>
      <c r="AH5" s="304">
        <f t="shared" ref="AH5:AH68" ca="1" si="28">IF(AND(L4&lt;L_rampe,Poussee&lt;Poids*SIN(M4)), g*SIN(M4), (-W4+Poussee)/m)</f>
        <v>29.193585235251881</v>
      </c>
    </row>
    <row r="6" spans="1:248" x14ac:dyDescent="0.2">
      <c r="A6" s="347">
        <f t="shared" ca="1" si="6"/>
        <v>0.01</v>
      </c>
      <c r="B6" s="304">
        <f t="shared" ca="1" si="7"/>
        <v>0.02</v>
      </c>
      <c r="D6" s="306">
        <f t="shared" ca="1" si="8"/>
        <v>17.504616594338867</v>
      </c>
      <c r="E6" s="307">
        <f t="shared" ca="1" si="9"/>
        <v>99.278939611784125</v>
      </c>
      <c r="F6" s="304">
        <f t="shared" ca="1" si="10"/>
        <v>100.81031421712305</v>
      </c>
      <c r="G6" s="306">
        <f t="shared" ca="1" si="11"/>
        <v>0.20896179986251584</v>
      </c>
      <c r="H6" s="307">
        <f t="shared" ca="1" si="12"/>
        <v>1.1851485882323631</v>
      </c>
      <c r="I6" s="304">
        <f t="shared" ca="1" si="13"/>
        <v>1.2034293539676293</v>
      </c>
      <c r="J6" s="306">
        <f t="shared" ca="1" si="14"/>
        <v>1.3839653385038508E-3</v>
      </c>
      <c r="K6" s="307">
        <f t="shared" ca="1" si="15"/>
        <v>7.849334862307036E-3</v>
      </c>
      <c r="L6" s="304">
        <f t="shared" ca="1" si="0"/>
        <v>7.9704088878054871E-3</v>
      </c>
      <c r="M6" s="306">
        <f t="shared" ca="1" si="16"/>
        <v>1.3962634015954636</v>
      </c>
      <c r="N6" s="304">
        <f t="shared" ca="1" si="17"/>
        <v>80</v>
      </c>
      <c r="P6" s="310">
        <f t="shared" ca="1" si="18"/>
        <v>2</v>
      </c>
      <c r="Q6" s="304">
        <f t="shared" ca="1" si="19"/>
        <v>930.85500000000002</v>
      </c>
      <c r="R6" s="306">
        <f t="shared" ca="1" si="20"/>
        <v>0.45745169919032375</v>
      </c>
      <c r="S6" s="307">
        <f t="shared" ca="1" si="21"/>
        <v>8.4262159466199034</v>
      </c>
      <c r="T6" s="304">
        <f t="shared" ca="1" si="1"/>
        <v>82.66117843634126</v>
      </c>
      <c r="U6" s="311">
        <f t="shared" ca="1" si="2"/>
        <v>14.353962999271625</v>
      </c>
      <c r="V6" s="306">
        <f t="shared" ca="1" si="3"/>
        <v>1.2249990384568568</v>
      </c>
      <c r="W6" s="304">
        <f t="shared" ca="1" si="4"/>
        <v>5.8229189473073626E-3</v>
      </c>
      <c r="Y6" s="314" t="str">
        <f t="shared" ca="1" si="22"/>
        <v/>
      </c>
      <c r="Z6" s="315" t="str">
        <f t="shared" ca="1" si="23"/>
        <v/>
      </c>
      <c r="AA6" s="316" t="str">
        <f t="shared" ca="1" si="24"/>
        <v/>
      </c>
      <c r="AC6" s="310" t="e">
        <f t="shared" ca="1" si="25"/>
        <v>#N/A</v>
      </c>
      <c r="AD6" s="323" t="e">
        <f t="shared" ca="1" si="26"/>
        <v>#N/A</v>
      </c>
      <c r="AE6" s="324">
        <f t="shared" ca="1" si="5"/>
        <v>7.849334862307036E-3</v>
      </c>
      <c r="AG6" s="306">
        <f t="shared" ca="1" si="27"/>
        <v>100.81031421288107</v>
      </c>
      <c r="AH6" s="304">
        <f t="shared" ca="1" si="28"/>
        <v>110.47127826993083</v>
      </c>
    </row>
    <row r="7" spans="1:248" x14ac:dyDescent="0.2">
      <c r="A7" s="347">
        <f t="shared" ca="1" si="6"/>
        <v>0.01</v>
      </c>
      <c r="B7" s="304">
        <f t="shared" ca="1" si="7"/>
        <v>0.03</v>
      </c>
      <c r="D7" s="306">
        <f t="shared" ca="1" si="8"/>
        <v>26.106373975964768</v>
      </c>
      <c r="E7" s="307">
        <f t="shared" ca="1" si="9"/>
        <v>148.06431809448267</v>
      </c>
      <c r="F7" s="304">
        <f t="shared" ca="1" si="10"/>
        <v>150.34821267629715</v>
      </c>
      <c r="G7" s="306">
        <f t="shared" ca="1" si="11"/>
        <v>0.47002553962216354</v>
      </c>
      <c r="H7" s="307">
        <f t="shared" ca="1" si="12"/>
        <v>2.66579176917719</v>
      </c>
      <c r="I7" s="304">
        <f t="shared" ca="1" si="13"/>
        <v>2.7069114807303838</v>
      </c>
      <c r="J7" s="306">
        <f t="shared" ca="1" si="14"/>
        <v>4.778902035927248E-3</v>
      </c>
      <c r="K7" s="307">
        <f t="shared" ca="1" si="15"/>
        <v>2.7104036649354804E-2</v>
      </c>
      <c r="L7" s="304">
        <f t="shared" ca="1" si="0"/>
        <v>2.7522113061292333E-2</v>
      </c>
      <c r="M7" s="306">
        <f t="shared" ca="1" si="16"/>
        <v>1.3962634015954636</v>
      </c>
      <c r="N7" s="304">
        <f t="shared" ca="1" si="17"/>
        <v>80</v>
      </c>
      <c r="P7" s="310">
        <f t="shared" ca="1" si="18"/>
        <v>3</v>
      </c>
      <c r="Q7" s="304">
        <f t="shared" ca="1" si="19"/>
        <v>1347.2183333333335</v>
      </c>
      <c r="R7" s="306">
        <f t="shared" ca="1" si="20"/>
        <v>0.66206585962764264</v>
      </c>
      <c r="S7" s="307">
        <f t="shared" ca="1" si="21"/>
        <v>8.4195952880236273</v>
      </c>
      <c r="T7" s="304">
        <f t="shared" ca="1" si="1"/>
        <v>82.596229775511787</v>
      </c>
      <c r="U7" s="311">
        <f t="shared" ca="1" si="2"/>
        <v>14.342684782676679</v>
      </c>
      <c r="V7" s="306">
        <f t="shared" ca="1" si="3"/>
        <v>1.22499667976001</v>
      </c>
      <c r="W7" s="304">
        <f t="shared" ca="1" si="4"/>
        <v>2.9460954658004034E-2</v>
      </c>
      <c r="Y7" s="314" t="str">
        <f t="shared" ca="1" si="22"/>
        <v/>
      </c>
      <c r="Z7" s="315" t="str">
        <f t="shared" ca="1" si="23"/>
        <v/>
      </c>
      <c r="AA7" s="316" t="str">
        <f t="shared" ca="1" si="24"/>
        <v/>
      </c>
      <c r="AC7" s="310" t="e">
        <f t="shared" ca="1" si="25"/>
        <v>#N/A</v>
      </c>
      <c r="AD7" s="323" t="e">
        <f t="shared" ca="1" si="26"/>
        <v>#N/A</v>
      </c>
      <c r="AE7" s="324">
        <f t="shared" ca="1" si="5"/>
        <v>2.7104036649354804E-2</v>
      </c>
      <c r="AG7" s="306">
        <f t="shared" ca="1" si="27"/>
        <v>150.34821267032996</v>
      </c>
      <c r="AH7" s="304">
        <f t="shared" ca="1" si="28"/>
        <v>160.00917672737972</v>
      </c>
    </row>
    <row r="8" spans="1:248" x14ac:dyDescent="0.2">
      <c r="A8" s="347">
        <f t="shared" ca="1" si="6"/>
        <v>0.01</v>
      </c>
      <c r="B8" s="304">
        <f t="shared" ca="1" si="7"/>
        <v>0.04</v>
      </c>
      <c r="D8" s="306">
        <f t="shared" ca="1" si="8"/>
        <v>25.208936702579134</v>
      </c>
      <c r="E8" s="307">
        <f t="shared" ca="1" si="9"/>
        <v>142.97444937235457</v>
      </c>
      <c r="F8" s="304">
        <f t="shared" ca="1" si="10"/>
        <v>145.17983214965716</v>
      </c>
      <c r="G8" s="306">
        <f t="shared" ca="1" si="11"/>
        <v>0.72211490664795486</v>
      </c>
      <c r="H8" s="307">
        <f t="shared" ca="1" si="12"/>
        <v>4.0955362629007359</v>
      </c>
      <c r="I8" s="304">
        <f t="shared" ca="1" si="13"/>
        <v>4.1587098022269009</v>
      </c>
      <c r="J8" s="306">
        <f t="shared" ca="1" si="14"/>
        <v>1.073960426727784E-2</v>
      </c>
      <c r="K8" s="307">
        <f t="shared" ca="1" si="15"/>
        <v>6.0910676809744435E-2</v>
      </c>
      <c r="L8" s="304">
        <f t="shared" ca="1" si="0"/>
        <v>6.1850219476076808E-2</v>
      </c>
      <c r="M8" s="306">
        <f t="shared" ca="1" si="16"/>
        <v>1.3962634015954636</v>
      </c>
      <c r="N8" s="304">
        <f t="shared" ca="1" si="17"/>
        <v>80</v>
      </c>
      <c r="P8" s="310">
        <f t="shared" ca="1" si="18"/>
        <v>3</v>
      </c>
      <c r="Q8" s="304">
        <f t="shared" ca="1" si="19"/>
        <v>1302.7349999999999</v>
      </c>
      <c r="R8" s="306">
        <f t="shared" ca="1" si="20"/>
        <v>0.64020533739917207</v>
      </c>
      <c r="S8" s="307">
        <f t="shared" ca="1" si="21"/>
        <v>8.4131932346496363</v>
      </c>
      <c r="T8" s="304">
        <f t="shared" ca="1" si="1"/>
        <v>82.533425631912934</v>
      </c>
      <c r="U8" s="311">
        <f t="shared" ca="1" si="2"/>
        <v>14.331778957590807</v>
      </c>
      <c r="V8" s="306">
        <f t="shared" ca="1" si="3"/>
        <v>1.2249925384648153</v>
      </c>
      <c r="W8" s="304">
        <f t="shared" ca="1" si="4"/>
        <v>6.9536763232957099E-2</v>
      </c>
      <c r="Y8" s="314" t="str">
        <f t="shared" ca="1" si="22"/>
        <v/>
      </c>
      <c r="Z8" s="315" t="str">
        <f t="shared" ca="1" si="23"/>
        <v/>
      </c>
      <c r="AA8" s="316" t="str">
        <f t="shared" ca="1" si="24"/>
        <v/>
      </c>
      <c r="AC8" s="310" t="e">
        <f t="shared" ca="1" si="25"/>
        <v>#N/A</v>
      </c>
      <c r="AD8" s="323" t="e">
        <f t="shared" ca="1" si="26"/>
        <v>#N/A</v>
      </c>
      <c r="AE8" s="324">
        <f t="shared" ca="1" si="5"/>
        <v>6.0910676809744435E-2</v>
      </c>
      <c r="AG8" s="306">
        <f t="shared" ca="1" si="27"/>
        <v>145.17983214387007</v>
      </c>
      <c r="AH8" s="304">
        <f t="shared" ca="1" si="28"/>
        <v>154.84079620091984</v>
      </c>
    </row>
    <row r="9" spans="1:248" x14ac:dyDescent="0.2">
      <c r="A9" s="347">
        <f t="shared" ca="1" si="6"/>
        <v>0.01</v>
      </c>
      <c r="B9" s="304">
        <f t="shared" ca="1" si="7"/>
        <v>0.05</v>
      </c>
      <c r="D9" s="306">
        <f t="shared" ca="1" si="8"/>
        <v>24.30911729485068</v>
      </c>
      <c r="E9" s="307">
        <f t="shared" ca="1" si="9"/>
        <v>137.87107032812378</v>
      </c>
      <c r="F9" s="304">
        <f t="shared" ca="1" si="10"/>
        <v>139.99773289977685</v>
      </c>
      <c r="G9" s="306">
        <f t="shared" ca="1" si="11"/>
        <v>0.96520607959646165</v>
      </c>
      <c r="H9" s="307">
        <f t="shared" ca="1" si="12"/>
        <v>5.4742469661819735</v>
      </c>
      <c r="I9" s="304">
        <f t="shared" ca="1" si="13"/>
        <v>5.558687131224648</v>
      </c>
      <c r="J9" s="306">
        <f t="shared" ca="1" si="14"/>
        <v>1.9176209198499924E-2</v>
      </c>
      <c r="K9" s="307">
        <f t="shared" ca="1" si="15"/>
        <v>0.10875959295515798</v>
      </c>
      <c r="L9" s="304">
        <f t="shared" ca="1" si="0"/>
        <v>0.11043720414333334</v>
      </c>
      <c r="M9" s="306">
        <f t="shared" ca="1" si="16"/>
        <v>1.3962634015954636</v>
      </c>
      <c r="N9" s="304">
        <f t="shared" ca="1" si="17"/>
        <v>80</v>
      </c>
      <c r="P9" s="310">
        <f t="shared" ca="1" si="18"/>
        <v>3</v>
      </c>
      <c r="Q9" s="304">
        <f t="shared" ca="1" si="19"/>
        <v>1258.2516666666666</v>
      </c>
      <c r="R9" s="306">
        <f t="shared" ca="1" si="20"/>
        <v>0.61834481517070161</v>
      </c>
      <c r="S9" s="307">
        <f t="shared" ca="1" si="21"/>
        <v>8.4070097864979285</v>
      </c>
      <c r="T9" s="304">
        <f t="shared" ca="1" si="1"/>
        <v>82.472766005544685</v>
      </c>
      <c r="U9" s="311">
        <f t="shared" ca="1" si="2"/>
        <v>14.321245524014003</v>
      </c>
      <c r="V9" s="306">
        <f t="shared" ca="1" si="3"/>
        <v>1.224986677022313</v>
      </c>
      <c r="W9" s="304">
        <f t="shared" ca="1" si="4"/>
        <v>0.12423375799430383</v>
      </c>
      <c r="Y9" s="314" t="str">
        <f t="shared" ca="1" si="22"/>
        <v/>
      </c>
      <c r="Z9" s="315" t="str">
        <f t="shared" ca="1" si="23"/>
        <v/>
      </c>
      <c r="AA9" s="316" t="str">
        <f t="shared" ca="1" si="24"/>
        <v/>
      </c>
      <c r="AC9" s="310" t="e">
        <f t="shared" ca="1" si="25"/>
        <v>#N/A</v>
      </c>
      <c r="AD9" s="323" t="e">
        <f t="shared" ca="1" si="26"/>
        <v>#N/A</v>
      </c>
      <c r="AE9" s="324">
        <f t="shared" ca="1" si="5"/>
        <v>0.10875959295515798</v>
      </c>
      <c r="AG9" s="306">
        <f t="shared" ca="1" si="27"/>
        <v>139.99773289417016</v>
      </c>
      <c r="AH9" s="304">
        <f t="shared" ca="1" si="28"/>
        <v>149.65869695121992</v>
      </c>
    </row>
    <row r="10" spans="1:248" x14ac:dyDescent="0.2">
      <c r="A10" s="347">
        <f t="shared" ca="1" si="6"/>
        <v>0.01</v>
      </c>
      <c r="B10" s="304">
        <f t="shared" ca="1" si="7"/>
        <v>6.0000000000000005E-2</v>
      </c>
      <c r="D10" s="306">
        <f t="shared" ca="1" si="8"/>
        <v>23.956953455292119</v>
      </c>
      <c r="E10" s="307">
        <f t="shared" ca="1" si="9"/>
        <v>135.8737524865999</v>
      </c>
      <c r="F10" s="304">
        <f t="shared" ca="1" si="10"/>
        <v>137.96960619516474</v>
      </c>
      <c r="G10" s="306">
        <f t="shared" ca="1" si="11"/>
        <v>1.2047756141493828</v>
      </c>
      <c r="H10" s="307">
        <f t="shared" ca="1" si="12"/>
        <v>6.8329844910479727</v>
      </c>
      <c r="I10" s="304">
        <f t="shared" ca="1" si="13"/>
        <v>6.9383831931762847</v>
      </c>
      <c r="J10" s="306">
        <f t="shared" ca="1" si="14"/>
        <v>3.0026117667229148E-2</v>
      </c>
      <c r="K10" s="307">
        <f t="shared" ca="1" si="15"/>
        <v>0.17029575024130772</v>
      </c>
      <c r="L10" s="304">
        <f t="shared" ca="1" si="0"/>
        <v>0.17292255576533719</v>
      </c>
      <c r="M10" s="306">
        <f t="shared" ca="1" si="16"/>
        <v>1.3962634015954636</v>
      </c>
      <c r="N10" s="304">
        <f t="shared" ca="1" si="17"/>
        <v>80</v>
      </c>
      <c r="P10" s="310">
        <f t="shared" ca="1" si="18"/>
        <v>4</v>
      </c>
      <c r="Q10" s="304">
        <f t="shared" ca="1" si="19"/>
        <v>1240.356</v>
      </c>
      <c r="R10" s="306">
        <f t="shared" ca="1" si="20"/>
        <v>0.60955031643050006</v>
      </c>
      <c r="S10" s="307">
        <f t="shared" ca="1" si="21"/>
        <v>8.4009142833336234</v>
      </c>
      <c r="T10" s="304">
        <f t="shared" ca="1" si="1"/>
        <v>82.412969119502847</v>
      </c>
      <c r="U10" s="311">
        <f t="shared" ca="1" si="2"/>
        <v>14.31086190372268</v>
      </c>
      <c r="V10" s="306">
        <f t="shared" ca="1" si="3"/>
        <v>1.2249791389482227</v>
      </c>
      <c r="W10" s="304">
        <f t="shared" ca="1" si="4"/>
        <v>0.19355707550605308</v>
      </c>
      <c r="Y10" s="314" t="str">
        <f t="shared" ca="1" si="22"/>
        <v/>
      </c>
      <c r="Z10" s="315" t="str">
        <f t="shared" ca="1" si="23"/>
        <v/>
      </c>
      <c r="AA10" s="316" t="str">
        <f t="shared" ca="1" si="24"/>
        <v/>
      </c>
      <c r="AC10" s="310" t="e">
        <f t="shared" ca="1" si="25"/>
        <v>#N/A</v>
      </c>
      <c r="AD10" s="323" t="e">
        <f t="shared" ca="1" si="26"/>
        <v>#N/A</v>
      </c>
      <c r="AE10" s="324">
        <f t="shared" ca="1" si="5"/>
        <v>0.17029575024130772</v>
      </c>
      <c r="AG10" s="306">
        <f t="shared" ca="1" si="27"/>
        <v>137.96960618962831</v>
      </c>
      <c r="AH10" s="304">
        <f t="shared" ca="1" si="28"/>
        <v>147.63057024667808</v>
      </c>
    </row>
    <row r="11" spans="1:248" x14ac:dyDescent="0.2">
      <c r="A11" s="347">
        <f t="shared" ca="1" si="6"/>
        <v>0.01</v>
      </c>
      <c r="B11" s="304">
        <f t="shared" ca="1" si="7"/>
        <v>7.0000000000000007E-2</v>
      </c>
      <c r="D11" s="306">
        <f t="shared" ca="1" si="8"/>
        <v>24.154051145842296</v>
      </c>
      <c r="E11" s="307">
        <f t="shared" ca="1" si="9"/>
        <v>136.99160415663007</v>
      </c>
      <c r="F11" s="304">
        <f t="shared" ca="1" si="10"/>
        <v>139.10470084135471</v>
      </c>
      <c r="G11" s="306">
        <f t="shared" ca="1" si="11"/>
        <v>1.4463161256078059</v>
      </c>
      <c r="H11" s="307">
        <f t="shared" ca="1" si="12"/>
        <v>8.2029005326142741</v>
      </c>
      <c r="I11" s="304">
        <f t="shared" ca="1" si="13"/>
        <v>8.3294302015898261</v>
      </c>
      <c r="J11" s="306">
        <f t="shared" ca="1" si="14"/>
        <v>4.3281576366015095E-2</v>
      </c>
      <c r="K11" s="307">
        <f t="shared" ca="1" si="15"/>
        <v>0.24547517535961894</v>
      </c>
      <c r="L11" s="304">
        <f t="shared" ca="1" si="0"/>
        <v>0.2492616227391671</v>
      </c>
      <c r="M11" s="306">
        <f t="shared" ca="1" si="16"/>
        <v>1.3962634015954636</v>
      </c>
      <c r="N11" s="304">
        <f t="shared" ca="1" si="17"/>
        <v>80</v>
      </c>
      <c r="P11" s="310">
        <f t="shared" ca="1" si="18"/>
        <v>4</v>
      </c>
      <c r="Q11" s="304">
        <f t="shared" ca="1" si="19"/>
        <v>1249.048</v>
      </c>
      <c r="R11" s="306">
        <f t="shared" ca="1" si="20"/>
        <v>0.61382184117856753</v>
      </c>
      <c r="S11" s="307">
        <f t="shared" ca="1" si="21"/>
        <v>8.394776064921837</v>
      </c>
      <c r="T11" s="304">
        <f t="shared" ca="1" si="1"/>
        <v>82.352753196883228</v>
      </c>
      <c r="U11" s="311">
        <f t="shared" ca="1" si="2"/>
        <v>14.30040551849325</v>
      </c>
      <c r="V11" s="306">
        <f t="shared" ca="1" si="3"/>
        <v>1.2249699296600944</v>
      </c>
      <c r="W11" s="304">
        <f t="shared" ca="1" si="4"/>
        <v>0.27894578948990117</v>
      </c>
      <c r="Y11" s="314" t="str">
        <f t="shared" ca="1" si="22"/>
        <v/>
      </c>
      <c r="Z11" s="315" t="str">
        <f t="shared" ca="1" si="23"/>
        <v/>
      </c>
      <c r="AA11" s="316" t="str">
        <f t="shared" ca="1" si="24"/>
        <v/>
      </c>
      <c r="AC11" s="310" t="e">
        <f t="shared" ca="1" si="25"/>
        <v>#N/A</v>
      </c>
      <c r="AD11" s="323" t="e">
        <f t="shared" ca="1" si="26"/>
        <v>#N/A</v>
      </c>
      <c r="AE11" s="324">
        <f t="shared" ca="1" si="5"/>
        <v>0.24547517535961894</v>
      </c>
      <c r="AG11" s="306">
        <f t="shared" ca="1" si="27"/>
        <v>139.10470083577806</v>
      </c>
      <c r="AH11" s="304">
        <f t="shared" ca="1" si="28"/>
        <v>148.76566489282783</v>
      </c>
    </row>
    <row r="12" spans="1:248" x14ac:dyDescent="0.2">
      <c r="A12" s="347">
        <f t="shared" ca="1" si="6"/>
        <v>0.01</v>
      </c>
      <c r="B12" s="304">
        <f t="shared" ca="1" si="7"/>
        <v>0.08</v>
      </c>
      <c r="D12" s="306">
        <f t="shared" ca="1" si="8"/>
        <v>24.351237260656355</v>
      </c>
      <c r="E12" s="307">
        <f t="shared" ca="1" si="9"/>
        <v>138.10995742305423</v>
      </c>
      <c r="F12" s="304">
        <f t="shared" ca="1" si="10"/>
        <v>140.24030481827481</v>
      </c>
      <c r="G12" s="306">
        <f t="shared" ca="1" si="11"/>
        <v>1.6898284982143694</v>
      </c>
      <c r="H12" s="307">
        <f t="shared" ca="1" si="12"/>
        <v>9.5840001068448171</v>
      </c>
      <c r="I12" s="304">
        <f t="shared" ca="1" si="13"/>
        <v>9.7318332497725688</v>
      </c>
      <c r="J12" s="306">
        <f t="shared" ca="1" si="14"/>
        <v>5.896229948512597E-2</v>
      </c>
      <c r="K12" s="307">
        <f t="shared" ca="1" si="15"/>
        <v>0.33440967855691439</v>
      </c>
      <c r="L12" s="304">
        <f t="shared" ca="1" si="0"/>
        <v>0.33956793999597856</v>
      </c>
      <c r="M12" s="306">
        <f t="shared" ca="1" si="16"/>
        <v>1.3962634015954636</v>
      </c>
      <c r="N12" s="304">
        <f t="shared" ca="1" si="17"/>
        <v>80</v>
      </c>
      <c r="P12" s="310">
        <f t="shared" ca="1" si="18"/>
        <v>4</v>
      </c>
      <c r="Q12" s="304">
        <f t="shared" ca="1" si="19"/>
        <v>1257.74</v>
      </c>
      <c r="R12" s="306">
        <f t="shared" ca="1" si="20"/>
        <v>0.61809336592663489</v>
      </c>
      <c r="S12" s="307">
        <f t="shared" ca="1" si="21"/>
        <v>8.3885951312625711</v>
      </c>
      <c r="T12" s="304">
        <f t="shared" ca="1" si="1"/>
        <v>82.292118237685827</v>
      </c>
      <c r="U12" s="311">
        <f t="shared" ca="1" si="2"/>
        <v>14.289876368325713</v>
      </c>
      <c r="V12" s="306">
        <f t="shared" ca="1" si="3"/>
        <v>1.2249590354993229</v>
      </c>
      <c r="W12" s="304">
        <f t="shared" ca="1" si="4"/>
        <v>0.38078048200330361</v>
      </c>
      <c r="Y12" s="314" t="str">
        <f t="shared" ca="1" si="22"/>
        <v/>
      </c>
      <c r="Z12" s="315" t="str">
        <f t="shared" ca="1" si="23"/>
        <v/>
      </c>
      <c r="AA12" s="316" t="str">
        <f t="shared" ca="1" si="24"/>
        <v/>
      </c>
      <c r="AC12" s="310" t="e">
        <f t="shared" ca="1" si="25"/>
        <v>#N/A</v>
      </c>
      <c r="AD12" s="323" t="e">
        <f t="shared" ca="1" si="26"/>
        <v>#N/A</v>
      </c>
      <c r="AE12" s="324">
        <f t="shared" ca="1" si="5"/>
        <v>0.33440967855691439</v>
      </c>
      <c r="AG12" s="306">
        <f t="shared" ca="1" si="27"/>
        <v>140.24030481265777</v>
      </c>
      <c r="AH12" s="304">
        <f t="shared" ca="1" si="28"/>
        <v>149.90126886970754</v>
      </c>
    </row>
    <row r="13" spans="1:248" x14ac:dyDescent="0.2">
      <c r="A13" s="347">
        <f t="shared" ca="1" si="6"/>
        <v>0.01</v>
      </c>
      <c r="B13" s="304">
        <f t="shared" ca="1" si="7"/>
        <v>0.09</v>
      </c>
      <c r="D13" s="306">
        <f t="shared" ca="1" si="8"/>
        <v>24.548507125736446</v>
      </c>
      <c r="E13" s="307">
        <f t="shared" ca="1" si="9"/>
        <v>139.22878577941771</v>
      </c>
      <c r="F13" s="304">
        <f t="shared" ca="1" si="10"/>
        <v>141.37639121053175</v>
      </c>
      <c r="G13" s="306">
        <f t="shared" ca="1" si="11"/>
        <v>1.9353135694717338</v>
      </c>
      <c r="H13" s="307">
        <f t="shared" ca="1" si="12"/>
        <v>10.976287964638994</v>
      </c>
      <c r="I13" s="304">
        <f t="shared" ca="1" si="13"/>
        <v>11.145597161877879</v>
      </c>
      <c r="J13" s="306">
        <f t="shared" ca="1" si="14"/>
        <v>7.7088009823556486E-2</v>
      </c>
      <c r="K13" s="307">
        <f t="shared" ca="1" si="15"/>
        <v>0.43721111891433345</v>
      </c>
      <c r="L13" s="304">
        <f t="shared" ca="1" si="0"/>
        <v>0.44395509205423039</v>
      </c>
      <c r="M13" s="306">
        <f t="shared" ca="1" si="16"/>
        <v>1.3962634015954636</v>
      </c>
      <c r="N13" s="304">
        <f t="shared" ca="1" si="17"/>
        <v>80</v>
      </c>
      <c r="P13" s="310">
        <f t="shared" ca="1" si="18"/>
        <v>4</v>
      </c>
      <c r="Q13" s="304">
        <f t="shared" ca="1" si="19"/>
        <v>1266.432</v>
      </c>
      <c r="R13" s="306">
        <f t="shared" ca="1" si="20"/>
        <v>0.62236489067470235</v>
      </c>
      <c r="S13" s="307">
        <f t="shared" ca="1" si="21"/>
        <v>8.3823714823558237</v>
      </c>
      <c r="T13" s="304">
        <f t="shared" ca="1" si="1"/>
        <v>82.23106424191063</v>
      </c>
      <c r="U13" s="311">
        <f t="shared" ca="1" si="2"/>
        <v>14.279274453220065</v>
      </c>
      <c r="V13" s="306">
        <f t="shared" ca="1" si="3"/>
        <v>1.2249464428087229</v>
      </c>
      <c r="W13" s="304">
        <f t="shared" ca="1" si="4"/>
        <v>0.49944489825745481</v>
      </c>
      <c r="Y13" s="314" t="str">
        <f t="shared" ca="1" si="22"/>
        <v/>
      </c>
      <c r="Z13" s="315" t="str">
        <f t="shared" ca="1" si="23"/>
        <v/>
      </c>
      <c r="AA13" s="316" t="str">
        <f t="shared" ca="1" si="24"/>
        <v/>
      </c>
      <c r="AC13" s="310" t="e">
        <f t="shared" ca="1" si="25"/>
        <v>#N/A</v>
      </c>
      <c r="AD13" s="323" t="e">
        <f t="shared" ca="1" si="26"/>
        <v>#N/A</v>
      </c>
      <c r="AE13" s="324">
        <f t="shared" ca="1" si="5"/>
        <v>0.43721111891433345</v>
      </c>
      <c r="AG13" s="306">
        <f t="shared" ca="1" si="27"/>
        <v>141.37639120487418</v>
      </c>
      <c r="AH13" s="304">
        <f t="shared" ca="1" si="28"/>
        <v>151.03735526192395</v>
      </c>
    </row>
    <row r="14" spans="1:248" x14ac:dyDescent="0.2">
      <c r="A14" s="347">
        <f t="shared" ca="1" si="6"/>
        <v>0.01</v>
      </c>
      <c r="B14" s="304">
        <f t="shared" ca="1" si="7"/>
        <v>9.9999999999999992E-2</v>
      </c>
      <c r="D14" s="306">
        <f t="shared" ca="1" si="8"/>
        <v>24.745855990226907</v>
      </c>
      <c r="E14" s="307">
        <f t="shared" ca="1" si="9"/>
        <v>140.34806228339033</v>
      </c>
      <c r="F14" s="304">
        <f t="shared" ca="1" si="10"/>
        <v>142.51293266013249</v>
      </c>
      <c r="G14" s="306">
        <f t="shared" ca="1" si="11"/>
        <v>2.182772129374003</v>
      </c>
      <c r="H14" s="307">
        <f t="shared" ca="1" si="12"/>
        <v>12.379768587472897</v>
      </c>
      <c r="I14" s="304">
        <f t="shared" ca="1" si="13"/>
        <v>12.570726488479202</v>
      </c>
      <c r="J14" s="306">
        <f t="shared" ca="1" si="14"/>
        <v>9.7678438317785166E-2</v>
      </c>
      <c r="K14" s="307">
        <f t="shared" ca="1" si="15"/>
        <v>0.55399140167489291</v>
      </c>
      <c r="L14" s="304">
        <f t="shared" ca="1" si="0"/>
        <v>0.56253671030601538</v>
      </c>
      <c r="M14" s="306">
        <f t="shared" ca="1" si="16"/>
        <v>1.3962634015954636</v>
      </c>
      <c r="N14" s="304">
        <f t="shared" ca="1" si="17"/>
        <v>80</v>
      </c>
      <c r="P14" s="310">
        <f t="shared" ca="1" si="18"/>
        <v>4</v>
      </c>
      <c r="Q14" s="304">
        <f t="shared" ca="1" si="19"/>
        <v>1275.124</v>
      </c>
      <c r="R14" s="306">
        <f t="shared" ca="1" si="20"/>
        <v>0.62663641542276971</v>
      </c>
      <c r="S14" s="307">
        <f t="shared" ca="1" si="21"/>
        <v>8.3761051182015969</v>
      </c>
      <c r="T14" s="304">
        <f t="shared" ca="1" si="1"/>
        <v>82.169591209557666</v>
      </c>
      <c r="U14" s="311">
        <f t="shared" ca="1" si="2"/>
        <v>14.268599773176312</v>
      </c>
      <c r="V14" s="306">
        <f t="shared" ca="1" si="3"/>
        <v>1.2249321379330451</v>
      </c>
      <c r="W14" s="304">
        <f t="shared" ca="1" si="4"/>
        <v>0.63532592808655031</v>
      </c>
      <c r="Y14" s="314" t="str">
        <f t="shared" ca="1" si="22"/>
        <v/>
      </c>
      <c r="Z14" s="315" t="str">
        <f t="shared" ca="1" si="23"/>
        <v/>
      </c>
      <c r="AA14" s="316" t="str">
        <f t="shared" ca="1" si="24"/>
        <v/>
      </c>
      <c r="AC14" s="310" t="e">
        <f t="shared" ca="1" si="25"/>
        <v>#N/A</v>
      </c>
      <c r="AD14" s="323" t="e">
        <f t="shared" ca="1" si="26"/>
        <v>#N/A</v>
      </c>
      <c r="AE14" s="324">
        <f t="shared" ca="1" si="5"/>
        <v>0.55399140167489291</v>
      </c>
      <c r="AG14" s="306">
        <f t="shared" ca="1" si="27"/>
        <v>142.51293265443425</v>
      </c>
      <c r="AH14" s="304">
        <f t="shared" ca="1" si="28"/>
        <v>152.17389671148402</v>
      </c>
    </row>
    <row r="15" spans="1:248" x14ac:dyDescent="0.2">
      <c r="A15" s="347">
        <f t="shared" ca="1" si="6"/>
        <v>0.01</v>
      </c>
      <c r="B15" s="304">
        <f t="shared" ca="1" si="7"/>
        <v>0.10999999999999999</v>
      </c>
      <c r="D15" s="306">
        <f t="shared" ca="1" si="8"/>
        <v>24.886184587224264</v>
      </c>
      <c r="E15" s="307">
        <f t="shared" ca="1" si="9"/>
        <v>141.14394505006044</v>
      </c>
      <c r="F15" s="304">
        <f t="shared" ca="1" si="10"/>
        <v>143.32109198441057</v>
      </c>
      <c r="G15" s="306">
        <f t="shared" ca="1" si="11"/>
        <v>2.4316339752462457</v>
      </c>
      <c r="H15" s="307">
        <f t="shared" ca="1" si="12"/>
        <v>13.791208037973501</v>
      </c>
      <c r="I15" s="304">
        <f t="shared" ca="1" si="13"/>
        <v>14.003937408323303</v>
      </c>
      <c r="J15" s="306">
        <f t="shared" ca="1" si="14"/>
        <v>0.12075046884088642</v>
      </c>
      <c r="K15" s="307">
        <f t="shared" ca="1" si="15"/>
        <v>0.68484628480212495</v>
      </c>
      <c r="L15" s="304">
        <f t="shared" ca="1" si="0"/>
        <v>0.69541002979002764</v>
      </c>
      <c r="M15" s="306">
        <f t="shared" ca="1" si="16"/>
        <v>1.3962634015954636</v>
      </c>
      <c r="N15" s="304">
        <f t="shared" ca="1" si="17"/>
        <v>80</v>
      </c>
      <c r="P15" s="310">
        <f t="shared" ca="1" si="18"/>
        <v>5</v>
      </c>
      <c r="Q15" s="304">
        <f t="shared" ca="1" si="19"/>
        <v>1281.066</v>
      </c>
      <c r="R15" s="306">
        <f t="shared" ca="1" si="20"/>
        <v>0.62955650286559262</v>
      </c>
      <c r="S15" s="307">
        <f t="shared" ca="1" si="21"/>
        <v>8.3698095531729404</v>
      </c>
      <c r="T15" s="304">
        <f t="shared" ca="1" si="1"/>
        <v>82.107831716626549</v>
      </c>
      <c r="U15" s="311">
        <f t="shared" ca="1" si="2"/>
        <v>14.25787534977519</v>
      </c>
      <c r="V15" s="306">
        <f t="shared" ca="1" si="3"/>
        <v>1.2249161092027268</v>
      </c>
      <c r="W15" s="304">
        <f t="shared" ca="1" si="4"/>
        <v>0.7884432948836968</v>
      </c>
      <c r="Y15" s="314" t="str">
        <f t="shared" ca="1" si="22"/>
        <v/>
      </c>
      <c r="Z15" s="315" t="str">
        <f t="shared" ca="1" si="23"/>
        <v/>
      </c>
      <c r="AA15" s="316" t="str">
        <f t="shared" ca="1" si="24"/>
        <v/>
      </c>
      <c r="AC15" s="310" t="e">
        <f t="shared" ca="1" si="25"/>
        <v>#N/A</v>
      </c>
      <c r="AD15" s="323" t="e">
        <f t="shared" ca="1" si="26"/>
        <v>#N/A</v>
      </c>
      <c r="AE15" s="324">
        <f t="shared" ca="1" si="5"/>
        <v>0.68484628480212495</v>
      </c>
      <c r="AG15" s="306">
        <f t="shared" ca="1" si="27"/>
        <v>143.32109197868292</v>
      </c>
      <c r="AH15" s="304">
        <f t="shared" ca="1" si="28"/>
        <v>152.98205603573268</v>
      </c>
    </row>
    <row r="16" spans="1:248" x14ac:dyDescent="0.2">
      <c r="A16" s="347">
        <f t="shared" ca="1" si="6"/>
        <v>0.01</v>
      </c>
      <c r="B16" s="304">
        <f t="shared" ca="1" si="7"/>
        <v>0.11999999999999998</v>
      </c>
      <c r="D16" s="306">
        <f t="shared" ca="1" si="8"/>
        <v>24.969322153848456</v>
      </c>
      <c r="E16" s="307">
        <f t="shared" ca="1" si="9"/>
        <v>141.615465587941</v>
      </c>
      <c r="F16" s="304">
        <f t="shared" ca="1" si="10"/>
        <v>143.79988575277787</v>
      </c>
      <c r="G16" s="306">
        <f t="shared" ca="1" si="11"/>
        <v>2.6813271967847303</v>
      </c>
      <c r="H16" s="307">
        <f t="shared" ca="1" si="12"/>
        <v>15.207362693852911</v>
      </c>
      <c r="I16" s="304">
        <f t="shared" ca="1" si="13"/>
        <v>15.441936265851078</v>
      </c>
      <c r="J16" s="306">
        <f t="shared" ca="1" si="14"/>
        <v>0.1463152747010413</v>
      </c>
      <c r="K16" s="307">
        <f t="shared" ca="1" si="15"/>
        <v>0.82983913846125701</v>
      </c>
      <c r="L16" s="304">
        <f t="shared" ca="1" si="0"/>
        <v>0.84263939816089928</v>
      </c>
      <c r="M16" s="306">
        <f t="shared" ca="1" si="16"/>
        <v>1.3962634015954636</v>
      </c>
      <c r="N16" s="304">
        <f t="shared" ca="1" si="17"/>
        <v>80</v>
      </c>
      <c r="P16" s="310">
        <f t="shared" ca="1" si="18"/>
        <v>5</v>
      </c>
      <c r="Q16" s="304">
        <f t="shared" ca="1" si="19"/>
        <v>1284.258</v>
      </c>
      <c r="R16" s="306">
        <f t="shared" ca="1" si="20"/>
        <v>0.63112515300317107</v>
      </c>
      <c r="S16" s="307">
        <f t="shared" ca="1" si="21"/>
        <v>8.3634983016429079</v>
      </c>
      <c r="T16" s="304">
        <f t="shared" ca="1" si="1"/>
        <v>82.045918339116923</v>
      </c>
      <c r="U16" s="311">
        <f t="shared" ca="1" si="2"/>
        <v>14.247124204597441</v>
      </c>
      <c r="V16" s="306">
        <f t="shared" ca="1" si="3"/>
        <v>1.2248983489232408</v>
      </c>
      <c r="W16" s="304">
        <f t="shared" ca="1" si="4"/>
        <v>0.95866606964637746</v>
      </c>
      <c r="Y16" s="314" t="str">
        <f t="shared" ca="1" si="22"/>
        <v/>
      </c>
      <c r="Z16" s="315" t="str">
        <f t="shared" ca="1" si="23"/>
        <v/>
      </c>
      <c r="AA16" s="316" t="str">
        <f t="shared" ca="1" si="24"/>
        <v/>
      </c>
      <c r="AC16" s="310" t="e">
        <f t="shared" ca="1" si="25"/>
        <v>#N/A</v>
      </c>
      <c r="AD16" s="323" t="e">
        <f t="shared" ca="1" si="26"/>
        <v>#N/A</v>
      </c>
      <c r="AE16" s="324">
        <f t="shared" ca="1" si="5"/>
        <v>0.82983913846125701</v>
      </c>
      <c r="AG16" s="306">
        <f t="shared" ca="1" si="27"/>
        <v>143.79988574703214</v>
      </c>
      <c r="AH16" s="304">
        <f t="shared" ca="1" si="28"/>
        <v>153.4608498040819</v>
      </c>
    </row>
    <row r="17" spans="1:34" x14ac:dyDescent="0.2">
      <c r="A17" s="347">
        <f t="shared" ca="1" si="6"/>
        <v>0.01</v>
      </c>
      <c r="B17" s="304">
        <f t="shared" ca="1" si="7"/>
        <v>0.12999999999999998</v>
      </c>
      <c r="D17" s="306">
        <f t="shared" ca="1" si="8"/>
        <v>25.052280040361953</v>
      </c>
      <c r="E17" s="307">
        <f t="shared" ca="1" si="9"/>
        <v>142.08596715941698</v>
      </c>
      <c r="F17" s="304">
        <f t="shared" ca="1" si="10"/>
        <v>144.27764483400622</v>
      </c>
      <c r="G17" s="306">
        <f t="shared" ca="1" si="11"/>
        <v>2.9318499971883498</v>
      </c>
      <c r="H17" s="307">
        <f t="shared" ca="1" si="12"/>
        <v>16.62822236544708</v>
      </c>
      <c r="I17" s="304">
        <f t="shared" ca="1" si="13"/>
        <v>16.884712714191139</v>
      </c>
      <c r="J17" s="306">
        <f t="shared" ca="1" si="14"/>
        <v>0.1743811606709067</v>
      </c>
      <c r="K17" s="307">
        <f t="shared" ca="1" si="15"/>
        <v>0.989017063757757</v>
      </c>
      <c r="L17" s="304">
        <f t="shared" ca="1" si="0"/>
        <v>1.00427264306111</v>
      </c>
      <c r="M17" s="306">
        <f t="shared" ca="1" si="16"/>
        <v>1.3962634015954636</v>
      </c>
      <c r="N17" s="304">
        <f t="shared" ca="1" si="17"/>
        <v>80</v>
      </c>
      <c r="P17" s="310">
        <f t="shared" ca="1" si="18"/>
        <v>5</v>
      </c>
      <c r="Q17" s="304">
        <f t="shared" ca="1" si="19"/>
        <v>1287.45</v>
      </c>
      <c r="R17" s="306">
        <f t="shared" ca="1" si="20"/>
        <v>0.63269380314074941</v>
      </c>
      <c r="S17" s="307">
        <f t="shared" ca="1" si="21"/>
        <v>8.357171363611501</v>
      </c>
      <c r="T17" s="304">
        <f t="shared" ca="1" si="1"/>
        <v>81.983851077028831</v>
      </c>
      <c r="U17" s="311">
        <f t="shared" ca="1" si="2"/>
        <v>14.236346337643067</v>
      </c>
      <c r="V17" s="306">
        <f t="shared" ca="1" si="3"/>
        <v>1.2248788514005911</v>
      </c>
      <c r="W17" s="304">
        <f t="shared" ca="1" si="4"/>
        <v>1.1461574552861797</v>
      </c>
      <c r="Y17" s="314" t="str">
        <f t="shared" ca="1" si="22"/>
        <v/>
      </c>
      <c r="Z17" s="315" t="str">
        <f t="shared" ca="1" si="23"/>
        <v/>
      </c>
      <c r="AA17" s="316" t="str">
        <f t="shared" ca="1" si="24"/>
        <v/>
      </c>
      <c r="AC17" s="310" t="e">
        <f t="shared" ca="1" si="25"/>
        <v>#N/A</v>
      </c>
      <c r="AD17" s="323" t="e">
        <f t="shared" ca="1" si="26"/>
        <v>#N/A</v>
      </c>
      <c r="AE17" s="324">
        <f t="shared" ca="1" si="5"/>
        <v>0.989017063757757</v>
      </c>
      <c r="AG17" s="306">
        <f t="shared" ca="1" si="27"/>
        <v>144.27764482824227</v>
      </c>
      <c r="AH17" s="304">
        <f t="shared" ca="1" si="28"/>
        <v>153.93860888529204</v>
      </c>
    </row>
    <row r="18" spans="1:34" x14ac:dyDescent="0.2">
      <c r="A18" s="347">
        <f t="shared" ca="1" si="6"/>
        <v>0.01</v>
      </c>
      <c r="B18" s="304">
        <f t="shared" ca="1" si="7"/>
        <v>0.13999999999999999</v>
      </c>
      <c r="D18" s="306">
        <f t="shared" ca="1" si="8"/>
        <v>25.1350549121968</v>
      </c>
      <c r="E18" s="307">
        <f t="shared" ca="1" si="9"/>
        <v>142.55543085346306</v>
      </c>
      <c r="F18" s="304">
        <f t="shared" ca="1" si="10"/>
        <v>144.75435002532959</v>
      </c>
      <c r="G18" s="306">
        <f t="shared" ca="1" si="11"/>
        <v>3.1832005463103177</v>
      </c>
      <c r="H18" s="307">
        <f t="shared" ca="1" si="12"/>
        <v>18.053776673981709</v>
      </c>
      <c r="I18" s="304">
        <f t="shared" ca="1" si="13"/>
        <v>18.332256214444428</v>
      </c>
      <c r="J18" s="306">
        <f t="shared" ca="1" si="14"/>
        <v>0.20495641338840004</v>
      </c>
      <c r="K18" s="307">
        <f t="shared" ca="1" si="15"/>
        <v>1.1624270589549011</v>
      </c>
      <c r="L18" s="304">
        <f t="shared" ca="1" si="0"/>
        <v>1.1803574877042877</v>
      </c>
      <c r="M18" s="306">
        <f t="shared" ca="1" si="16"/>
        <v>1.3962634015954636</v>
      </c>
      <c r="N18" s="304">
        <f t="shared" ca="1" si="17"/>
        <v>80</v>
      </c>
      <c r="P18" s="310">
        <f t="shared" ca="1" si="18"/>
        <v>5</v>
      </c>
      <c r="Q18" s="304">
        <f t="shared" ca="1" si="19"/>
        <v>1290.6420000000001</v>
      </c>
      <c r="R18" s="306">
        <f t="shared" ca="1" si="20"/>
        <v>0.63426245327832775</v>
      </c>
      <c r="S18" s="307">
        <f t="shared" ca="1" si="21"/>
        <v>8.3508287390787181</v>
      </c>
      <c r="T18" s="304">
        <f t="shared" ca="1" si="1"/>
        <v>81.921629930362229</v>
      </c>
      <c r="U18" s="311">
        <f t="shared" ca="1" si="2"/>
        <v>14.225541748912065</v>
      </c>
      <c r="V18" s="306">
        <f t="shared" ca="1" si="3"/>
        <v>1.2248576109611216</v>
      </c>
      <c r="W18" s="304">
        <f t="shared" ca="1" si="4"/>
        <v>1.3510805373350152</v>
      </c>
      <c r="Y18" s="314" t="str">
        <f t="shared" ca="1" si="22"/>
        <v/>
      </c>
      <c r="Z18" s="315" t="str">
        <f t="shared" ca="1" si="23"/>
        <v/>
      </c>
      <c r="AA18" s="316" t="str">
        <f t="shared" ca="1" si="24"/>
        <v/>
      </c>
      <c r="AC18" s="310" t="e">
        <f t="shared" ca="1" si="25"/>
        <v>#N/A</v>
      </c>
      <c r="AD18" s="323" t="e">
        <f t="shared" ca="1" si="26"/>
        <v>#N/A</v>
      </c>
      <c r="AE18" s="324">
        <f t="shared" ca="1" si="5"/>
        <v>1.1624270589549011</v>
      </c>
      <c r="AG18" s="306">
        <f t="shared" ca="1" si="27"/>
        <v>144.75435001954736</v>
      </c>
      <c r="AH18" s="304">
        <f t="shared" ca="1" si="28"/>
        <v>154.41531407659713</v>
      </c>
    </row>
    <row r="19" spans="1:34" x14ac:dyDescent="0.2">
      <c r="A19" s="347">
        <f t="shared" ca="1" si="6"/>
        <v>0.01</v>
      </c>
      <c r="B19" s="304">
        <f t="shared" ca="1" si="7"/>
        <v>0.15</v>
      </c>
      <c r="D19" s="306">
        <f t="shared" ca="1" si="8"/>
        <v>25.217643425037569</v>
      </c>
      <c r="E19" s="307">
        <f t="shared" ca="1" si="9"/>
        <v>143.02383770377466</v>
      </c>
      <c r="F19" s="304">
        <f t="shared" ca="1" si="10"/>
        <v>145.22998206784993</v>
      </c>
      <c r="G19" s="306">
        <f t="shared" ca="1" si="11"/>
        <v>3.4353769805606933</v>
      </c>
      <c r="H19" s="307">
        <f t="shared" ca="1" si="12"/>
        <v>19.484015051019455</v>
      </c>
      <c r="I19" s="304">
        <f t="shared" ca="1" si="13"/>
        <v>19.784556035122925</v>
      </c>
      <c r="J19" s="306">
        <f t="shared" ca="1" si="14"/>
        <v>0.23804930102275509</v>
      </c>
      <c r="K19" s="307">
        <f t="shared" ca="1" si="15"/>
        <v>1.350116017579907</v>
      </c>
      <c r="L19" s="304">
        <f t="shared" ca="1" si="0"/>
        <v>1.3709415489521244</v>
      </c>
      <c r="M19" s="306">
        <f t="shared" ca="1" si="16"/>
        <v>1.3962634015954636</v>
      </c>
      <c r="N19" s="304">
        <f t="shared" ca="1" si="17"/>
        <v>80</v>
      </c>
      <c r="P19" s="310">
        <f t="shared" ca="1" si="18"/>
        <v>5</v>
      </c>
      <c r="Q19" s="304">
        <f t="shared" ca="1" si="19"/>
        <v>1293.8340000000001</v>
      </c>
      <c r="R19" s="306">
        <f t="shared" ca="1" si="20"/>
        <v>0.6358311034159061</v>
      </c>
      <c r="S19" s="307">
        <f t="shared" ca="1" si="21"/>
        <v>8.3444704280445592</v>
      </c>
      <c r="T19" s="304">
        <f t="shared" ca="1" si="1"/>
        <v>81.859254899117133</v>
      </c>
      <c r="U19" s="311">
        <f t="shared" ca="1" si="2"/>
        <v>14.214710438404436</v>
      </c>
      <c r="V19" s="306">
        <f t="shared" ca="1" si="3"/>
        <v>1.2248346219518242</v>
      </c>
      <c r="W19" s="304">
        <f t="shared" ca="1" si="4"/>
        <v>1.5735982655426923</v>
      </c>
      <c r="Y19" s="314" t="str">
        <f t="shared" ca="1" si="22"/>
        <v/>
      </c>
      <c r="Z19" s="315" t="str">
        <f t="shared" ca="1" si="23"/>
        <v/>
      </c>
      <c r="AA19" s="316" t="str">
        <f t="shared" ca="1" si="24"/>
        <v/>
      </c>
      <c r="AC19" s="310" t="e">
        <f t="shared" ca="1" si="25"/>
        <v>#N/A</v>
      </c>
      <c r="AD19" s="323" t="e">
        <f t="shared" ca="1" si="26"/>
        <v>#N/A</v>
      </c>
      <c r="AE19" s="324">
        <f t="shared" ca="1" si="5"/>
        <v>1.350116017579907</v>
      </c>
      <c r="AG19" s="306">
        <f t="shared" ca="1" si="27"/>
        <v>145.22998206204926</v>
      </c>
      <c r="AH19" s="304">
        <f t="shared" ca="1" si="28"/>
        <v>154.89094611909903</v>
      </c>
    </row>
    <row r="20" spans="1:34" x14ac:dyDescent="0.2">
      <c r="A20" s="347">
        <f t="shared" ca="1" si="6"/>
        <v>0.01</v>
      </c>
      <c r="B20" s="304">
        <f t="shared" ca="1" si="7"/>
        <v>0.16</v>
      </c>
      <c r="D20" s="306">
        <f t="shared" ca="1" si="8"/>
        <v>25.300042225104633</v>
      </c>
      <c r="E20" s="307">
        <f t="shared" ca="1" si="9"/>
        <v>143.49116869037425</v>
      </c>
      <c r="F20" s="304">
        <f t="shared" ca="1" si="10"/>
        <v>145.7045216481682</v>
      </c>
      <c r="G20" s="306">
        <f t="shared" ca="1" si="11"/>
        <v>3.6883774028117395</v>
      </c>
      <c r="H20" s="307">
        <f t="shared" ca="1" si="12"/>
        <v>20.918926737923197</v>
      </c>
      <c r="I20" s="304">
        <f t="shared" ca="1" si="13"/>
        <v>21.241601251604603</v>
      </c>
      <c r="J20" s="306">
        <f t="shared" ca="1" si="14"/>
        <v>0.27366807293961726</v>
      </c>
      <c r="K20" s="307">
        <f t="shared" ca="1" si="15"/>
        <v>1.5521307265246203</v>
      </c>
      <c r="L20" s="304">
        <f t="shared" ca="1" si="0"/>
        <v>1.5760723353857617</v>
      </c>
      <c r="M20" s="306">
        <f t="shared" ca="1" si="16"/>
        <v>1.3962634015954636</v>
      </c>
      <c r="N20" s="304">
        <f t="shared" ca="1" si="17"/>
        <v>80</v>
      </c>
      <c r="P20" s="310">
        <f t="shared" ca="1" si="18"/>
        <v>5</v>
      </c>
      <c r="Q20" s="304">
        <f t="shared" ca="1" si="19"/>
        <v>1297.0260000000001</v>
      </c>
      <c r="R20" s="306">
        <f t="shared" ca="1" si="20"/>
        <v>0.63739975355348455</v>
      </c>
      <c r="S20" s="307">
        <f t="shared" ca="1" si="21"/>
        <v>8.3380964305090242</v>
      </c>
      <c r="T20" s="304">
        <f t="shared" ca="1" si="1"/>
        <v>81.796725983293527</v>
      </c>
      <c r="U20" s="311">
        <f t="shared" ca="1" si="2"/>
        <v>14.203852406120177</v>
      </c>
      <c r="V20" s="306">
        <f t="shared" ca="1" si="3"/>
        <v>1.2248098787406529</v>
      </c>
      <c r="W20" s="304">
        <f t="shared" ca="1" si="4"/>
        <v>1.8138734353269181</v>
      </c>
      <c r="Y20" s="314" t="str">
        <f t="shared" ca="1" si="22"/>
        <v/>
      </c>
      <c r="Z20" s="315" t="str">
        <f t="shared" ca="1" si="23"/>
        <v/>
      </c>
      <c r="AA20" s="316" t="str">
        <f t="shared" ca="1" si="24"/>
        <v/>
      </c>
      <c r="AC20" s="310" t="e">
        <f t="shared" ca="1" si="25"/>
        <v>#N/A</v>
      </c>
      <c r="AD20" s="323" t="e">
        <f t="shared" ca="1" si="26"/>
        <v>#N/A</v>
      </c>
      <c r="AE20" s="324">
        <f t="shared" ca="1" si="5"/>
        <v>1.5521307265246203</v>
      </c>
      <c r="AG20" s="306">
        <f t="shared" ca="1" si="27"/>
        <v>145.70452164234896</v>
      </c>
      <c r="AH20" s="304">
        <f t="shared" ca="1" si="28"/>
        <v>155.36548569939873</v>
      </c>
    </row>
    <row r="21" spans="1:34" x14ac:dyDescent="0.2">
      <c r="A21" s="347">
        <f t="shared" ca="1" si="6"/>
        <v>0.01</v>
      </c>
      <c r="B21" s="304">
        <f t="shared" ca="1" si="7"/>
        <v>0.17</v>
      </c>
      <c r="D21" s="306">
        <f t="shared" ca="1" si="8"/>
        <v>25.382247949441499</v>
      </c>
      <c r="E21" s="307">
        <f t="shared" ca="1" si="9"/>
        <v>143.95740474124116</v>
      </c>
      <c r="F21" s="304">
        <f t="shared" ca="1" si="10"/>
        <v>146.1779494000393</v>
      </c>
      <c r="G21" s="306">
        <f t="shared" ca="1" si="11"/>
        <v>3.9421998823061544</v>
      </c>
      <c r="H21" s="307">
        <f t="shared" ca="1" si="12"/>
        <v>22.358500785335607</v>
      </c>
      <c r="I21" s="304">
        <f t="shared" ca="1" si="13"/>
        <v>22.703380745604996</v>
      </c>
      <c r="J21" s="306">
        <f t="shared" ca="1" si="14"/>
        <v>0.31182095936520671</v>
      </c>
      <c r="K21" s="307">
        <f t="shared" ca="1" si="15"/>
        <v>1.7685178641409143</v>
      </c>
      <c r="L21" s="304">
        <f t="shared" ca="1" si="0"/>
        <v>1.7957972453718094</v>
      </c>
      <c r="M21" s="306">
        <f t="shared" ca="1" si="16"/>
        <v>1.3962634015954636</v>
      </c>
      <c r="N21" s="304">
        <f t="shared" ca="1" si="17"/>
        <v>80</v>
      </c>
      <c r="P21" s="310">
        <f t="shared" ca="1" si="18"/>
        <v>5</v>
      </c>
      <c r="Q21" s="304">
        <f t="shared" ca="1" si="19"/>
        <v>1300.2180000000001</v>
      </c>
      <c r="R21" s="306">
        <f t="shared" ca="1" si="20"/>
        <v>0.63896840369106289</v>
      </c>
      <c r="S21" s="307">
        <f t="shared" ca="1" si="21"/>
        <v>8.3317067464721131</v>
      </c>
      <c r="T21" s="304">
        <f t="shared" ca="1" si="1"/>
        <v>81.73404318289144</v>
      </c>
      <c r="U21" s="311">
        <f t="shared" ca="1" si="2"/>
        <v>14.192967652059295</v>
      </c>
      <c r="V21" s="306">
        <f t="shared" ca="1" si="3"/>
        <v>1.2247833757168387</v>
      </c>
      <c r="W21" s="304">
        <f t="shared" ca="1" si="4"/>
        <v>2.0720686690779417</v>
      </c>
      <c r="Y21" s="314" t="str">
        <f t="shared" ca="1" si="22"/>
        <v/>
      </c>
      <c r="Z21" s="315" t="str">
        <f t="shared" ca="1" si="23"/>
        <v/>
      </c>
      <c r="AA21" s="316" t="str">
        <f t="shared" ca="1" si="24"/>
        <v/>
      </c>
      <c r="AC21" s="310" t="e">
        <f t="shared" ca="1" si="25"/>
        <v>#N/A</v>
      </c>
      <c r="AD21" s="323" t="e">
        <f t="shared" ca="1" si="26"/>
        <v>#N/A</v>
      </c>
      <c r="AE21" s="324">
        <f t="shared" ca="1" si="5"/>
        <v>1.7685178641409143</v>
      </c>
      <c r="AG21" s="306">
        <f t="shared" ca="1" si="27"/>
        <v>146.17794939420139</v>
      </c>
      <c r="AH21" s="304">
        <f t="shared" ca="1" si="28"/>
        <v>155.83891345125116</v>
      </c>
    </row>
    <row r="22" spans="1:34" x14ac:dyDescent="0.2">
      <c r="A22" s="347">
        <f t="shared" ca="1" si="6"/>
        <v>0.01</v>
      </c>
      <c r="B22" s="304">
        <f t="shared" ca="1" si="7"/>
        <v>0.18000000000000002</v>
      </c>
      <c r="D22" s="306">
        <f t="shared" ca="1" si="8"/>
        <v>25.464257226206303</v>
      </c>
      <c r="E22" s="307">
        <f t="shared" ca="1" si="9"/>
        <v>144.42252673396465</v>
      </c>
      <c r="F22" s="304">
        <f t="shared" ca="1" si="10"/>
        <v>146.65024590605069</v>
      </c>
      <c r="G22" s="306">
        <f t="shared" ca="1" si="11"/>
        <v>4.196842454568217</v>
      </c>
      <c r="H22" s="307">
        <f t="shared" ca="1" si="12"/>
        <v>23.802726052675254</v>
      </c>
      <c r="I22" s="304">
        <f t="shared" ca="1" si="13"/>
        <v>24.169883204665503</v>
      </c>
      <c r="J22" s="306">
        <f t="shared" ca="1" si="14"/>
        <v>0.35251617104957855</v>
      </c>
      <c r="K22" s="307">
        <f t="shared" ca="1" si="15"/>
        <v>1.9993239983309685</v>
      </c>
      <c r="L22" s="304">
        <f t="shared" ca="1" si="0"/>
        <v>2.0301635651231615</v>
      </c>
      <c r="M22" s="306">
        <f t="shared" ca="1" si="16"/>
        <v>1.3962634015954636</v>
      </c>
      <c r="N22" s="304">
        <f t="shared" ca="1" si="17"/>
        <v>80</v>
      </c>
      <c r="P22" s="310">
        <f t="shared" ca="1" si="18"/>
        <v>5</v>
      </c>
      <c r="Q22" s="304">
        <f t="shared" ca="1" si="19"/>
        <v>1303.4100000000001</v>
      </c>
      <c r="R22" s="306">
        <f t="shared" ca="1" si="20"/>
        <v>0.64053705382864123</v>
      </c>
      <c r="S22" s="307">
        <f t="shared" ca="1" si="21"/>
        <v>8.3253013759338259</v>
      </c>
      <c r="T22" s="304">
        <f t="shared" ca="1" si="1"/>
        <v>81.671206497910831</v>
      </c>
      <c r="U22" s="311">
        <f t="shared" ca="1" si="2"/>
        <v>14.182056176221781</v>
      </c>
      <c r="V22" s="306">
        <f t="shared" ca="1" si="3"/>
        <v>1.2247551072911982</v>
      </c>
      <c r="W22" s="304">
        <f t="shared" ca="1" si="4"/>
        <v>2.3483463973200451</v>
      </c>
      <c r="Y22" s="314" t="str">
        <f t="shared" ca="1" si="22"/>
        <v/>
      </c>
      <c r="Z22" s="315" t="str">
        <f t="shared" ca="1" si="23"/>
        <v/>
      </c>
      <c r="AA22" s="316" t="str">
        <f t="shared" ca="1" si="24"/>
        <v/>
      </c>
      <c r="AC22" s="310" t="e">
        <f t="shared" ca="1" si="25"/>
        <v>#N/A</v>
      </c>
      <c r="AD22" s="323" t="e">
        <f t="shared" ca="1" si="26"/>
        <v>#N/A</v>
      </c>
      <c r="AE22" s="324">
        <f t="shared" ca="1" si="5"/>
        <v>1.9993239983309685</v>
      </c>
      <c r="AG22" s="306">
        <f t="shared" ca="1" si="27"/>
        <v>146.65024590019394</v>
      </c>
      <c r="AH22" s="304">
        <f t="shared" ca="1" si="28"/>
        <v>156.3112099572437</v>
      </c>
    </row>
    <row r="23" spans="1:34" x14ac:dyDescent="0.2">
      <c r="A23" s="347">
        <f t="shared" ca="1" si="6"/>
        <v>0.01</v>
      </c>
      <c r="B23" s="304">
        <f t="shared" ca="1" si="7"/>
        <v>0.19000000000000003</v>
      </c>
      <c r="D23" s="306">
        <f t="shared" ca="1" si="8"/>
        <v>25.546066674967282</v>
      </c>
      <c r="E23" s="307">
        <f t="shared" ca="1" si="9"/>
        <v>144.88651549741945</v>
      </c>
      <c r="F23" s="304">
        <f t="shared" ca="1" si="10"/>
        <v>147.12139169932374</v>
      </c>
      <c r="G23" s="306">
        <f t="shared" ca="1" si="11"/>
        <v>4.4523031213178896</v>
      </c>
      <c r="H23" s="307">
        <f t="shared" ca="1" si="12"/>
        <v>25.251591207649447</v>
      </c>
      <c r="I23" s="304">
        <f t="shared" ca="1" si="13"/>
        <v>25.641097121658738</v>
      </c>
      <c r="J23" s="306">
        <f t="shared" ca="1" si="14"/>
        <v>0.39576189892900909</v>
      </c>
      <c r="K23" s="307">
        <f t="shared" ca="1" si="15"/>
        <v>2.244595584632592</v>
      </c>
      <c r="L23" s="304">
        <f t="shared" ca="1" si="0"/>
        <v>2.279218466754783</v>
      </c>
      <c r="M23" s="306">
        <f t="shared" ca="1" si="16"/>
        <v>1.3962634015954636</v>
      </c>
      <c r="N23" s="304">
        <f t="shared" ca="1" si="17"/>
        <v>80</v>
      </c>
      <c r="P23" s="310">
        <f t="shared" ca="1" si="18"/>
        <v>5</v>
      </c>
      <c r="Q23" s="304">
        <f t="shared" ca="1" si="19"/>
        <v>1306.6020000000001</v>
      </c>
      <c r="R23" s="306">
        <f t="shared" ca="1" si="20"/>
        <v>0.64210570396621969</v>
      </c>
      <c r="S23" s="307">
        <f t="shared" ca="1" si="21"/>
        <v>8.3188803188941645</v>
      </c>
      <c r="T23" s="304">
        <f t="shared" ca="1" si="1"/>
        <v>81.608215928351754</v>
      </c>
      <c r="U23" s="311">
        <f t="shared" ca="1" si="2"/>
        <v>14.171117978607645</v>
      </c>
      <c r="V23" s="306">
        <f t="shared" ca="1" si="3"/>
        <v>1.2247250678964516</v>
      </c>
      <c r="W23" s="304">
        <f t="shared" ca="1" si="4"/>
        <v>2.64286883973223</v>
      </c>
      <c r="Y23" s="314" t="str">
        <f t="shared" ca="1" si="22"/>
        <v/>
      </c>
      <c r="Z23" s="315" t="str">
        <f t="shared" ca="1" si="23"/>
        <v/>
      </c>
      <c r="AA23" s="316" t="str">
        <f t="shared" ca="1" si="24"/>
        <v/>
      </c>
      <c r="AC23" s="310" t="e">
        <f t="shared" ca="1" si="25"/>
        <v>#N/A</v>
      </c>
      <c r="AD23" s="323" t="e">
        <f t="shared" ca="1" si="26"/>
        <v>#N/A</v>
      </c>
      <c r="AE23" s="324">
        <f t="shared" ca="1" si="5"/>
        <v>2.244595584632592</v>
      </c>
      <c r="AG23" s="306">
        <f t="shared" ca="1" si="27"/>
        <v>147.12139169344809</v>
      </c>
      <c r="AH23" s="304">
        <f t="shared" ca="1" si="28"/>
        <v>156.78235575049786</v>
      </c>
    </row>
    <row r="24" spans="1:34" x14ac:dyDescent="0.2">
      <c r="A24" s="347">
        <f t="shared" ca="1" si="6"/>
        <v>0.01</v>
      </c>
      <c r="B24" s="304">
        <f t="shared" ca="1" si="7"/>
        <v>0.20000000000000004</v>
      </c>
      <c r="D24" s="306">
        <f t="shared" ca="1" si="8"/>
        <v>25.627672907002431</v>
      </c>
      <c r="E24" s="307">
        <f t="shared" ca="1" si="9"/>
        <v>145.3493518134656</v>
      </c>
      <c r="F24" s="304">
        <f t="shared" ca="1" si="10"/>
        <v>147.59136726523982</v>
      </c>
      <c r="G24" s="306">
        <f t="shared" ca="1" si="11"/>
        <v>4.7085798503879142</v>
      </c>
      <c r="H24" s="307">
        <f t="shared" ca="1" si="12"/>
        <v>26.705084725784104</v>
      </c>
      <c r="I24" s="304">
        <f t="shared" ca="1" si="13"/>
        <v>27.117010794311135</v>
      </c>
      <c r="J24" s="306">
        <f t="shared" ca="1" si="14"/>
        <v>0.44156631378753808</v>
      </c>
      <c r="K24" s="307">
        <f t="shared" ca="1" si="15"/>
        <v>2.5043789642997596</v>
      </c>
      <c r="L24" s="304">
        <f t="shared" ca="1" si="0"/>
        <v>2.543009006334632</v>
      </c>
      <c r="M24" s="306">
        <f t="shared" ca="1" si="16"/>
        <v>1.3962634015954636</v>
      </c>
      <c r="N24" s="304">
        <f t="shared" ca="1" si="17"/>
        <v>80</v>
      </c>
      <c r="P24" s="310">
        <f t="shared" ca="1" si="18"/>
        <v>5</v>
      </c>
      <c r="Q24" s="304">
        <f t="shared" ca="1" si="19"/>
        <v>1309.7940000000001</v>
      </c>
      <c r="R24" s="306">
        <f t="shared" ca="1" si="20"/>
        <v>0.64367435410379803</v>
      </c>
      <c r="S24" s="307">
        <f t="shared" ca="1" si="21"/>
        <v>8.3124435753531269</v>
      </c>
      <c r="T24" s="304">
        <f t="shared" ca="1" si="1"/>
        <v>81.545071474214183</v>
      </c>
      <c r="U24" s="311">
        <f t="shared" ca="1" si="2"/>
        <v>14.160153059216883</v>
      </c>
      <c r="V24" s="306">
        <f t="shared" ca="1" si="3"/>
        <v>1.2246932519875371</v>
      </c>
      <c r="W24" s="304">
        <f t="shared" ca="1" si="4"/>
        <v>2.9557979860304728</v>
      </c>
      <c r="Y24" s="314" t="str">
        <f t="shared" ca="1" si="22"/>
        <v/>
      </c>
      <c r="Z24" s="315" t="str">
        <f t="shared" ca="1" si="23"/>
        <v/>
      </c>
      <c r="AA24" s="316" t="str">
        <f t="shared" ca="1" si="24"/>
        <v/>
      </c>
      <c r="AC24" s="310" t="e">
        <f t="shared" ca="1" si="25"/>
        <v>#N/A</v>
      </c>
      <c r="AD24" s="323" t="e">
        <f t="shared" ca="1" si="26"/>
        <v>#N/A</v>
      </c>
      <c r="AE24" s="324">
        <f t="shared" ca="1" si="5"/>
        <v>2.5043789642997596</v>
      </c>
      <c r="AG24" s="306">
        <f t="shared" ca="1" si="27"/>
        <v>147.59136725934511</v>
      </c>
      <c r="AH24" s="304">
        <f t="shared" ca="1" si="28"/>
        <v>157.25233131639487</v>
      </c>
    </row>
    <row r="25" spans="1:34" x14ac:dyDescent="0.2">
      <c r="A25" s="347">
        <f t="shared" ca="1" si="6"/>
        <v>0.01</v>
      </c>
      <c r="B25" s="304">
        <f t="shared" ca="1" si="7"/>
        <v>0.21000000000000005</v>
      </c>
      <c r="D25" s="306">
        <f t="shared" ca="1" si="8"/>
        <v>25.686142480613125</v>
      </c>
      <c r="E25" s="307">
        <f t="shared" ca="1" si="9"/>
        <v>145.68096730507796</v>
      </c>
      <c r="F25" s="304">
        <f t="shared" ca="1" si="10"/>
        <v>147.92809790731965</v>
      </c>
      <c r="G25" s="306">
        <f t="shared" ca="1" si="11"/>
        <v>4.9654412751940455</v>
      </c>
      <c r="H25" s="307">
        <f t="shared" ca="1" si="12"/>
        <v>28.161894398834885</v>
      </c>
      <c r="I25" s="304">
        <f t="shared" ca="1" si="13"/>
        <v>28.59629177338433</v>
      </c>
      <c r="J25" s="306">
        <f t="shared" ca="1" si="14"/>
        <v>0.48993641941544785</v>
      </c>
      <c r="K25" s="307">
        <f t="shared" ca="1" si="15"/>
        <v>2.7787138599228545</v>
      </c>
      <c r="L25" s="304">
        <f t="shared" ca="1" si="0"/>
        <v>2.8215755191731087</v>
      </c>
      <c r="M25" s="306">
        <f t="shared" ca="1" si="16"/>
        <v>1.3962634015954636</v>
      </c>
      <c r="N25" s="304">
        <f t="shared" ca="1" si="17"/>
        <v>80</v>
      </c>
      <c r="P25" s="310">
        <f t="shared" ca="1" si="18"/>
        <v>6</v>
      </c>
      <c r="Q25" s="304">
        <f t="shared" ca="1" si="19"/>
        <v>1311.89</v>
      </c>
      <c r="R25" s="306">
        <f t="shared" ca="1" si="20"/>
        <v>0.64470439504626798</v>
      </c>
      <c r="S25" s="307">
        <f t="shared" ca="1" si="21"/>
        <v>8.3059965314026645</v>
      </c>
      <c r="T25" s="304">
        <f t="shared" ca="1" si="1"/>
        <v>81.48182597306014</v>
      </c>
      <c r="U25" s="311">
        <f t="shared" ca="1" si="2"/>
        <v>14.149170593195853</v>
      </c>
      <c r="V25" s="306">
        <f t="shared" ca="1" si="3"/>
        <v>1.2246596548382505</v>
      </c>
      <c r="W25" s="304">
        <f t="shared" ca="1" si="4"/>
        <v>3.2869919910997973</v>
      </c>
      <c r="Y25" s="314" t="str">
        <f t="shared" ca="1" si="22"/>
        <v/>
      </c>
      <c r="Z25" s="315" t="str">
        <f t="shared" ca="1" si="23"/>
        <v/>
      </c>
      <c r="AA25" s="316" t="str">
        <f t="shared" ca="1" si="24"/>
        <v/>
      </c>
      <c r="AC25" s="310" t="e">
        <f t="shared" ca="1" si="25"/>
        <v>#N/A</v>
      </c>
      <c r="AD25" s="323" t="e">
        <f t="shared" ca="1" si="26"/>
        <v>#N/A</v>
      </c>
      <c r="AE25" s="324">
        <f t="shared" ca="1" si="5"/>
        <v>2.7787138599228545</v>
      </c>
      <c r="AG25" s="306">
        <f t="shared" ca="1" si="27"/>
        <v>147.92809790141038</v>
      </c>
      <c r="AH25" s="304">
        <f t="shared" ca="1" si="28"/>
        <v>157.58906195846015</v>
      </c>
    </row>
    <row r="26" spans="1:34" x14ac:dyDescent="0.2">
      <c r="A26" s="347">
        <f t="shared" ca="1" si="6"/>
        <v>0.01</v>
      </c>
      <c r="B26" s="304">
        <f t="shared" ca="1" si="7"/>
        <v>0.22000000000000006</v>
      </c>
      <c r="D26" s="306">
        <f t="shared" ca="1" si="8"/>
        <v>25.721406882977288</v>
      </c>
      <c r="E26" s="307">
        <f t="shared" ca="1" si="9"/>
        <v>145.88097339713809</v>
      </c>
      <c r="F26" s="304">
        <f t="shared" ca="1" si="10"/>
        <v>148.13118905664729</v>
      </c>
      <c r="G26" s="306">
        <f t="shared" ca="1" si="11"/>
        <v>5.2226553440238188</v>
      </c>
      <c r="H26" s="307">
        <f t="shared" ca="1" si="12"/>
        <v>29.620704132806267</v>
      </c>
      <c r="I26" s="304">
        <f t="shared" ca="1" si="13"/>
        <v>30.077603663950804</v>
      </c>
      <c r="J26" s="306">
        <f t="shared" ca="1" si="14"/>
        <v>0.54087690251153719</v>
      </c>
      <c r="K26" s="307">
        <f t="shared" ca="1" si="15"/>
        <v>3.0676268525810602</v>
      </c>
      <c r="L26" s="304">
        <f t="shared" ca="1" si="0"/>
        <v>3.1149449963597844</v>
      </c>
      <c r="M26" s="306">
        <f t="shared" ca="1" si="16"/>
        <v>1.3962634015954636</v>
      </c>
      <c r="N26" s="304">
        <f t="shared" ca="1" si="17"/>
        <v>80</v>
      </c>
      <c r="P26" s="310">
        <f t="shared" ca="1" si="18"/>
        <v>6</v>
      </c>
      <c r="Q26" s="304">
        <f t="shared" ca="1" si="19"/>
        <v>1312.89</v>
      </c>
      <c r="R26" s="306">
        <f t="shared" ca="1" si="20"/>
        <v>0.64519582679362963</v>
      </c>
      <c r="S26" s="307">
        <f t="shared" ca="1" si="21"/>
        <v>8.2995445731347282</v>
      </c>
      <c r="T26" s="304">
        <f t="shared" ca="1" si="1"/>
        <v>81.418532262451691</v>
      </c>
      <c r="U26" s="311">
        <f t="shared" ca="1" si="2"/>
        <v>14.138179755690917</v>
      </c>
      <c r="V26" s="306">
        <f t="shared" ca="1" si="3"/>
        <v>1.2246242733400183</v>
      </c>
      <c r="W26" s="304">
        <f t="shared" ca="1" si="4"/>
        <v>3.6362448899222009</v>
      </c>
      <c r="Y26" s="314" t="str">
        <f t="shared" ca="1" si="22"/>
        <v/>
      </c>
      <c r="Z26" s="315" t="str">
        <f t="shared" ca="1" si="23"/>
        <v/>
      </c>
      <c r="AA26" s="316" t="str">
        <f t="shared" ca="1" si="24"/>
        <v/>
      </c>
      <c r="AC26" s="310" t="e">
        <f t="shared" ca="1" si="25"/>
        <v>#N/A</v>
      </c>
      <c r="AD26" s="323" t="e">
        <f t="shared" ca="1" si="26"/>
        <v>#N/A</v>
      </c>
      <c r="AE26" s="324">
        <f t="shared" ca="1" si="5"/>
        <v>3.0676268525810602</v>
      </c>
      <c r="AG26" s="306">
        <f t="shared" ca="1" si="27"/>
        <v>148.1311890507279</v>
      </c>
      <c r="AH26" s="304">
        <f t="shared" ca="1" si="28"/>
        <v>157.79215310777766</v>
      </c>
    </row>
    <row r="27" spans="1:34" x14ac:dyDescent="0.2">
      <c r="A27" s="347">
        <f t="shared" ca="1" si="6"/>
        <v>0.01</v>
      </c>
      <c r="B27" s="304">
        <f t="shared" ca="1" si="7"/>
        <v>0.23000000000000007</v>
      </c>
      <c r="D27" s="306">
        <f t="shared" ca="1" si="8"/>
        <v>25.756364279746428</v>
      </c>
      <c r="E27" s="307">
        <f t="shared" ca="1" si="9"/>
        <v>146.07923839672335</v>
      </c>
      <c r="F27" s="304">
        <f t="shared" ca="1" si="10"/>
        <v>148.33251225364495</v>
      </c>
      <c r="G27" s="306">
        <f t="shared" ca="1" si="11"/>
        <v>5.4802189868212832</v>
      </c>
      <c r="H27" s="307">
        <f t="shared" ca="1" si="12"/>
        <v>31.081496516773502</v>
      </c>
      <c r="I27" s="304">
        <f t="shared" ca="1" si="13"/>
        <v>31.560928786487253</v>
      </c>
      <c r="J27" s="306">
        <f t="shared" ca="1" si="14"/>
        <v>0.59439127416576265</v>
      </c>
      <c r="K27" s="307">
        <f t="shared" ca="1" si="15"/>
        <v>3.3711378558289589</v>
      </c>
      <c r="L27" s="304">
        <f t="shared" ca="1" si="0"/>
        <v>3.4231376586119739</v>
      </c>
      <c r="M27" s="306">
        <f t="shared" ca="1" si="16"/>
        <v>1.3962634015954636</v>
      </c>
      <c r="N27" s="304">
        <f t="shared" ca="1" si="17"/>
        <v>80</v>
      </c>
      <c r="P27" s="310">
        <f t="shared" ca="1" si="18"/>
        <v>6</v>
      </c>
      <c r="Q27" s="304">
        <f t="shared" ca="1" si="19"/>
        <v>1313.89</v>
      </c>
      <c r="R27" s="306">
        <f t="shared" ca="1" si="20"/>
        <v>0.64568725854099129</v>
      </c>
      <c r="S27" s="307">
        <f t="shared" ca="1" si="21"/>
        <v>8.293087700549318</v>
      </c>
      <c r="T27" s="304">
        <f t="shared" ca="1" si="1"/>
        <v>81.355190342388809</v>
      </c>
      <c r="U27" s="311">
        <f t="shared" ca="1" si="2"/>
        <v>14.127180546702073</v>
      </c>
      <c r="V27" s="306">
        <f t="shared" ca="1" si="3"/>
        <v>1.2245871052089241</v>
      </c>
      <c r="W27" s="304">
        <f t="shared" ca="1" si="4"/>
        <v>4.003621646057054</v>
      </c>
      <c r="Y27" s="314" t="str">
        <f t="shared" ca="1" si="22"/>
        <v/>
      </c>
      <c r="Z27" s="315" t="str">
        <f t="shared" ca="1" si="23"/>
        <v/>
      </c>
      <c r="AA27" s="316" t="str">
        <f t="shared" ca="1" si="24"/>
        <v/>
      </c>
      <c r="AC27" s="310" t="e">
        <f t="shared" ca="1" si="25"/>
        <v>#N/A</v>
      </c>
      <c r="AD27" s="323" t="e">
        <f t="shared" ca="1" si="26"/>
        <v>#N/A</v>
      </c>
      <c r="AE27" s="324">
        <f t="shared" ca="1" si="5"/>
        <v>3.3711378558289589</v>
      </c>
      <c r="AG27" s="306">
        <f t="shared" ca="1" si="27"/>
        <v>148.33251224771539</v>
      </c>
      <c r="AH27" s="304">
        <f t="shared" ca="1" si="28"/>
        <v>157.99347630476515</v>
      </c>
    </row>
    <row r="28" spans="1:34" x14ac:dyDescent="0.2">
      <c r="A28" s="347">
        <f t="shared" ca="1" si="6"/>
        <v>0.01</v>
      </c>
      <c r="B28" s="304">
        <f t="shared" ca="1" si="7"/>
        <v>0.24000000000000007</v>
      </c>
      <c r="D28" s="306">
        <f t="shared" ca="1" si="8"/>
        <v>25.791012654138719</v>
      </c>
      <c r="E28" s="307">
        <f t="shared" ca="1" si="9"/>
        <v>146.27575086616983</v>
      </c>
      <c r="F28" s="304">
        <f t="shared" ca="1" si="10"/>
        <v>148.53205588420207</v>
      </c>
      <c r="G28" s="306">
        <f t="shared" ca="1" si="11"/>
        <v>5.7381291133626702</v>
      </c>
      <c r="H28" s="307">
        <f t="shared" ca="1" si="12"/>
        <v>32.544254025435201</v>
      </c>
      <c r="I28" s="304">
        <f t="shared" ca="1" si="13"/>
        <v>33.046249345329279</v>
      </c>
      <c r="J28" s="306">
        <f t="shared" ca="1" si="14"/>
        <v>0.65048301466668246</v>
      </c>
      <c r="K28" s="307">
        <f t="shared" ca="1" si="15"/>
        <v>3.6892666085400023</v>
      </c>
      <c r="L28" s="304">
        <f t="shared" ca="1" si="0"/>
        <v>3.7461735492710568</v>
      </c>
      <c r="M28" s="306">
        <f t="shared" ca="1" si="16"/>
        <v>1.3962634015954636</v>
      </c>
      <c r="N28" s="304">
        <f t="shared" ca="1" si="17"/>
        <v>80</v>
      </c>
      <c r="P28" s="310">
        <f t="shared" ca="1" si="18"/>
        <v>6</v>
      </c>
      <c r="Q28" s="304">
        <f t="shared" ca="1" si="19"/>
        <v>1314.89</v>
      </c>
      <c r="R28" s="306">
        <f t="shared" ca="1" si="20"/>
        <v>0.64617869028835295</v>
      </c>
      <c r="S28" s="307">
        <f t="shared" ca="1" si="21"/>
        <v>8.286625913646434</v>
      </c>
      <c r="T28" s="304">
        <f t="shared" ca="1" si="1"/>
        <v>81.291800212871522</v>
      </c>
      <c r="U28" s="311">
        <f t="shared" ca="1" si="2"/>
        <v>14.116172966229326</v>
      </c>
      <c r="V28" s="306">
        <f t="shared" ca="1" si="3"/>
        <v>1.2245481481905436</v>
      </c>
      <c r="W28" s="304">
        <f t="shared" ca="1" si="4"/>
        <v>4.3891862778030504</v>
      </c>
      <c r="Y28" s="314" t="str">
        <f t="shared" ca="1" si="22"/>
        <v>Sortie de rampe</v>
      </c>
      <c r="Z28" s="315" t="str">
        <f t="shared" ca="1" si="23"/>
        <v/>
      </c>
      <c r="AA28" s="316" t="str">
        <f t="shared" ca="1" si="24"/>
        <v/>
      </c>
      <c r="AC28" s="310" t="e">
        <f t="shared" ca="1" si="25"/>
        <v>#N/A</v>
      </c>
      <c r="AD28" s="323" t="e">
        <f t="shared" ca="1" si="26"/>
        <v>#N/A</v>
      </c>
      <c r="AE28" s="324">
        <f t="shared" ca="1" si="5"/>
        <v>3.6892666085400023</v>
      </c>
      <c r="AG28" s="306">
        <f t="shared" ca="1" si="27"/>
        <v>148.53205587826218</v>
      </c>
      <c r="AH28" s="304">
        <f t="shared" ca="1" si="28"/>
        <v>158.19301993531195</v>
      </c>
    </row>
    <row r="29" spans="1:34" x14ac:dyDescent="0.2">
      <c r="A29" s="347">
        <f t="shared" ca="1" si="6"/>
        <v>0.01</v>
      </c>
      <c r="B29" s="304">
        <f t="shared" ca="1" si="7"/>
        <v>0.25000000000000006</v>
      </c>
      <c r="D29" s="306">
        <f t="shared" ca="1" si="8"/>
        <v>25.825350001802398</v>
      </c>
      <c r="E29" s="307">
        <f t="shared" ca="1" si="9"/>
        <v>146.47049943830822</v>
      </c>
      <c r="F29" s="304">
        <f t="shared" ca="1" si="10"/>
        <v>148.72980840579015</v>
      </c>
      <c r="G29" s="306">
        <f t="shared" ca="1" si="11"/>
        <v>5.9963826133806943</v>
      </c>
      <c r="H29" s="307">
        <f t="shared" ca="1" si="12"/>
        <v>34.008959019818285</v>
      </c>
      <c r="I29" s="304">
        <f t="shared" ca="1" si="13"/>
        <v>34.533547429387177</v>
      </c>
      <c r="J29" s="306">
        <f t="shared" ca="1" si="14"/>
        <v>0.70915557330039924</v>
      </c>
      <c r="K29" s="307">
        <f t="shared" ca="1" si="15"/>
        <v>4.0220326737662697</v>
      </c>
      <c r="L29" s="304">
        <f t="shared" ca="1" si="0"/>
        <v>4.0840725331446386</v>
      </c>
      <c r="M29" s="306">
        <f t="shared" ca="1" si="16"/>
        <v>1.3962634015954636</v>
      </c>
      <c r="N29" s="304">
        <f t="shared" ca="1" si="17"/>
        <v>80</v>
      </c>
      <c r="P29" s="310">
        <f t="shared" ca="1" si="18"/>
        <v>6</v>
      </c>
      <c r="Q29" s="304">
        <f t="shared" ca="1" si="19"/>
        <v>1315.89</v>
      </c>
      <c r="R29" s="306">
        <f t="shared" ca="1" si="20"/>
        <v>0.64667012203571461</v>
      </c>
      <c r="S29" s="307">
        <f t="shared" ca="1" si="21"/>
        <v>8.2801592124260761</v>
      </c>
      <c r="T29" s="304">
        <f t="shared" ca="1" si="1"/>
        <v>81.228361873899814</v>
      </c>
      <c r="U29" s="311">
        <f t="shared" ca="1" si="2"/>
        <v>0</v>
      </c>
      <c r="V29" s="306">
        <f t="shared" ca="1" si="3"/>
        <v>1.2245074000601166</v>
      </c>
      <c r="W29" s="304">
        <f t="shared" ca="1" si="4"/>
        <v>4.7930018474516078</v>
      </c>
      <c r="Y29" s="314" t="str">
        <f t="shared" ca="1" si="22"/>
        <v/>
      </c>
      <c r="Z29" s="315" t="str">
        <f t="shared" ca="1" si="23"/>
        <v/>
      </c>
      <c r="AA29" s="316" t="str">
        <f t="shared" ca="1" si="24"/>
        <v/>
      </c>
      <c r="AC29" s="310" t="e">
        <f t="shared" ca="1" si="25"/>
        <v>#N/A</v>
      </c>
      <c r="AD29" s="323" t="e">
        <f t="shared" ca="1" si="26"/>
        <v>#N/A</v>
      </c>
      <c r="AE29" s="324">
        <f t="shared" ca="1" si="5"/>
        <v>4.0220326737662697</v>
      </c>
      <c r="AG29" s="306">
        <f t="shared" ca="1" si="27"/>
        <v>148.72980839983987</v>
      </c>
      <c r="AH29" s="304">
        <f t="shared" ca="1" si="28"/>
        <v>158.39077245688964</v>
      </c>
    </row>
    <row r="30" spans="1:34" x14ac:dyDescent="0.2">
      <c r="A30" s="347">
        <f t="shared" ca="1" si="6"/>
        <v>0.01</v>
      </c>
      <c r="B30" s="304">
        <f t="shared" ca="1" si="7"/>
        <v>0.26000000000000006</v>
      </c>
      <c r="D30" s="306">
        <f t="shared" ca="1" si="8"/>
        <v>27.538295346942057</v>
      </c>
      <c r="E30" s="307">
        <f t="shared" ca="1" si="9"/>
        <v>146.36743374437538</v>
      </c>
      <c r="F30" s="304">
        <f t="shared" ca="1" si="10"/>
        <v>148.93550070929874</v>
      </c>
      <c r="G30" s="306">
        <f t="shared" ca="1" si="11"/>
        <v>6.2717655668501147</v>
      </c>
      <c r="H30" s="307">
        <f t="shared" ca="1" si="12"/>
        <v>35.47263335726204</v>
      </c>
      <c r="I30" s="304">
        <f t="shared" ca="1" si="13"/>
        <v>36.022808894147417</v>
      </c>
      <c r="J30" s="306">
        <f t="shared" ca="1" si="14"/>
        <v>0.77049631420155329</v>
      </c>
      <c r="K30" s="307">
        <f t="shared" ca="1" si="15"/>
        <v>4.3694406356516708</v>
      </c>
      <c r="L30" s="304">
        <f t="shared" ca="1" si="0"/>
        <v>4.4368542954082066</v>
      </c>
      <c r="M30" s="306">
        <f t="shared" ca="1" si="16"/>
        <v>1.3957991064200559</v>
      </c>
      <c r="N30" s="304">
        <f t="shared" ca="1" si="17"/>
        <v>79.97339784600085</v>
      </c>
      <c r="P30" s="310">
        <f t="shared" ca="1" si="18"/>
        <v>6</v>
      </c>
      <c r="Q30" s="304">
        <f t="shared" ca="1" si="19"/>
        <v>1316.89</v>
      </c>
      <c r="R30" s="306">
        <f t="shared" ca="1" si="20"/>
        <v>0.64716155378307627</v>
      </c>
      <c r="S30" s="307">
        <f t="shared" ca="1" si="21"/>
        <v>8.2736875968882462</v>
      </c>
      <c r="T30" s="304">
        <f t="shared" ca="1" si="1"/>
        <v>81.164875325473702</v>
      </c>
      <c r="U30" s="311">
        <f t="shared" ca="1" si="2"/>
        <v>0</v>
      </c>
      <c r="V30" s="306">
        <f t="shared" ca="1" si="3"/>
        <v>1.2244648604351609</v>
      </c>
      <c r="W30" s="304">
        <f t="shared" ca="1" si="4"/>
        <v>5.2151315821432647</v>
      </c>
      <c r="Y30" s="314" t="str">
        <f t="shared" ca="1" si="22"/>
        <v/>
      </c>
      <c r="Z30" s="315" t="str">
        <f t="shared" ca="1" si="23"/>
        <v/>
      </c>
      <c r="AA30" s="316" t="str">
        <f t="shared" ca="1" si="24"/>
        <v/>
      </c>
      <c r="AC30" s="310" t="e">
        <f t="shared" ca="1" si="25"/>
        <v>#N/A</v>
      </c>
      <c r="AD30" s="323" t="e">
        <f t="shared" ca="1" si="26"/>
        <v>#N/A</v>
      </c>
      <c r="AE30" s="324">
        <f t="shared" ca="1" si="5"/>
        <v>4.3694406356516708</v>
      </c>
      <c r="AG30" s="306">
        <f t="shared" ca="1" si="27"/>
        <v>148.92575834301175</v>
      </c>
      <c r="AH30" s="304">
        <f t="shared" ca="1" si="28"/>
        <v>158.58672240006152</v>
      </c>
    </row>
    <row r="31" spans="1:34" x14ac:dyDescent="0.2">
      <c r="A31" s="347">
        <f t="shared" ca="1" si="6"/>
        <v>0.01</v>
      </c>
      <c r="B31" s="304">
        <f t="shared" ca="1" si="7"/>
        <v>0.27000000000000007</v>
      </c>
      <c r="D31" s="306">
        <f t="shared" ca="1" si="8"/>
        <v>27.644604902067975</v>
      </c>
      <c r="E31" s="307">
        <f t="shared" ca="1" si="9"/>
        <v>146.54580181450072</v>
      </c>
      <c r="F31" s="304">
        <f t="shared" ca="1" si="10"/>
        <v>149.13046707378868</v>
      </c>
      <c r="G31" s="306">
        <f t="shared" ca="1" si="11"/>
        <v>6.5482116158707946</v>
      </c>
      <c r="H31" s="307">
        <f t="shared" ca="1" si="12"/>
        <v>36.938091375407048</v>
      </c>
      <c r="I31" s="304">
        <f t="shared" ca="1" si="13"/>
        <v>37.514019643649831</v>
      </c>
      <c r="J31" s="306">
        <f t="shared" ca="1" si="14"/>
        <v>0.83459620011515789</v>
      </c>
      <c r="K31" s="307">
        <f t="shared" ca="1" si="15"/>
        <v>4.7314942593150162</v>
      </c>
      <c r="L31" s="304">
        <f t="shared" ca="1" si="0"/>
        <v>4.8045383486009987</v>
      </c>
      <c r="M31" s="306">
        <f t="shared" ca="1" si="16"/>
        <v>1.3953438168900685</v>
      </c>
      <c r="N31" s="304">
        <f t="shared" ca="1" si="17"/>
        <v>79.94731167747608</v>
      </c>
      <c r="P31" s="310">
        <f t="shared" ca="1" si="18"/>
        <v>6</v>
      </c>
      <c r="Q31" s="304">
        <f t="shared" ca="1" si="19"/>
        <v>1317.89</v>
      </c>
      <c r="R31" s="306">
        <f t="shared" ca="1" si="20"/>
        <v>0.64765298553043793</v>
      </c>
      <c r="S31" s="307">
        <f t="shared" ca="1" si="21"/>
        <v>8.2672110670329424</v>
      </c>
      <c r="T31" s="304">
        <f t="shared" ca="1" si="1"/>
        <v>81.101340567593169</v>
      </c>
      <c r="U31" s="311">
        <f t="shared" ca="1" si="2"/>
        <v>0</v>
      </c>
      <c r="V31" s="306">
        <f t="shared" ca="1" si="3"/>
        <v>1.2244205290414096</v>
      </c>
      <c r="W31" s="304">
        <f t="shared" ca="1" si="4"/>
        <v>5.6556379696353014</v>
      </c>
      <c r="Y31" s="314" t="str">
        <f t="shared" ca="1" si="22"/>
        <v/>
      </c>
      <c r="Z31" s="315" t="str">
        <f t="shared" ca="1" si="23"/>
        <v/>
      </c>
      <c r="AA31" s="316" t="str">
        <f t="shared" ca="1" si="24"/>
        <v/>
      </c>
      <c r="AC31" s="310" t="e">
        <f t="shared" ca="1" si="25"/>
        <v>#N/A</v>
      </c>
      <c r="AD31" s="323" t="e">
        <f t="shared" ca="1" si="26"/>
        <v>#N/A</v>
      </c>
      <c r="AE31" s="324">
        <f t="shared" ca="1" si="5"/>
        <v>4.7314942593150162</v>
      </c>
      <c r="AG31" s="306">
        <f t="shared" ca="1" si="27"/>
        <v>149.12068613890008</v>
      </c>
      <c r="AH31" s="304">
        <f t="shared" ca="1" si="28"/>
        <v>158.78085823312225</v>
      </c>
    </row>
    <row r="32" spans="1:34" x14ac:dyDescent="0.2">
      <c r="A32" s="347">
        <f t="shared" ca="1" si="6"/>
        <v>0.01</v>
      </c>
      <c r="B32" s="304">
        <f t="shared" ca="1" si="7"/>
        <v>0.28000000000000008</v>
      </c>
      <c r="D32" s="306">
        <f t="shared" ca="1" si="8"/>
        <v>27.749357661047483</v>
      </c>
      <c r="E32" s="307">
        <f t="shared" ca="1" si="9"/>
        <v>146.72255713488667</v>
      </c>
      <c r="F32" s="304">
        <f t="shared" ca="1" si="10"/>
        <v>149.32359365753564</v>
      </c>
      <c r="G32" s="306">
        <f t="shared" ca="1" si="11"/>
        <v>6.8257051924812693</v>
      </c>
      <c r="H32" s="307">
        <f t="shared" ca="1" si="12"/>
        <v>38.405316946755917</v>
      </c>
      <c r="I32" s="304">
        <f t="shared" ca="1" si="13"/>
        <v>39.007161152222331</v>
      </c>
      <c r="J32" s="306">
        <f t="shared" ca="1" si="14"/>
        <v>0.90146578415691825</v>
      </c>
      <c r="K32" s="307">
        <f t="shared" ca="1" si="15"/>
        <v>5.1082113009258308</v>
      </c>
      <c r="L32" s="304">
        <f t="shared" ca="1" si="0"/>
        <v>5.1871440364532022</v>
      </c>
      <c r="M32" s="306">
        <f t="shared" ca="1" si="16"/>
        <v>1.394904827745358</v>
      </c>
      <c r="N32" s="304">
        <f t="shared" ca="1" si="17"/>
        <v>79.922159452232108</v>
      </c>
      <c r="P32" s="310">
        <f t="shared" ca="1" si="18"/>
        <v>6</v>
      </c>
      <c r="Q32" s="304">
        <f t="shared" ca="1" si="19"/>
        <v>1318.89</v>
      </c>
      <c r="R32" s="306">
        <f t="shared" ca="1" si="20"/>
        <v>0.64814441727779959</v>
      </c>
      <c r="S32" s="307">
        <f t="shared" ca="1" si="21"/>
        <v>8.2607296228601648</v>
      </c>
      <c r="T32" s="304">
        <f t="shared" ca="1" si="1"/>
        <v>81.037757600258217</v>
      </c>
      <c r="U32" s="311">
        <f t="shared" ca="1" si="2"/>
        <v>0</v>
      </c>
      <c r="V32" s="306">
        <f t="shared" ca="1" si="3"/>
        <v>1.2243744038994904</v>
      </c>
      <c r="W32" s="304">
        <f t="shared" ca="1" si="4"/>
        <v>6.1145813452260116</v>
      </c>
      <c r="Y32" s="314" t="str">
        <f t="shared" ca="1" si="22"/>
        <v/>
      </c>
      <c r="Z32" s="315" t="str">
        <f t="shared" ca="1" si="23"/>
        <v/>
      </c>
      <c r="AA32" s="316" t="str">
        <f t="shared" ca="1" si="24"/>
        <v/>
      </c>
      <c r="AC32" s="310" t="e">
        <f t="shared" ca="1" si="25"/>
        <v>#N/A</v>
      </c>
      <c r="AD32" s="323" t="e">
        <f t="shared" ca="1" si="26"/>
        <v>#N/A</v>
      </c>
      <c r="AE32" s="324">
        <f t="shared" ca="1" si="5"/>
        <v>5.1082113009258308</v>
      </c>
      <c r="AG32" s="306">
        <f t="shared" ca="1" si="27"/>
        <v>149.31377500088865</v>
      </c>
      <c r="AH32" s="304">
        <f t="shared" ca="1" si="28"/>
        <v>158.9731684712464</v>
      </c>
    </row>
    <row r="33" spans="1:34" x14ac:dyDescent="0.2">
      <c r="A33" s="347">
        <f t="shared" ca="1" si="6"/>
        <v>0.01</v>
      </c>
      <c r="B33" s="304">
        <f t="shared" ca="1" si="7"/>
        <v>0.29000000000000009</v>
      </c>
      <c r="D33" s="306">
        <f t="shared" ca="1" si="8"/>
        <v>27.851401243354786</v>
      </c>
      <c r="E33" s="307">
        <f t="shared" ca="1" si="9"/>
        <v>146.8978949352452</v>
      </c>
      <c r="F33" s="304">
        <f t="shared" ca="1" si="10"/>
        <v>149.51485574224617</v>
      </c>
      <c r="G33" s="306">
        <f t="shared" ca="1" si="11"/>
        <v>7.1042192049148172</v>
      </c>
      <c r="H33" s="307">
        <f t="shared" ca="1" si="12"/>
        <v>39.874295896108372</v>
      </c>
      <c r="I33" s="304">
        <f t="shared" ca="1" si="13"/>
        <v>40.502214800204264</v>
      </c>
      <c r="J33" s="306">
        <f t="shared" ca="1" si="14"/>
        <v>0.97111540614389869</v>
      </c>
      <c r="K33" s="307">
        <f t="shared" ca="1" si="15"/>
        <v>5.4996093651401523</v>
      </c>
      <c r="L33" s="304">
        <f t="shared" ca="1" si="0"/>
        <v>5.5846905286853001</v>
      </c>
      <c r="M33" s="306">
        <f t="shared" ca="1" si="16"/>
        <v>1.3944809960512672</v>
      </c>
      <c r="N33" s="304">
        <f t="shared" ca="1" si="17"/>
        <v>79.897875684936821</v>
      </c>
      <c r="P33" s="310">
        <f t="shared" ca="1" si="18"/>
        <v>6</v>
      </c>
      <c r="Q33" s="304">
        <f t="shared" ca="1" si="19"/>
        <v>1319.89</v>
      </c>
      <c r="R33" s="306">
        <f t="shared" ca="1" si="20"/>
        <v>0.64863584902516114</v>
      </c>
      <c r="S33" s="307">
        <f t="shared" ca="1" si="21"/>
        <v>8.2542432643699133</v>
      </c>
      <c r="T33" s="304">
        <f t="shared" ca="1" si="1"/>
        <v>80.97412642346886</v>
      </c>
      <c r="U33" s="311">
        <f t="shared" ca="1" si="2"/>
        <v>0</v>
      </c>
      <c r="V33" s="306">
        <f t="shared" ca="1" si="3"/>
        <v>1.2243264830567751</v>
      </c>
      <c r="W33" s="304">
        <f t="shared" ca="1" si="4"/>
        <v>6.5920210401362764</v>
      </c>
      <c r="Y33" s="314" t="str">
        <f t="shared" ca="1" si="22"/>
        <v/>
      </c>
      <c r="Z33" s="315" t="str">
        <f t="shared" ca="1" si="23"/>
        <v/>
      </c>
      <c r="AA33" s="316" t="str">
        <f t="shared" ca="1" si="24"/>
        <v/>
      </c>
      <c r="AC33" s="310" t="e">
        <f t="shared" ca="1" si="25"/>
        <v>#N/A</v>
      </c>
      <c r="AD33" s="323" t="e">
        <f t="shared" ca="1" si="26"/>
        <v>#N/A</v>
      </c>
      <c r="AE33" s="324">
        <f t="shared" ca="1" si="5"/>
        <v>5.4996093651401523</v>
      </c>
      <c r="AG33" s="306">
        <f t="shared" ca="1" si="27"/>
        <v>149.50500102086357</v>
      </c>
      <c r="AH33" s="304">
        <f t="shared" ca="1" si="28"/>
        <v>159.16364184779826</v>
      </c>
    </row>
    <row r="34" spans="1:34" x14ac:dyDescent="0.2">
      <c r="A34" s="347">
        <f t="shared" ca="1" si="6"/>
        <v>0.01</v>
      </c>
      <c r="B34" s="304">
        <f t="shared" ca="1" si="7"/>
        <v>0.3000000000000001</v>
      </c>
      <c r="D34" s="306">
        <f t="shared" ca="1" si="8"/>
        <v>27.950902003806902</v>
      </c>
      <c r="E34" s="307">
        <f t="shared" ca="1" si="9"/>
        <v>147.0717775628149</v>
      </c>
      <c r="F34" s="304">
        <f t="shared" ca="1" si="10"/>
        <v>149.70424402238075</v>
      </c>
      <c r="G34" s="306">
        <f t="shared" ca="1" si="11"/>
        <v>7.3837282249528862</v>
      </c>
      <c r="H34" s="307">
        <f t="shared" ca="1" si="12"/>
        <v>41.345013671736524</v>
      </c>
      <c r="I34" s="304">
        <f t="shared" ca="1" si="13"/>
        <v>41.999161872780817</v>
      </c>
      <c r="J34" s="306">
        <f t="shared" ca="1" si="14"/>
        <v>1.0435551432932373</v>
      </c>
      <c r="K34" s="307">
        <f t="shared" ca="1" si="15"/>
        <v>5.9057059129793767</v>
      </c>
      <c r="L34" s="304">
        <f t="shared" ca="1" si="0"/>
        <v>5.9971968174884287</v>
      </c>
      <c r="M34" s="306">
        <f t="shared" ca="1" si="16"/>
        <v>1.3940712960393771</v>
      </c>
      <c r="N34" s="304">
        <f t="shared" ca="1" si="17"/>
        <v>79.87440160338906</v>
      </c>
      <c r="P34" s="310">
        <f t="shared" ca="1" si="18"/>
        <v>6</v>
      </c>
      <c r="Q34" s="304">
        <f t="shared" ca="1" si="19"/>
        <v>1320.89</v>
      </c>
      <c r="R34" s="306">
        <f t="shared" ca="1" si="20"/>
        <v>0.6491272807725228</v>
      </c>
      <c r="S34" s="307">
        <f t="shared" ca="1" si="21"/>
        <v>8.247751991562188</v>
      </c>
      <c r="T34" s="304">
        <f t="shared" ca="1" si="1"/>
        <v>80.910447037225069</v>
      </c>
      <c r="U34" s="311">
        <f t="shared" ca="1" si="2"/>
        <v>0</v>
      </c>
      <c r="V34" s="306">
        <f t="shared" ca="1" si="3"/>
        <v>1.2242767645864427</v>
      </c>
      <c r="W34" s="304">
        <f t="shared" ca="1" si="4"/>
        <v>7.0880153715774359</v>
      </c>
      <c r="Y34" s="314" t="str">
        <f t="shared" ca="1" si="22"/>
        <v/>
      </c>
      <c r="Z34" s="315" t="str">
        <f t="shared" ca="1" si="23"/>
        <v/>
      </c>
      <c r="AA34" s="316" t="str">
        <f t="shared" ca="1" si="24"/>
        <v/>
      </c>
      <c r="AC34" s="310" t="e">
        <f t="shared" ca="1" si="25"/>
        <v>#N/A</v>
      </c>
      <c r="AD34" s="323" t="e">
        <f t="shared" ca="1" si="26"/>
        <v>#N/A</v>
      </c>
      <c r="AE34" s="324">
        <f t="shared" ca="1" si="5"/>
        <v>5.9057059129793767</v>
      </c>
      <c r="AG34" s="306">
        <f t="shared" ca="1" si="27"/>
        <v>149.69435477108462</v>
      </c>
      <c r="AH34" s="304">
        <f t="shared" ca="1" si="28"/>
        <v>159.352267175886</v>
      </c>
    </row>
    <row r="35" spans="1:34" x14ac:dyDescent="0.2">
      <c r="A35" s="347">
        <f t="shared" ca="1" si="6"/>
        <v>0.01</v>
      </c>
      <c r="B35" s="304">
        <f t="shared" ca="1" si="7"/>
        <v>0.31000000000000011</v>
      </c>
      <c r="D35" s="306">
        <f t="shared" ca="1" si="8"/>
        <v>28.048008841104217</v>
      </c>
      <c r="E35" s="307">
        <f t="shared" ca="1" si="9"/>
        <v>147.24417015234732</v>
      </c>
      <c r="F35" s="304">
        <f t="shared" ca="1" si="10"/>
        <v>149.89174908514502</v>
      </c>
      <c r="G35" s="306">
        <f t="shared" ca="1" si="11"/>
        <v>7.664208313363928</v>
      </c>
      <c r="H35" s="307">
        <f t="shared" ca="1" si="12"/>
        <v>42.817455373259996</v>
      </c>
      <c r="I35" s="304">
        <f t="shared" ca="1" si="13"/>
        <v>43.497983559146142</v>
      </c>
      <c r="J35" s="306">
        <f t="shared" ca="1" si="14"/>
        <v>1.1187948259848213</v>
      </c>
      <c r="K35" s="307">
        <f t="shared" ca="1" si="15"/>
        <v>6.3265182582043593</v>
      </c>
      <c r="L35" s="304">
        <f t="shared" ca="1" si="0"/>
        <v>6.4246817146099566</v>
      </c>
      <c r="M35" s="306">
        <f t="shared" ca="1" si="16"/>
        <v>1.3936748035424611</v>
      </c>
      <c r="N35" s="304">
        <f t="shared" ca="1" si="17"/>
        <v>79.851684256707173</v>
      </c>
      <c r="P35" s="310">
        <f t="shared" ca="1" si="18"/>
        <v>6</v>
      </c>
      <c r="Q35" s="304">
        <f t="shared" ca="1" si="19"/>
        <v>1321.89</v>
      </c>
      <c r="R35" s="306">
        <f t="shared" ca="1" si="20"/>
        <v>0.64961871251988446</v>
      </c>
      <c r="S35" s="307">
        <f t="shared" ca="1" si="21"/>
        <v>8.2412558044369888</v>
      </c>
      <c r="T35" s="304">
        <f t="shared" ca="1" si="1"/>
        <v>80.846719441526858</v>
      </c>
      <c r="U35" s="311">
        <f t="shared" ca="1" si="2"/>
        <v>0</v>
      </c>
      <c r="V35" s="306">
        <f t="shared" ca="1" si="3"/>
        <v>1.2242252465879504</v>
      </c>
      <c r="W35" s="304">
        <f t="shared" ca="1" si="4"/>
        <v>7.6026216328871428</v>
      </c>
      <c r="Y35" s="314" t="str">
        <f t="shared" ca="1" si="22"/>
        <v/>
      </c>
      <c r="Z35" s="315" t="str">
        <f t="shared" ca="1" si="23"/>
        <v/>
      </c>
      <c r="AA35" s="316" t="str">
        <f t="shared" ca="1" si="24"/>
        <v/>
      </c>
      <c r="AC35" s="310" t="e">
        <f t="shared" ca="1" si="25"/>
        <v>#N/A</v>
      </c>
      <c r="AD35" s="323" t="e">
        <f t="shared" ca="1" si="26"/>
        <v>#N/A</v>
      </c>
      <c r="AE35" s="324">
        <f t="shared" ca="1" si="5"/>
        <v>6.3265182582043593</v>
      </c>
      <c r="AG35" s="306">
        <f t="shared" ca="1" si="27"/>
        <v>149.88182672868405</v>
      </c>
      <c r="AH35" s="304">
        <f t="shared" ca="1" si="28"/>
        <v>159.53903334981419</v>
      </c>
    </row>
    <row r="36" spans="1:34" x14ac:dyDescent="0.2">
      <c r="A36" s="347">
        <f t="shared" ca="1" si="6"/>
        <v>0.01</v>
      </c>
      <c r="B36" s="304">
        <f t="shared" ca="1" si="7"/>
        <v>0.32000000000000012</v>
      </c>
      <c r="D36" s="306">
        <f t="shared" ca="1" si="8"/>
        <v>28.14285552975868</v>
      </c>
      <c r="E36" s="307">
        <f t="shared" ca="1" si="9"/>
        <v>147.41504027198758</v>
      </c>
      <c r="F36" s="304">
        <f t="shared" ca="1" si="10"/>
        <v>150.0773614365624</v>
      </c>
      <c r="G36" s="306">
        <f t="shared" ca="1" si="11"/>
        <v>7.9456368686615146</v>
      </c>
      <c r="H36" s="307">
        <f t="shared" ca="1" si="12"/>
        <v>44.291605775979875</v>
      </c>
      <c r="I36" s="304">
        <f t="shared" ca="1" si="13"/>
        <v>44.998660951893299</v>
      </c>
      <c r="J36" s="306">
        <f t="shared" ca="1" si="14"/>
        <v>1.1968440518949486</v>
      </c>
      <c r="K36" s="307">
        <f t="shared" ca="1" si="15"/>
        <v>6.7620635639505586</v>
      </c>
      <c r="L36" s="304">
        <f t="shared" ca="1" si="0"/>
        <v>6.8671638488872571</v>
      </c>
      <c r="M36" s="306">
        <f t="shared" ca="1" si="16"/>
        <v>1.3932906829383644</v>
      </c>
      <c r="N36" s="304">
        <f t="shared" ca="1" si="17"/>
        <v>79.829675767268427</v>
      </c>
      <c r="P36" s="310">
        <f t="shared" ca="1" si="18"/>
        <v>6</v>
      </c>
      <c r="Q36" s="304">
        <f t="shared" ca="1" si="19"/>
        <v>1322.89</v>
      </c>
      <c r="R36" s="306">
        <f t="shared" ca="1" si="20"/>
        <v>0.65011014426724612</v>
      </c>
      <c r="S36" s="307">
        <f t="shared" ca="1" si="21"/>
        <v>8.2347547029943158</v>
      </c>
      <c r="T36" s="304">
        <f t="shared" ca="1" si="1"/>
        <v>80.782943636374242</v>
      </c>
      <c r="U36" s="311">
        <f t="shared" ca="1" si="2"/>
        <v>0</v>
      </c>
      <c r="V36" s="306">
        <f t="shared" ca="1" si="3"/>
        <v>1.2241719271874658</v>
      </c>
      <c r="W36" s="304">
        <f t="shared" ca="1" si="4"/>
        <v>8.1358960837189382</v>
      </c>
      <c r="Y36" s="314" t="str">
        <f t="shared" ca="1" si="22"/>
        <v/>
      </c>
      <c r="Z36" s="315" t="str">
        <f t="shared" ca="1" si="23"/>
        <v/>
      </c>
      <c r="AA36" s="316" t="str">
        <f t="shared" ca="1" si="24"/>
        <v/>
      </c>
      <c r="AC36" s="310" t="e">
        <f t="shared" ca="1" si="25"/>
        <v>#N/A</v>
      </c>
      <c r="AD36" s="323" t="e">
        <f t="shared" ca="1" si="26"/>
        <v>#N/A</v>
      </c>
      <c r="AE36" s="324">
        <f t="shared" ca="1" si="5"/>
        <v>6.7620635639505586</v>
      </c>
      <c r="AG36" s="306">
        <f t="shared" ca="1" si="27"/>
        <v>150.06740730016188</v>
      </c>
      <c r="AH36" s="304">
        <f t="shared" ca="1" si="28"/>
        <v>159.72392934653524</v>
      </c>
    </row>
    <row r="37" spans="1:34" x14ac:dyDescent="0.2">
      <c r="A37" s="347">
        <f t="shared" ca="1" si="6"/>
        <v>0.01</v>
      </c>
      <c r="B37" s="304">
        <f t="shared" ca="1" si="7"/>
        <v>0.33000000000000013</v>
      </c>
      <c r="D37" s="306">
        <f t="shared" ca="1" si="8"/>
        <v>28.23556267516901</v>
      </c>
      <c r="E37" s="307">
        <f t="shared" ca="1" si="9"/>
        <v>147.58435762588877</v>
      </c>
      <c r="F37" s="304">
        <f t="shared" ca="1" si="10"/>
        <v>150.26107152363059</v>
      </c>
      <c r="G37" s="306">
        <f t="shared" ca="1" si="11"/>
        <v>8.2279924954132042</v>
      </c>
      <c r="H37" s="307">
        <f t="shared" ca="1" si="12"/>
        <v>45.767449352238764</v>
      </c>
      <c r="I37" s="304">
        <f t="shared" ca="1" si="13"/>
        <v>46.501175046597652</v>
      </c>
      <c r="J37" s="306">
        <f t="shared" ca="1" si="14"/>
        <v>1.2777121987153222</v>
      </c>
      <c r="K37" s="307">
        <f t="shared" ca="1" si="15"/>
        <v>7.2123588395916514</v>
      </c>
      <c r="L37" s="304">
        <f t="shared" ca="1" si="0"/>
        <v>7.324661664116765</v>
      </c>
      <c r="M37" s="306">
        <f t="shared" ca="1" si="16"/>
        <v>1.3929181761317881</v>
      </c>
      <c r="N37" s="304">
        <f t="shared" ca="1" si="17"/>
        <v>79.808332699411707</v>
      </c>
      <c r="P37" s="310">
        <f t="shared" ca="1" si="18"/>
        <v>6</v>
      </c>
      <c r="Q37" s="304">
        <f t="shared" ca="1" si="19"/>
        <v>1323.89</v>
      </c>
      <c r="R37" s="306">
        <f t="shared" ca="1" si="20"/>
        <v>0.65060157601460777</v>
      </c>
      <c r="S37" s="307">
        <f t="shared" ca="1" si="21"/>
        <v>8.2282486872341689</v>
      </c>
      <c r="T37" s="304">
        <f t="shared" ca="1" si="1"/>
        <v>80.719119621767206</v>
      </c>
      <c r="U37" s="311">
        <f t="shared" ca="1" si="2"/>
        <v>0</v>
      </c>
      <c r="V37" s="306">
        <f t="shared" ca="1" si="3"/>
        <v>1.2241168045382798</v>
      </c>
      <c r="W37" s="304">
        <f t="shared" ca="1" si="4"/>
        <v>8.6878939402930158</v>
      </c>
      <c r="Y37" s="314" t="str">
        <f t="shared" ca="1" si="22"/>
        <v/>
      </c>
      <c r="Z37" s="315" t="str">
        <f t="shared" ca="1" si="23"/>
        <v/>
      </c>
      <c r="AA37" s="316" t="str">
        <f t="shared" ca="1" si="24"/>
        <v/>
      </c>
      <c r="AC37" s="310" t="e">
        <f t="shared" ca="1" si="25"/>
        <v>#N/A</v>
      </c>
      <c r="AD37" s="323" t="e">
        <f t="shared" ca="1" si="26"/>
        <v>#N/A</v>
      </c>
      <c r="AE37" s="324">
        <f t="shared" ca="1" si="5"/>
        <v>7.2123588395916514</v>
      </c>
      <c r="AG37" s="306">
        <f t="shared" ca="1" si="27"/>
        <v>150.25108684221527</v>
      </c>
      <c r="AH37" s="304">
        <f t="shared" ca="1" si="28"/>
        <v>159.9069442271022</v>
      </c>
    </row>
    <row r="38" spans="1:34" x14ac:dyDescent="0.2">
      <c r="A38" s="347">
        <f t="shared" ca="1" si="6"/>
        <v>0.01</v>
      </c>
      <c r="B38" s="304">
        <f t="shared" ca="1" si="7"/>
        <v>0.34000000000000014</v>
      </c>
      <c r="D38" s="306">
        <f t="shared" ca="1" si="8"/>
        <v>28.326239362720056</v>
      </c>
      <c r="E38" s="307">
        <f t="shared" ca="1" si="9"/>
        <v>147.75209380300078</v>
      </c>
      <c r="F38" s="304">
        <f t="shared" ca="1" si="10"/>
        <v>150.44286975328825</v>
      </c>
      <c r="G38" s="306">
        <f t="shared" ca="1" si="11"/>
        <v>8.5112548890404049</v>
      </c>
      <c r="H38" s="307">
        <f t="shared" ca="1" si="12"/>
        <v>47.244970290268775</v>
      </c>
      <c r="I38" s="304">
        <f t="shared" ca="1" si="13"/>
        <v>48.00550674156657</v>
      </c>
      <c r="J38" s="306">
        <f t="shared" ca="1" si="14"/>
        <v>1.3614084356375902</v>
      </c>
      <c r="K38" s="307">
        <f t="shared" ca="1" si="15"/>
        <v>7.6774209378041887</v>
      </c>
      <c r="L38" s="304">
        <f t="shared" ca="1" si="0"/>
        <v>7.7971934171764223</v>
      </c>
      <c r="M38" s="306">
        <f t="shared" ca="1" si="16"/>
        <v>1.3925565932031239</v>
      </c>
      <c r="N38" s="304">
        <f t="shared" ca="1" si="17"/>
        <v>79.787615523655262</v>
      </c>
      <c r="P38" s="310">
        <f t="shared" ca="1" si="18"/>
        <v>6</v>
      </c>
      <c r="Q38" s="304">
        <f t="shared" ca="1" si="19"/>
        <v>1324.89</v>
      </c>
      <c r="R38" s="306">
        <f t="shared" ca="1" si="20"/>
        <v>0.65109300776196943</v>
      </c>
      <c r="S38" s="307">
        <f t="shared" ca="1" si="21"/>
        <v>8.22173775715655</v>
      </c>
      <c r="T38" s="304">
        <f t="shared" ca="1" si="1"/>
        <v>80.655247397705764</v>
      </c>
      <c r="U38" s="311">
        <f t="shared" ca="1" si="2"/>
        <v>0</v>
      </c>
      <c r="V38" s="306">
        <f t="shared" ca="1" si="3"/>
        <v>1.2240598768211877</v>
      </c>
      <c r="W38" s="304">
        <f t="shared" ca="1" si="4"/>
        <v>9.2586693657147574</v>
      </c>
      <c r="Y38" s="314" t="str">
        <f t="shared" ca="1" si="22"/>
        <v/>
      </c>
      <c r="Z38" s="315" t="str">
        <f t="shared" ca="1" si="23"/>
        <v/>
      </c>
      <c r="AA38" s="316" t="str">
        <f t="shared" ca="1" si="24"/>
        <v/>
      </c>
      <c r="AC38" s="310" t="e">
        <f t="shared" ca="1" si="25"/>
        <v>#N/A</v>
      </c>
      <c r="AD38" s="323" t="e">
        <f t="shared" ca="1" si="26"/>
        <v>#N/A</v>
      </c>
      <c r="AE38" s="324">
        <f t="shared" ca="1" si="5"/>
        <v>7.6774209378041887</v>
      </c>
      <c r="AG38" s="306">
        <f t="shared" ca="1" si="27"/>
        <v>150.43285567958208</v>
      </c>
      <c r="AH38" s="304">
        <f t="shared" ca="1" si="28"/>
        <v>160.0880671381216</v>
      </c>
    </row>
    <row r="39" spans="1:34" x14ac:dyDescent="0.2">
      <c r="A39" s="347">
        <f t="shared" ca="1" si="6"/>
        <v>0.01</v>
      </c>
      <c r="B39" s="304">
        <f t="shared" ca="1" si="7"/>
        <v>0.35000000000000014</v>
      </c>
      <c r="D39" s="306">
        <f t="shared" ca="1" si="8"/>
        <v>28.414984556691568</v>
      </c>
      <c r="E39" s="307">
        <f t="shared" ca="1" si="9"/>
        <v>147.91822206370259</v>
      </c>
      <c r="F39" s="304">
        <f t="shared" ca="1" si="10"/>
        <v>150.62274650876557</v>
      </c>
      <c r="G39" s="306">
        <f t="shared" ca="1" si="11"/>
        <v>8.7954047346073203</v>
      </c>
      <c r="H39" s="307">
        <f t="shared" ca="1" si="12"/>
        <v>48.724152510905803</v>
      </c>
      <c r="I39" s="304">
        <f t="shared" ca="1" si="13"/>
        <v>49.511636837733015</v>
      </c>
      <c r="J39" s="306">
        <f t="shared" ca="1" si="14"/>
        <v>1.4479417337558287</v>
      </c>
      <c r="K39" s="307">
        <f t="shared" ca="1" si="15"/>
        <v>8.1572665518100607</v>
      </c>
      <c r="L39" s="304">
        <f t="shared" ca="1" si="0"/>
        <v>8.2847771763416205</v>
      </c>
      <c r="M39" s="306">
        <f t="shared" ca="1" si="16"/>
        <v>1.3922053044300016</v>
      </c>
      <c r="N39" s="304">
        <f t="shared" ca="1" si="17"/>
        <v>79.767488159565019</v>
      </c>
      <c r="P39" s="310">
        <f t="shared" ca="1" si="18"/>
        <v>6</v>
      </c>
      <c r="Q39" s="304">
        <f t="shared" ca="1" si="19"/>
        <v>1325.89</v>
      </c>
      <c r="R39" s="306">
        <f t="shared" ca="1" si="20"/>
        <v>0.65158443950933109</v>
      </c>
      <c r="S39" s="307">
        <f t="shared" ca="1" si="21"/>
        <v>8.2152219127614572</v>
      </c>
      <c r="T39" s="304">
        <f t="shared" ca="1" si="1"/>
        <v>80.591326964189903</v>
      </c>
      <c r="U39" s="311">
        <f t="shared" ca="1" si="2"/>
        <v>0</v>
      </c>
      <c r="V39" s="306">
        <f t="shared" ca="1" si="3"/>
        <v>1.2240011422448511</v>
      </c>
      <c r="W39" s="304">
        <f t="shared" ca="1" si="4"/>
        <v>9.8482754603670575</v>
      </c>
      <c r="Y39" s="314" t="str">
        <f t="shared" ca="1" si="22"/>
        <v/>
      </c>
      <c r="Z39" s="315" t="str">
        <f t="shared" ca="1" si="23"/>
        <v/>
      </c>
      <c r="AA39" s="316" t="str">
        <f t="shared" ca="1" si="24"/>
        <v/>
      </c>
      <c r="AC39" s="310" t="e">
        <f t="shared" ca="1" si="25"/>
        <v>#N/A</v>
      </c>
      <c r="AD39" s="323" t="e">
        <f t="shared" ca="1" si="26"/>
        <v>#N/A</v>
      </c>
      <c r="AE39" s="324">
        <f t="shared" ca="1" si="5"/>
        <v>8.1572665518100607</v>
      </c>
      <c r="AG39" s="306">
        <f t="shared" ca="1" si="27"/>
        <v>150.61270412043589</v>
      </c>
      <c r="AH39" s="304">
        <f t="shared" ca="1" si="28"/>
        <v>160.26728731320591</v>
      </c>
    </row>
    <row r="40" spans="1:34" x14ac:dyDescent="0.2">
      <c r="A40" s="347">
        <f t="shared" ca="1" si="6"/>
        <v>0.01</v>
      </c>
      <c r="B40" s="304">
        <f t="shared" ca="1" si="7"/>
        <v>0.36000000000000015</v>
      </c>
      <c r="D40" s="306">
        <f t="shared" ca="1" si="8"/>
        <v>28.501888293236121</v>
      </c>
      <c r="E40" s="307">
        <f t="shared" ca="1" si="9"/>
        <v>148.08271715765329</v>
      </c>
      <c r="F40" s="304">
        <f t="shared" ca="1" si="10"/>
        <v>150.80069216377507</v>
      </c>
      <c r="G40" s="306">
        <f t="shared" ca="1" si="11"/>
        <v>9.0804236175396813</v>
      </c>
      <c r="H40" s="307">
        <f t="shared" ca="1" si="12"/>
        <v>50.204979682482339</v>
      </c>
      <c r="I40" s="304">
        <f t="shared" ca="1" si="13"/>
        <v>51.019546038674598</v>
      </c>
      <c r="J40" s="306">
        <f t="shared" ca="1" si="14"/>
        <v>1.5373208755165637</v>
      </c>
      <c r="K40" s="307">
        <f t="shared" ca="1" si="15"/>
        <v>8.6519122127770007</v>
      </c>
      <c r="L40" s="304">
        <f t="shared" ca="1" si="0"/>
        <v>8.7874308197503801</v>
      </c>
      <c r="M40" s="306">
        <f t="shared" ca="1" si="16"/>
        <v>1.3918637334461883</v>
      </c>
      <c r="N40" s="304">
        <f t="shared" ca="1" si="17"/>
        <v>79.747917583788393</v>
      </c>
      <c r="P40" s="310">
        <f t="shared" ca="1" si="18"/>
        <v>6</v>
      </c>
      <c r="Q40" s="304">
        <f t="shared" ca="1" si="19"/>
        <v>1326.89</v>
      </c>
      <c r="R40" s="306">
        <f t="shared" ca="1" si="20"/>
        <v>0.65207587125669264</v>
      </c>
      <c r="S40" s="307">
        <f t="shared" ca="1" si="21"/>
        <v>8.2087011540488906</v>
      </c>
      <c r="T40" s="304">
        <f t="shared" ca="1" si="1"/>
        <v>80.527358321219623</v>
      </c>
      <c r="U40" s="311">
        <f t="shared" ca="1" si="2"/>
        <v>0</v>
      </c>
      <c r="V40" s="306">
        <f t="shared" ca="1" si="3"/>
        <v>1.2239405990461376</v>
      </c>
      <c r="W40" s="304">
        <f t="shared" ca="1" si="4"/>
        <v>10.456764252381911</v>
      </c>
      <c r="Y40" s="314" t="str">
        <f t="shared" ca="1" si="22"/>
        <v/>
      </c>
      <c r="Z40" s="315" t="str">
        <f t="shared" ca="1" si="23"/>
        <v/>
      </c>
      <c r="AA40" s="316" t="str">
        <f t="shared" ca="1" si="24"/>
        <v/>
      </c>
      <c r="AC40" s="310" t="e">
        <f t="shared" ca="1" si="25"/>
        <v>#N/A</v>
      </c>
      <c r="AD40" s="323" t="e">
        <f t="shared" ca="1" si="26"/>
        <v>#N/A</v>
      </c>
      <c r="AE40" s="324">
        <f t="shared" ca="1" si="5"/>
        <v>8.6519122127770007</v>
      </c>
      <c r="AG40" s="306">
        <f t="shared" ca="1" si="27"/>
        <v>150.79062246975886</v>
      </c>
      <c r="AH40" s="304">
        <f t="shared" ca="1" si="28"/>
        <v>160.44459407442437</v>
      </c>
    </row>
    <row r="41" spans="1:34" x14ac:dyDescent="0.2">
      <c r="A41" s="347">
        <f t="shared" ca="1" si="6"/>
        <v>0.01</v>
      </c>
      <c r="B41" s="304">
        <f t="shared" ca="1" si="7"/>
        <v>0.37000000000000016</v>
      </c>
      <c r="D41" s="306">
        <f t="shared" ca="1" si="8"/>
        <v>28.587032702805484</v>
      </c>
      <c r="E41" s="307">
        <f t="shared" ca="1" si="9"/>
        <v>148.24555516755439</v>
      </c>
      <c r="F41" s="304">
        <f t="shared" ca="1" si="10"/>
        <v>150.97669709490827</v>
      </c>
      <c r="G41" s="306">
        <f t="shared" ca="1" si="11"/>
        <v>9.3662939445677367</v>
      </c>
      <c r="H41" s="307">
        <f t="shared" ca="1" si="12"/>
        <v>51.687435234157881</v>
      </c>
      <c r="I41" s="304">
        <f t="shared" ca="1" si="13"/>
        <v>52.529214950742521</v>
      </c>
      <c r="J41" s="306">
        <f t="shared" ca="1" si="14"/>
        <v>1.6295544633271009</v>
      </c>
      <c r="K41" s="307">
        <f t="shared" ca="1" si="15"/>
        <v>9.1613742873602018</v>
      </c>
      <c r="L41" s="304">
        <f t="shared" ca="1" si="0"/>
        <v>9.3051720339848583</v>
      </c>
      <c r="M41" s="306">
        <f t="shared" ca="1" si="16"/>
        <v>1.3915313513483087</v>
      </c>
      <c r="N41" s="304">
        <f t="shared" ca="1" si="17"/>
        <v>79.728873492394186</v>
      </c>
      <c r="P41" s="310">
        <f t="shared" ca="1" si="18"/>
        <v>6</v>
      </c>
      <c r="Q41" s="304">
        <f t="shared" ca="1" si="19"/>
        <v>1327.89</v>
      </c>
      <c r="R41" s="306">
        <f t="shared" ca="1" si="20"/>
        <v>0.6525673030040543</v>
      </c>
      <c r="S41" s="307">
        <f t="shared" ca="1" si="21"/>
        <v>8.2021754810188501</v>
      </c>
      <c r="T41" s="304">
        <f t="shared" ca="1" si="1"/>
        <v>80.463341468794923</v>
      </c>
      <c r="U41" s="311">
        <f t="shared" ca="1" si="2"/>
        <v>0</v>
      </c>
      <c r="V41" s="306">
        <f t="shared" ca="1" si="3"/>
        <v>1.2238782454904444</v>
      </c>
      <c r="W41" s="304">
        <f t="shared" ca="1" si="4"/>
        <v>11.08418668819629</v>
      </c>
      <c r="Y41" s="314" t="str">
        <f t="shared" ca="1" si="22"/>
        <v/>
      </c>
      <c r="Z41" s="315" t="str">
        <f t="shared" ca="1" si="23"/>
        <v/>
      </c>
      <c r="AA41" s="316" t="str">
        <f t="shared" ca="1" si="24"/>
        <v/>
      </c>
      <c r="AC41" s="310" t="e">
        <f t="shared" ca="1" si="25"/>
        <v>#N/A</v>
      </c>
      <c r="AD41" s="323" t="e">
        <f t="shared" ca="1" si="26"/>
        <v>#N/A</v>
      </c>
      <c r="AE41" s="324">
        <f t="shared" ca="1" si="5"/>
        <v>9.1613742873602018</v>
      </c>
      <c r="AG41" s="306">
        <f t="shared" ca="1" si="27"/>
        <v>150.96660104103523</v>
      </c>
      <c r="AH41" s="304">
        <f t="shared" ca="1" si="28"/>
        <v>160.61997683375222</v>
      </c>
    </row>
    <row r="42" spans="1:34" x14ac:dyDescent="0.2">
      <c r="A42" s="347">
        <f t="shared" ca="1" si="6"/>
        <v>0.01</v>
      </c>
      <c r="B42" s="304">
        <f t="shared" ca="1" si="7"/>
        <v>0.38000000000000017</v>
      </c>
      <c r="D42" s="306">
        <f t="shared" ca="1" si="8"/>
        <v>28.670492890505187</v>
      </c>
      <c r="E42" s="307">
        <f t="shared" ca="1" si="9"/>
        <v>148.40671337454077</v>
      </c>
      <c r="F42" s="304">
        <f t="shared" ca="1" si="10"/>
        <v>151.15075169253248</v>
      </c>
      <c r="G42" s="306">
        <f t="shared" ca="1" si="11"/>
        <v>9.6529988734727894</v>
      </c>
      <c r="H42" s="307">
        <f t="shared" ca="1" si="12"/>
        <v>53.171502367903287</v>
      </c>
      <c r="I42" s="304">
        <f t="shared" ca="1" si="13"/>
        <v>54.040624083287675</v>
      </c>
      <c r="J42" s="306">
        <f t="shared" ca="1" si="14"/>
        <v>1.7246509274173034</v>
      </c>
      <c r="K42" s="307">
        <f t="shared" ca="1" si="15"/>
        <v>9.6856689753705076</v>
      </c>
      <c r="L42" s="304">
        <f t="shared" ca="1" si="0"/>
        <v>9.8380183127445004</v>
      </c>
      <c r="M42" s="306">
        <f t="shared" ca="1" si="16"/>
        <v>1.3912076715967536</v>
      </c>
      <c r="N42" s="304">
        <f t="shared" ca="1" si="17"/>
        <v>79.710328008716232</v>
      </c>
      <c r="P42" s="310">
        <f t="shared" ca="1" si="18"/>
        <v>6</v>
      </c>
      <c r="Q42" s="304">
        <f t="shared" ca="1" si="19"/>
        <v>1328.89</v>
      </c>
      <c r="R42" s="306">
        <f t="shared" ca="1" si="20"/>
        <v>0.65305873475141596</v>
      </c>
      <c r="S42" s="307">
        <f t="shared" ca="1" si="21"/>
        <v>8.1956448936713358</v>
      </c>
      <c r="T42" s="304">
        <f t="shared" ca="1" si="1"/>
        <v>80.399276406915803</v>
      </c>
      <c r="U42" s="311">
        <f t="shared" ca="1" si="2"/>
        <v>0</v>
      </c>
      <c r="V42" s="306">
        <f t="shared" ca="1" si="3"/>
        <v>1.223814079872007</v>
      </c>
      <c r="W42" s="304">
        <f t="shared" ca="1" si="4"/>
        <v>11.730592623197031</v>
      </c>
      <c r="Y42" s="314" t="str">
        <f t="shared" ca="1" si="22"/>
        <v/>
      </c>
      <c r="Z42" s="315" t="str">
        <f t="shared" ca="1" si="23"/>
        <v/>
      </c>
      <c r="AA42" s="316" t="str">
        <f t="shared" ca="1" si="24"/>
        <v/>
      </c>
      <c r="AC42" s="310" t="e">
        <f t="shared" ca="1" si="25"/>
        <v>#N/A</v>
      </c>
      <c r="AD42" s="323" t="e">
        <f t="shared" ca="1" si="26"/>
        <v>#N/A</v>
      </c>
      <c r="AE42" s="324">
        <f t="shared" ca="1" si="5"/>
        <v>9.6856689753705076</v>
      </c>
      <c r="AG42" s="306">
        <f t="shared" ca="1" si="27"/>
        <v>151.14063016654114</v>
      </c>
      <c r="AH42" s="304">
        <f t="shared" ca="1" si="28"/>
        <v>160.79342509451715</v>
      </c>
    </row>
    <row r="43" spans="1:34" x14ac:dyDescent="0.2">
      <c r="A43" s="347">
        <f t="shared" ca="1" si="6"/>
        <v>0.01</v>
      </c>
      <c r="B43" s="304">
        <f t="shared" ca="1" si="7"/>
        <v>0.39000000000000018</v>
      </c>
      <c r="D43" s="306">
        <f t="shared" ca="1" si="8"/>
        <v>28.752337697455193</v>
      </c>
      <c r="E43" s="307">
        <f t="shared" ca="1" si="9"/>
        <v>148.56617014172375</v>
      </c>
      <c r="F43" s="304">
        <f t="shared" ca="1" si="10"/>
        <v>151.32284637042787</v>
      </c>
      <c r="G43" s="306">
        <f t="shared" ca="1" si="11"/>
        <v>9.9405222504473407</v>
      </c>
      <c r="H43" s="307">
        <f t="shared" ca="1" si="12"/>
        <v>54.657164069320523</v>
      </c>
      <c r="I43" s="304">
        <f t="shared" ca="1" si="13"/>
        <v>55.553753848972811</v>
      </c>
      <c r="J43" s="306">
        <f t="shared" ca="1" si="14"/>
        <v>1.822618533036904</v>
      </c>
      <c r="K43" s="307">
        <f t="shared" ca="1" si="15"/>
        <v>10.224812307556627</v>
      </c>
      <c r="L43" s="304">
        <f t="shared" ca="1" si="0"/>
        <v>10.385986955592188</v>
      </c>
      <c r="M43" s="306">
        <f t="shared" ca="1" si="16"/>
        <v>1.3908922455854755</v>
      </c>
      <c r="N43" s="304">
        <f t="shared" ca="1" si="17"/>
        <v>79.692255429521353</v>
      </c>
      <c r="P43" s="310">
        <f t="shared" ca="1" si="18"/>
        <v>6</v>
      </c>
      <c r="Q43" s="304">
        <f t="shared" ca="1" si="19"/>
        <v>1329.89</v>
      </c>
      <c r="R43" s="306">
        <f t="shared" ca="1" si="20"/>
        <v>0.65355016649877762</v>
      </c>
      <c r="S43" s="307">
        <f t="shared" ca="1" si="21"/>
        <v>8.1891093920063476</v>
      </c>
      <c r="T43" s="304">
        <f t="shared" ca="1" si="1"/>
        <v>80.335163135582278</v>
      </c>
      <c r="U43" s="311">
        <f t="shared" ca="1" si="2"/>
        <v>0</v>
      </c>
      <c r="V43" s="306">
        <f t="shared" ca="1" si="3"/>
        <v>1.2237481005141881</v>
      </c>
      <c r="W43" s="304">
        <f t="shared" ca="1" si="4"/>
        <v>12.396030812458992</v>
      </c>
      <c r="Y43" s="314" t="str">
        <f t="shared" ca="1" si="22"/>
        <v/>
      </c>
      <c r="Z43" s="315" t="str">
        <f t="shared" ca="1" si="23"/>
        <v/>
      </c>
      <c r="AA43" s="316" t="str">
        <f t="shared" ca="1" si="24"/>
        <v/>
      </c>
      <c r="AC43" s="310" t="e">
        <f t="shared" ca="1" si="25"/>
        <v>#N/A</v>
      </c>
      <c r="AD43" s="323" t="e">
        <f t="shared" ca="1" si="26"/>
        <v>#N/A</v>
      </c>
      <c r="AE43" s="324">
        <f t="shared" ca="1" si="5"/>
        <v>10.224812307556627</v>
      </c>
      <c r="AG43" s="306">
        <f t="shared" ca="1" si="27"/>
        <v>151.31270020645485</v>
      </c>
      <c r="AH43" s="304">
        <f t="shared" ca="1" si="28"/>
        <v>160.9649284528426</v>
      </c>
    </row>
    <row r="44" spans="1:34" x14ac:dyDescent="0.2">
      <c r="A44" s="347">
        <f t="shared" ca="1" si="6"/>
        <v>0.01</v>
      </c>
      <c r="B44" s="304">
        <f t="shared" ca="1" si="7"/>
        <v>0.40000000000000019</v>
      </c>
      <c r="D44" s="306">
        <f t="shared" ca="1" si="8"/>
        <v>28.832630361972072</v>
      </c>
      <c r="E44" s="307">
        <f t="shared" ca="1" si="9"/>
        <v>148.72390481304558</v>
      </c>
      <c r="F44" s="304">
        <f t="shared" ca="1" si="10"/>
        <v>151.49297157436035</v>
      </c>
      <c r="G44" s="306">
        <f t="shared" ca="1" si="11"/>
        <v>10.228848554067062</v>
      </c>
      <c r="H44" s="307">
        <f t="shared" ca="1" si="12"/>
        <v>56.144403117450977</v>
      </c>
      <c r="I44" s="304">
        <f t="shared" ca="1" si="13"/>
        <v>57.068584564161732</v>
      </c>
      <c r="J44" s="306">
        <f t="shared" ca="1" si="14"/>
        <v>1.923465387059476</v>
      </c>
      <c r="K44" s="307">
        <f t="shared" ca="1" si="15"/>
        <v>10.778820143490485</v>
      </c>
      <c r="L44" s="304">
        <f t="shared" ca="1" si="0"/>
        <v>10.949095066759266</v>
      </c>
      <c r="M44" s="306">
        <f t="shared" ca="1" si="16"/>
        <v>1.3905846587778701</v>
      </c>
      <c r="N44" s="304">
        <f t="shared" ca="1" si="17"/>
        <v>79.674632003611663</v>
      </c>
      <c r="P44" s="310">
        <f t="shared" ca="1" si="18"/>
        <v>6</v>
      </c>
      <c r="Q44" s="304">
        <f t="shared" ca="1" si="19"/>
        <v>1330.89</v>
      </c>
      <c r="R44" s="306">
        <f t="shared" ca="1" si="20"/>
        <v>0.65404159824613928</v>
      </c>
      <c r="S44" s="307">
        <f t="shared" ca="1" si="21"/>
        <v>8.1825689760238856</v>
      </c>
      <c r="T44" s="304">
        <f t="shared" ca="1" si="1"/>
        <v>80.271001654794318</v>
      </c>
      <c r="U44" s="311">
        <f t="shared" ca="1" si="2"/>
        <v>0</v>
      </c>
      <c r="V44" s="306">
        <f t="shared" ca="1" si="3"/>
        <v>1.2236803057697603</v>
      </c>
      <c r="W44" s="304">
        <f t="shared" ca="1" si="4"/>
        <v>13.0805489015807</v>
      </c>
      <c r="Y44" s="314" t="str">
        <f t="shared" ca="1" si="22"/>
        <v/>
      </c>
      <c r="Z44" s="315" t="str">
        <f t="shared" ca="1" si="23"/>
        <v/>
      </c>
      <c r="AA44" s="316" t="str">
        <f t="shared" ca="1" si="24"/>
        <v/>
      </c>
      <c r="AC44" s="310" t="e">
        <f t="shared" ca="1" si="25"/>
        <v>#N/A</v>
      </c>
      <c r="AD44" s="323" t="e">
        <f t="shared" ca="1" si="26"/>
        <v>#N/A</v>
      </c>
      <c r="AE44" s="324">
        <f t="shared" ca="1" si="5"/>
        <v>10.778820143490485</v>
      </c>
      <c r="AG44" s="306">
        <f t="shared" ca="1" si="27"/>
        <v>151.48280155697074</v>
      </c>
      <c r="AH44" s="304">
        <f t="shared" ca="1" si="28"/>
        <v>161.13447659908761</v>
      </c>
    </row>
    <row r="45" spans="1:34" x14ac:dyDescent="0.2">
      <c r="A45" s="347">
        <f t="shared" ca="1" si="6"/>
        <v>0.01</v>
      </c>
      <c r="B45" s="304">
        <f t="shared" ca="1" si="7"/>
        <v>0.4100000000000002</v>
      </c>
      <c r="D45" s="306">
        <f t="shared" ca="1" si="8"/>
        <v>28.892969549951534</v>
      </c>
      <c r="E45" s="307">
        <f t="shared" ca="1" si="9"/>
        <v>148.77857632883092</v>
      </c>
      <c r="F45" s="304">
        <f t="shared" ca="1" si="10"/>
        <v>151.55813559109322</v>
      </c>
      <c r="G45" s="306">
        <f t="shared" ca="1" si="11"/>
        <v>10.517778249566577</v>
      </c>
      <c r="H45" s="307">
        <f t="shared" ca="1" si="12"/>
        <v>57.632188880739285</v>
      </c>
      <c r="I45" s="304">
        <f t="shared" ca="1" si="13"/>
        <v>58.584066558171465</v>
      </c>
      <c r="J45" s="306">
        <f t="shared" ca="1" si="14"/>
        <v>2.0271985210776444</v>
      </c>
      <c r="K45" s="307">
        <f t="shared" ca="1" si="15"/>
        <v>11.347703103481436</v>
      </c>
      <c r="L45" s="304">
        <f t="shared" ca="1" si="0"/>
        <v>11.527354404572698</v>
      </c>
      <c r="M45" s="306">
        <f t="shared" ca="1" si="16"/>
        <v>1.3902845220477114</v>
      </c>
      <c r="N45" s="304">
        <f t="shared" ca="1" si="17"/>
        <v>79.657435435696712</v>
      </c>
      <c r="P45" s="310">
        <f t="shared" ca="1" si="18"/>
        <v>7</v>
      </c>
      <c r="Q45" s="304">
        <f t="shared" ca="1" si="19"/>
        <v>1331.0486250000001</v>
      </c>
      <c r="R45" s="306">
        <f t="shared" ca="1" si="20"/>
        <v>0.65411955160706448</v>
      </c>
      <c r="S45" s="307">
        <f t="shared" ca="1" si="21"/>
        <v>8.1760277805078143</v>
      </c>
      <c r="T45" s="304">
        <f t="shared" ca="1" si="1"/>
        <v>80.206832526781668</v>
      </c>
      <c r="U45" s="311">
        <f t="shared" ca="1" si="2"/>
        <v>0</v>
      </c>
      <c r="V45" s="306">
        <f t="shared" ca="1" si="3"/>
        <v>1.2236106946410601</v>
      </c>
      <c r="W45" s="304">
        <f t="shared" ca="1" si="4"/>
        <v>13.783708792994336</v>
      </c>
      <c r="Y45" s="314" t="str">
        <f t="shared" ca="1" si="22"/>
        <v/>
      </c>
      <c r="Z45" s="315" t="str">
        <f t="shared" ca="1" si="23"/>
        <v/>
      </c>
      <c r="AA45" s="316" t="str">
        <f t="shared" ca="1" si="24"/>
        <v/>
      </c>
      <c r="AC45" s="310" t="e">
        <f t="shared" ca="1" si="25"/>
        <v>#N/A</v>
      </c>
      <c r="AD45" s="323" t="e">
        <f t="shared" ca="1" si="26"/>
        <v>#N/A</v>
      </c>
      <c r="AE45" s="324">
        <f t="shared" ca="1" si="5"/>
        <v>11.347703103481436</v>
      </c>
      <c r="AG45" s="306">
        <f t="shared" ca="1" si="27"/>
        <v>151.54793553231514</v>
      </c>
      <c r="AH45" s="304">
        <f t="shared" ca="1" si="28"/>
        <v>161.19907019403013</v>
      </c>
    </row>
    <row r="46" spans="1:34" x14ac:dyDescent="0.2">
      <c r="A46" s="347">
        <f t="shared" ca="1" si="6"/>
        <v>0.01</v>
      </c>
      <c r="B46" s="304">
        <f t="shared" ca="1" si="7"/>
        <v>0.42000000000000021</v>
      </c>
      <c r="D46" s="306">
        <f t="shared" ca="1" si="8"/>
        <v>28.933270103129498</v>
      </c>
      <c r="E46" s="307">
        <f t="shared" ca="1" si="9"/>
        <v>148.72991669673402</v>
      </c>
      <c r="F46" s="304">
        <f t="shared" ca="1" si="10"/>
        <v>151.5180591199547</v>
      </c>
      <c r="G46" s="306">
        <f t="shared" ca="1" si="11"/>
        <v>10.807110950597872</v>
      </c>
      <c r="H46" s="307">
        <f t="shared" ca="1" si="12"/>
        <v>59.119488047706625</v>
      </c>
      <c r="I46" s="304">
        <f t="shared" ca="1" si="13"/>
        <v>60.099147366010598</v>
      </c>
      <c r="J46" s="306">
        <f t="shared" ca="1" si="14"/>
        <v>2.1338229670784665</v>
      </c>
      <c r="K46" s="307">
        <f t="shared" ca="1" si="15"/>
        <v>11.931461488123665</v>
      </c>
      <c r="L46" s="304">
        <f t="shared" ca="1" si="0"/>
        <v>12.120766217422466</v>
      </c>
      <c r="M46" s="306">
        <f t="shared" ca="1" si="16"/>
        <v>1.389991469704313</v>
      </c>
      <c r="N46" s="304">
        <f t="shared" ca="1" si="17"/>
        <v>79.640644773243565</v>
      </c>
      <c r="P46" s="310">
        <f t="shared" ca="1" si="18"/>
        <v>7</v>
      </c>
      <c r="Q46" s="304">
        <f t="shared" ca="1" si="19"/>
        <v>1330.3658750000002</v>
      </c>
      <c r="R46" s="306">
        <f t="shared" ca="1" si="20"/>
        <v>0.65378402658155343</v>
      </c>
      <c r="S46" s="307">
        <f t="shared" ca="1" si="21"/>
        <v>8.1694899402419985</v>
      </c>
      <c r="T46" s="304">
        <f t="shared" ca="1" si="1"/>
        <v>80.14269631377401</v>
      </c>
      <c r="U46" s="311">
        <f t="shared" ca="1" si="2"/>
        <v>0</v>
      </c>
      <c r="V46" s="306">
        <f t="shared" ca="1" si="3"/>
        <v>1.2235392674014423</v>
      </c>
      <c r="W46" s="304">
        <f t="shared" ca="1" si="4"/>
        <v>14.505019906830853</v>
      </c>
      <c r="Y46" s="314" t="str">
        <f t="shared" ca="1" si="22"/>
        <v/>
      </c>
      <c r="Z46" s="315" t="str">
        <f t="shared" ca="1" si="23"/>
        <v/>
      </c>
      <c r="AA46" s="316" t="str">
        <f t="shared" ca="1" si="24"/>
        <v/>
      </c>
      <c r="AC46" s="310" t="e">
        <f t="shared" ca="1" si="25"/>
        <v>#N/A</v>
      </c>
      <c r="AD46" s="323" t="e">
        <f t="shared" ca="1" si="26"/>
        <v>#N/A</v>
      </c>
      <c r="AE46" s="324">
        <f t="shared" ca="1" si="5"/>
        <v>11.931461488123665</v>
      </c>
      <c r="AG46" s="306">
        <f t="shared" ca="1" si="27"/>
        <v>151.50782271914994</v>
      </c>
      <c r="AH46" s="304">
        <f t="shared" ca="1" si="28"/>
        <v>161.15842920886269</v>
      </c>
    </row>
    <row r="47" spans="1:34" x14ac:dyDescent="0.2">
      <c r="A47" s="347">
        <f t="shared" ca="1" si="6"/>
        <v>0.01</v>
      </c>
      <c r="B47" s="304">
        <f t="shared" ca="1" si="7"/>
        <v>0.43000000000000022</v>
      </c>
      <c r="D47" s="306">
        <f t="shared" ca="1" si="8"/>
        <v>28.9719977691392</v>
      </c>
      <c r="E47" s="307">
        <f t="shared" ca="1" si="9"/>
        <v>148.6791358717893</v>
      </c>
      <c r="F47" s="304">
        <f t="shared" ca="1" si="10"/>
        <v>151.47561552380961</v>
      </c>
      <c r="G47" s="306">
        <f t="shared" ca="1" si="11"/>
        <v>11.096830928289265</v>
      </c>
      <c r="H47" s="307">
        <f t="shared" ca="1" si="12"/>
        <v>60.60627940642452</v>
      </c>
      <c r="I47" s="304">
        <f t="shared" ca="1" si="13"/>
        <v>61.613803324747238</v>
      </c>
      <c r="J47" s="306">
        <f t="shared" ca="1" si="14"/>
        <v>2.2433426764729023</v>
      </c>
      <c r="K47" s="307">
        <f t="shared" ca="1" si="15"/>
        <v>12.530090325394321</v>
      </c>
      <c r="L47" s="304">
        <f t="shared" ca="1" si="0"/>
        <v>12.72932637363914</v>
      </c>
      <c r="M47" s="306">
        <f t="shared" ca="1" si="16"/>
        <v>1.3897051624877368</v>
      </c>
      <c r="N47" s="304">
        <f t="shared" ca="1" si="17"/>
        <v>79.624240578089612</v>
      </c>
      <c r="P47" s="310">
        <f t="shared" ca="1" si="18"/>
        <v>7</v>
      </c>
      <c r="Q47" s="304">
        <f t="shared" ca="1" si="19"/>
        <v>1329.683125</v>
      </c>
      <c r="R47" s="306">
        <f t="shared" ca="1" si="20"/>
        <v>0.65344850155604217</v>
      </c>
      <c r="S47" s="307">
        <f t="shared" ca="1" si="21"/>
        <v>8.1629554552264381</v>
      </c>
      <c r="T47" s="304">
        <f t="shared" ca="1" si="1"/>
        <v>80.078593015771361</v>
      </c>
      <c r="U47" s="311">
        <f t="shared" ca="1" si="2"/>
        <v>0</v>
      </c>
      <c r="V47" s="306">
        <f t="shared" ca="1" si="3"/>
        <v>1.2234660249774185</v>
      </c>
      <c r="W47" s="304">
        <f t="shared" ca="1" si="4"/>
        <v>15.244449488124392</v>
      </c>
      <c r="Y47" s="314" t="str">
        <f t="shared" ca="1" si="22"/>
        <v/>
      </c>
      <c r="Z47" s="315" t="str">
        <f t="shared" ca="1" si="23"/>
        <v/>
      </c>
      <c r="AA47" s="316" t="str">
        <f t="shared" ca="1" si="24"/>
        <v/>
      </c>
      <c r="AC47" s="310" t="e">
        <f t="shared" ca="1" si="25"/>
        <v>#N/A</v>
      </c>
      <c r="AD47" s="323" t="e">
        <f t="shared" ca="1" si="26"/>
        <v>#N/A</v>
      </c>
      <c r="AE47" s="324">
        <f t="shared" ca="1" si="5"/>
        <v>12.530090325394321</v>
      </c>
      <c r="AG47" s="306">
        <f t="shared" ca="1" si="27"/>
        <v>151.46534334387869</v>
      </c>
      <c r="AH47" s="304">
        <f t="shared" ca="1" si="28"/>
        <v>161.11543328968054</v>
      </c>
    </row>
    <row r="48" spans="1:34" x14ac:dyDescent="0.2">
      <c r="A48" s="347">
        <f t="shared" ca="1" si="6"/>
        <v>0.01</v>
      </c>
      <c r="B48" s="304">
        <f t="shared" ca="1" si="7"/>
        <v>0.44000000000000022</v>
      </c>
      <c r="D48" s="306">
        <f t="shared" ca="1" si="8"/>
        <v>29.009205053082987</v>
      </c>
      <c r="E48" s="307">
        <f t="shared" ca="1" si="9"/>
        <v>148.62622365403118</v>
      </c>
      <c r="F48" s="304">
        <f t="shared" ca="1" si="10"/>
        <v>151.43080378664675</v>
      </c>
      <c r="G48" s="306">
        <f t="shared" ca="1" si="11"/>
        <v>11.386922978820095</v>
      </c>
      <c r="H48" s="307">
        <f t="shared" ca="1" si="12"/>
        <v>62.092541642964832</v>
      </c>
      <c r="I48" s="304">
        <f t="shared" ca="1" si="13"/>
        <v>63.128010760746314</v>
      </c>
      <c r="J48" s="306">
        <f t="shared" ca="1" si="14"/>
        <v>2.3557614460084491</v>
      </c>
      <c r="K48" s="307">
        <f t="shared" ca="1" si="15"/>
        <v>13.143584430641267</v>
      </c>
      <c r="L48" s="304">
        <f t="shared" ca="1" si="0"/>
        <v>13.353030505315838</v>
      </c>
      <c r="M48" s="306">
        <f t="shared" ca="1" si="16"/>
        <v>1.3894252850689834</v>
      </c>
      <c r="N48" s="304">
        <f t="shared" ca="1" si="17"/>
        <v>79.608204783214035</v>
      </c>
      <c r="P48" s="310">
        <f t="shared" ca="1" si="18"/>
        <v>7</v>
      </c>
      <c r="Q48" s="304">
        <f t="shared" ca="1" si="19"/>
        <v>1329.0003750000001</v>
      </c>
      <c r="R48" s="306">
        <f t="shared" ca="1" si="20"/>
        <v>0.65311297653053102</v>
      </c>
      <c r="S48" s="307">
        <f t="shared" ca="1" si="21"/>
        <v>8.1564243254611331</v>
      </c>
      <c r="T48" s="304">
        <f t="shared" ca="1" si="1"/>
        <v>80.014522632773719</v>
      </c>
      <c r="U48" s="311">
        <f t="shared" ca="1" si="2"/>
        <v>0</v>
      </c>
      <c r="V48" s="306">
        <f t="shared" ca="1" si="3"/>
        <v>1.2233909683294273</v>
      </c>
      <c r="W48" s="304">
        <f t="shared" ca="1" si="4"/>
        <v>16.001963475991527</v>
      </c>
      <c r="Y48" s="314" t="str">
        <f t="shared" ca="1" si="22"/>
        <v/>
      </c>
      <c r="Z48" s="315" t="str">
        <f t="shared" ca="1" si="23"/>
        <v/>
      </c>
      <c r="AA48" s="316" t="str">
        <f t="shared" ca="1" si="24"/>
        <v/>
      </c>
      <c r="AC48" s="310" t="e">
        <f t="shared" ca="1" si="25"/>
        <v>#N/A</v>
      </c>
      <c r="AD48" s="323" t="e">
        <f t="shared" ca="1" si="26"/>
        <v>#N/A</v>
      </c>
      <c r="AE48" s="324">
        <f t="shared" ca="1" si="5"/>
        <v>13.143584430641267</v>
      </c>
      <c r="AG48" s="306">
        <f t="shared" ca="1" si="27"/>
        <v>151.42049635473245</v>
      </c>
      <c r="AH48" s="304">
        <f t="shared" ca="1" si="28"/>
        <v>161.07008084545686</v>
      </c>
    </row>
    <row r="49" spans="1:34" x14ac:dyDescent="0.2">
      <c r="A49" s="347">
        <f t="shared" ca="1" si="6"/>
        <v>0.01</v>
      </c>
      <c r="B49" s="304">
        <f t="shared" ca="1" si="7"/>
        <v>0.45000000000000023</v>
      </c>
      <c r="D49" s="306">
        <f t="shared" ca="1" si="8"/>
        <v>29.044940717142687</v>
      </c>
      <c r="E49" s="307">
        <f t="shared" ca="1" si="9"/>
        <v>148.57117060694324</v>
      </c>
      <c r="F49" s="304">
        <f t="shared" ca="1" si="10"/>
        <v>151.38362301378496</v>
      </c>
      <c r="G49" s="306">
        <f t="shared" ca="1" si="11"/>
        <v>11.677372385991521</v>
      </c>
      <c r="H49" s="307">
        <f t="shared" ca="1" si="12"/>
        <v>63.578253349034263</v>
      </c>
      <c r="I49" s="304">
        <f t="shared" ca="1" si="13"/>
        <v>64.641745990923738</v>
      </c>
      <c r="J49" s="306">
        <f t="shared" ca="1" si="14"/>
        <v>2.4710829228325073</v>
      </c>
      <c r="K49" s="307">
        <f t="shared" ca="1" si="15"/>
        <v>13.771938405601263</v>
      </c>
      <c r="L49" s="304">
        <f t="shared" ca="1" si="0"/>
        <v>13.991874008123055</v>
      </c>
      <c r="M49" s="306">
        <f t="shared" ca="1" si="16"/>
        <v>1.3891515438397282</v>
      </c>
      <c r="N49" s="304">
        <f t="shared" ca="1" si="17"/>
        <v>79.592520566098983</v>
      </c>
      <c r="P49" s="310">
        <f t="shared" ca="1" si="18"/>
        <v>7</v>
      </c>
      <c r="Q49" s="304">
        <f t="shared" ca="1" si="19"/>
        <v>1328.3176250000001</v>
      </c>
      <c r="R49" s="306">
        <f t="shared" ca="1" si="20"/>
        <v>0.65277745150501987</v>
      </c>
      <c r="S49" s="307">
        <f t="shared" ca="1" si="21"/>
        <v>8.1498965509460835</v>
      </c>
      <c r="T49" s="304">
        <f t="shared" ca="1" si="1"/>
        <v>79.950485164781085</v>
      </c>
      <c r="U49" s="311">
        <f t="shared" ca="1" si="2"/>
        <v>0</v>
      </c>
      <c r="V49" s="306">
        <f t="shared" ca="1" si="3"/>
        <v>1.2233140984519282</v>
      </c>
      <c r="W49" s="304">
        <f t="shared" ca="1" si="4"/>
        <v>16.777526505461481</v>
      </c>
      <c r="Y49" s="314" t="str">
        <f t="shared" ca="1" si="22"/>
        <v/>
      </c>
      <c r="Z49" s="315" t="str">
        <f t="shared" ca="1" si="23"/>
        <v/>
      </c>
      <c r="AA49" s="316" t="str">
        <f t="shared" ca="1" si="24"/>
        <v/>
      </c>
      <c r="AC49" s="310" t="e">
        <f t="shared" ca="1" si="25"/>
        <v>#N/A</v>
      </c>
      <c r="AD49" s="323" t="e">
        <f t="shared" ca="1" si="26"/>
        <v>#N/A</v>
      </c>
      <c r="AE49" s="324">
        <f t="shared" ca="1" si="5"/>
        <v>13.771938405601263</v>
      </c>
      <c r="AG49" s="306">
        <f t="shared" ca="1" si="27"/>
        <v>151.37328082367068</v>
      </c>
      <c r="AH49" s="304">
        <f t="shared" ca="1" si="28"/>
        <v>161.02237044612156</v>
      </c>
    </row>
    <row r="50" spans="1:34" x14ac:dyDescent="0.2">
      <c r="A50" s="347">
        <f t="shared" ca="1" si="6"/>
        <v>0.01</v>
      </c>
      <c r="B50" s="304">
        <f t="shared" ca="1" si="7"/>
        <v>0.46000000000000024</v>
      </c>
      <c r="D50" s="306">
        <f t="shared" ca="1" si="8"/>
        <v>29.079250130462341</v>
      </c>
      <c r="E50" s="307">
        <f t="shared" ca="1" si="9"/>
        <v>148.51396800262617</v>
      </c>
      <c r="F50" s="304">
        <f t="shared" ca="1" si="10"/>
        <v>151.33407243590275</v>
      </c>
      <c r="G50" s="306">
        <f t="shared" ca="1" si="11"/>
        <v>11.968164887296146</v>
      </c>
      <c r="H50" s="307">
        <f t="shared" ca="1" si="12"/>
        <v>65.063393029060521</v>
      </c>
      <c r="I50" s="304">
        <f t="shared" ca="1" si="13"/>
        <v>66.154985324036687</v>
      </c>
      <c r="J50" s="306">
        <f t="shared" ca="1" si="14"/>
        <v>2.5893106091989457</v>
      </c>
      <c r="K50" s="307">
        <f t="shared" ca="1" si="15"/>
        <v>14.415146637491738</v>
      </c>
      <c r="L50" s="304">
        <f t="shared" ca="1" si="0"/>
        <v>14.645852041151432</v>
      </c>
      <c r="M50" s="306">
        <f t="shared" ca="1" si="16"/>
        <v>1.3888836649522016</v>
      </c>
      <c r="N50" s="304">
        <f t="shared" ca="1" si="17"/>
        <v>79.577172236423053</v>
      </c>
      <c r="P50" s="310">
        <f t="shared" ca="1" si="18"/>
        <v>7</v>
      </c>
      <c r="Q50" s="304">
        <f t="shared" ca="1" si="19"/>
        <v>1327.634875</v>
      </c>
      <c r="R50" s="306">
        <f t="shared" ca="1" si="20"/>
        <v>0.6524419264795086</v>
      </c>
      <c r="S50" s="307">
        <f t="shared" ca="1" si="21"/>
        <v>8.1433721316812875</v>
      </c>
      <c r="T50" s="304">
        <f t="shared" ca="1" si="1"/>
        <v>79.886480611793431</v>
      </c>
      <c r="U50" s="311">
        <f t="shared" ca="1" si="2"/>
        <v>0</v>
      </c>
      <c r="V50" s="306">
        <f t="shared" ca="1" si="3"/>
        <v>1.2232354163734935</v>
      </c>
      <c r="W50" s="304">
        <f t="shared" ca="1" si="4"/>
        <v>17.57110190949529</v>
      </c>
      <c r="Y50" s="314" t="str">
        <f t="shared" ca="1" si="22"/>
        <v/>
      </c>
      <c r="Z50" s="315" t="str">
        <f t="shared" ca="1" si="23"/>
        <v/>
      </c>
      <c r="AA50" s="316" t="str">
        <f t="shared" ca="1" si="24"/>
        <v/>
      </c>
      <c r="AC50" s="310" t="e">
        <f t="shared" ca="1" si="25"/>
        <v>#N/A</v>
      </c>
      <c r="AD50" s="323" t="e">
        <f t="shared" ca="1" si="26"/>
        <v>#N/A</v>
      </c>
      <c r="AE50" s="324">
        <f t="shared" ca="1" si="5"/>
        <v>14.415146637491738</v>
      </c>
      <c r="AG50" s="306">
        <f t="shared" ca="1" si="27"/>
        <v>151.32369595019279</v>
      </c>
      <c r="AH50" s="304">
        <f t="shared" ca="1" si="28"/>
        <v>160.97230082298813</v>
      </c>
    </row>
    <row r="51" spans="1:34" x14ac:dyDescent="0.2">
      <c r="A51" s="347">
        <f t="shared" ca="1" si="6"/>
        <v>0.01</v>
      </c>
      <c r="B51" s="304">
        <f t="shared" ca="1" si="7"/>
        <v>0.47000000000000025</v>
      </c>
      <c r="D51" s="306">
        <f t="shared" ca="1" si="8"/>
        <v>29.112175579377372</v>
      </c>
      <c r="E51" s="307">
        <f t="shared" ca="1" si="9"/>
        <v>148.45460777312798</v>
      </c>
      <c r="F51" s="304">
        <f t="shared" ca="1" si="10"/>
        <v>151.28215141264275</v>
      </c>
      <c r="G51" s="306">
        <f t="shared" ca="1" si="11"/>
        <v>12.259286643089919</v>
      </c>
      <c r="H51" s="307">
        <f t="shared" ca="1" si="12"/>
        <v>66.547939106791802</v>
      </c>
      <c r="I51" s="304">
        <f t="shared" ca="1" si="13"/>
        <v>67.66770506200659</v>
      </c>
      <c r="J51" s="306">
        <f t="shared" ca="1" si="14"/>
        <v>2.7104478668508762</v>
      </c>
      <c r="K51" s="307">
        <f t="shared" ca="1" si="15"/>
        <v>15.073203298170998</v>
      </c>
      <c r="L51" s="304">
        <f t="shared" ca="1" si="0"/>
        <v>15.314959526780001</v>
      </c>
      <c r="M51" s="306">
        <f t="shared" ca="1" si="16"/>
        <v>1.3886213925759265</v>
      </c>
      <c r="N51" s="304">
        <f t="shared" ca="1" si="17"/>
        <v>79.562145136179623</v>
      </c>
      <c r="P51" s="310">
        <f t="shared" ca="1" si="18"/>
        <v>7</v>
      </c>
      <c r="Q51" s="304">
        <f t="shared" ca="1" si="19"/>
        <v>1326.952125</v>
      </c>
      <c r="R51" s="306">
        <f t="shared" ca="1" si="20"/>
        <v>0.65210640145399745</v>
      </c>
      <c r="S51" s="307">
        <f t="shared" ca="1" si="21"/>
        <v>8.1368510676667469</v>
      </c>
      <c r="T51" s="304">
        <f t="shared" ca="1" si="1"/>
        <v>79.822508973810798</v>
      </c>
      <c r="U51" s="311">
        <f t="shared" ca="1" si="2"/>
        <v>0</v>
      </c>
      <c r="V51" s="306">
        <f t="shared" ca="1" si="3"/>
        <v>1.2231549231568917</v>
      </c>
      <c r="W51" s="304">
        <f t="shared" ca="1" si="4"/>
        <v>18.3826517211949</v>
      </c>
      <c r="Y51" s="314" t="str">
        <f t="shared" ca="1" si="22"/>
        <v/>
      </c>
      <c r="Z51" s="315" t="str">
        <f t="shared" ca="1" si="23"/>
        <v/>
      </c>
      <c r="AA51" s="316" t="str">
        <f t="shared" ca="1" si="24"/>
        <v/>
      </c>
      <c r="AC51" s="310" t="e">
        <f t="shared" ca="1" si="25"/>
        <v>#N/A</v>
      </c>
      <c r="AD51" s="323" t="e">
        <f t="shared" ca="1" si="26"/>
        <v>#N/A</v>
      </c>
      <c r="AE51" s="324">
        <f t="shared" ca="1" si="5"/>
        <v>15.073203298170998</v>
      </c>
      <c r="AG51" s="306">
        <f t="shared" ca="1" si="27"/>
        <v>151.27174106474908</v>
      </c>
      <c r="AH51" s="304">
        <f t="shared" ca="1" si="28"/>
        <v>160.91987086915816</v>
      </c>
    </row>
    <row r="52" spans="1:34" x14ac:dyDescent="0.2">
      <c r="A52" s="347">
        <f t="shared" ca="1" si="6"/>
        <v>0.01</v>
      </c>
      <c r="B52" s="304">
        <f t="shared" ca="1" si="7"/>
        <v>0.48000000000000026</v>
      </c>
      <c r="D52" s="306">
        <f t="shared" ca="1" si="8"/>
        <v>29.143756543272083</v>
      </c>
      <c r="E52" s="307">
        <f t="shared" ca="1" si="9"/>
        <v>148.3930824671215</v>
      </c>
      <c r="F52" s="304">
        <f t="shared" ca="1" si="10"/>
        <v>151.22785943584415</v>
      </c>
      <c r="G52" s="306">
        <f t="shared" ca="1" si="11"/>
        <v>12.55072420852264</v>
      </c>
      <c r="H52" s="307">
        <f t="shared" ca="1" si="12"/>
        <v>68.031869931463021</v>
      </c>
      <c r="I52" s="304">
        <f t="shared" ca="1" si="13"/>
        <v>69.179881501271012</v>
      </c>
      <c r="J52" s="306">
        <f t="shared" ca="1" si="14"/>
        <v>2.8344979211089392</v>
      </c>
      <c r="K52" s="307">
        <f t="shared" ca="1" si="15"/>
        <v>15.746102343362272</v>
      </c>
      <c r="L52" s="304">
        <f t="shared" ca="1" si="0"/>
        <v>15.999191150567885</v>
      </c>
      <c r="M52" s="306">
        <f t="shared" ca="1" si="16"/>
        <v>1.3883644873430947</v>
      </c>
      <c r="N52" s="304">
        <f t="shared" ca="1" si="17"/>
        <v>79.547425550603521</v>
      </c>
      <c r="P52" s="310">
        <f t="shared" ca="1" si="18"/>
        <v>7</v>
      </c>
      <c r="Q52" s="304">
        <f t="shared" ca="1" si="19"/>
        <v>1326.2693750000001</v>
      </c>
      <c r="R52" s="306">
        <f t="shared" ca="1" si="20"/>
        <v>0.65177087642848641</v>
      </c>
      <c r="S52" s="307">
        <f t="shared" ca="1" si="21"/>
        <v>8.1303333589024618</v>
      </c>
      <c r="T52" s="304">
        <f t="shared" ca="1" si="1"/>
        <v>79.758570250833159</v>
      </c>
      <c r="U52" s="311">
        <f t="shared" ca="1" si="2"/>
        <v>0</v>
      </c>
      <c r="V52" s="306">
        <f t="shared" ca="1" si="3"/>
        <v>1.2230726198991546</v>
      </c>
      <c r="W52" s="304">
        <f t="shared" ca="1" si="4"/>
        <v>19.212136676202565</v>
      </c>
      <c r="Y52" s="314" t="str">
        <f t="shared" ca="1" si="22"/>
        <v/>
      </c>
      <c r="Z52" s="315" t="str">
        <f t="shared" ca="1" si="23"/>
        <v/>
      </c>
      <c r="AA52" s="316" t="str">
        <f t="shared" ca="1" si="24"/>
        <v/>
      </c>
      <c r="AC52" s="310" t="e">
        <f t="shared" ca="1" si="25"/>
        <v>#N/A</v>
      </c>
      <c r="AD52" s="323" t="e">
        <f t="shared" ca="1" si="26"/>
        <v>#N/A</v>
      </c>
      <c r="AE52" s="324">
        <f t="shared" ca="1" si="5"/>
        <v>15.746102343362272</v>
      </c>
      <c r="AG52" s="306">
        <f t="shared" ca="1" si="27"/>
        <v>151.21741563180041</v>
      </c>
      <c r="AH52" s="304">
        <f t="shared" ca="1" si="28"/>
        <v>160.86507963990309</v>
      </c>
    </row>
    <row r="53" spans="1:34" x14ac:dyDescent="0.2">
      <c r="A53" s="347">
        <f t="shared" ca="1" si="6"/>
        <v>0.01</v>
      </c>
      <c r="B53" s="304">
        <f t="shared" ca="1" si="7"/>
        <v>0.49000000000000027</v>
      </c>
      <c r="D53" s="306">
        <f t="shared" ca="1" si="8"/>
        <v>29.174029940541914</v>
      </c>
      <c r="E53" s="307">
        <f t="shared" ca="1" si="9"/>
        <v>148.32938521123657</v>
      </c>
      <c r="F53" s="304">
        <f t="shared" ca="1" si="10"/>
        <v>151.17119613244793</v>
      </c>
      <c r="G53" s="306">
        <f t="shared" ca="1" si="11"/>
        <v>12.842464507928058</v>
      </c>
      <c r="H53" s="307">
        <f t="shared" ca="1" si="12"/>
        <v>69.515163783575389</v>
      </c>
      <c r="I53" s="304">
        <f t="shared" ca="1" si="13"/>
        <v>70.691490934161962</v>
      </c>
      <c r="J53" s="306">
        <f t="shared" ca="1" si="14"/>
        <v>2.9614638646911926</v>
      </c>
      <c r="K53" s="307">
        <f t="shared" ca="1" si="15"/>
        <v>16.433837511937465</v>
      </c>
      <c r="L53" s="304">
        <f t="shared" ca="1" si="0"/>
        <v>16.698541361167887</v>
      </c>
      <c r="M53" s="306">
        <f t="shared" ca="1" si="16"/>
        <v>1.3881127249585619</v>
      </c>
      <c r="N53" s="304">
        <f t="shared" ca="1" si="17"/>
        <v>79.533000628529649</v>
      </c>
      <c r="P53" s="310">
        <f t="shared" ca="1" si="18"/>
        <v>7</v>
      </c>
      <c r="Q53" s="304">
        <f t="shared" ca="1" si="19"/>
        <v>1325.5866250000001</v>
      </c>
      <c r="R53" s="306">
        <f t="shared" ca="1" si="20"/>
        <v>0.65143535140297526</v>
      </c>
      <c r="S53" s="307">
        <f t="shared" ca="1" si="21"/>
        <v>8.123819005388432</v>
      </c>
      <c r="T53" s="304">
        <f t="shared" ca="1" si="1"/>
        <v>79.694664442860528</v>
      </c>
      <c r="U53" s="311">
        <f t="shared" ca="1" si="2"/>
        <v>0</v>
      </c>
      <c r="V53" s="306">
        <f t="shared" ca="1" si="3"/>
        <v>1.2229885077316425</v>
      </c>
      <c r="W53" s="304">
        <f t="shared" ca="1" si="4"/>
        <v>20.059516215291413</v>
      </c>
      <c r="Y53" s="314" t="str">
        <f t="shared" ca="1" si="22"/>
        <v/>
      </c>
      <c r="Z53" s="315" t="str">
        <f t="shared" ca="1" si="23"/>
        <v/>
      </c>
      <c r="AA53" s="316" t="str">
        <f t="shared" ca="1" si="24"/>
        <v/>
      </c>
      <c r="AC53" s="310" t="e">
        <f t="shared" ca="1" si="25"/>
        <v>#N/A</v>
      </c>
      <c r="AD53" s="323" t="e">
        <f t="shared" ca="1" si="26"/>
        <v>#N/A</v>
      </c>
      <c r="AE53" s="324">
        <f t="shared" ca="1" si="5"/>
        <v>16.433837511937465</v>
      </c>
      <c r="AG53" s="306">
        <f t="shared" ca="1" si="27"/>
        <v>151.16071925256938</v>
      </c>
      <c r="AH53" s="304">
        <f t="shared" ca="1" si="28"/>
        <v>160.80792635302373</v>
      </c>
    </row>
    <row r="54" spans="1:34" x14ac:dyDescent="0.2">
      <c r="A54" s="347">
        <f t="shared" ca="1" si="6"/>
        <v>0.01</v>
      </c>
      <c r="B54" s="304">
        <f t="shared" ca="1" si="7"/>
        <v>0.50000000000000022</v>
      </c>
      <c r="D54" s="306">
        <f t="shared" ca="1" si="8"/>
        <v>29.203030348470904</v>
      </c>
      <c r="E54" s="307">
        <f t="shared" ca="1" si="9"/>
        <v>148.26350967545693</v>
      </c>
      <c r="F54" s="304">
        <f t="shared" ca="1" si="10"/>
        <v>151.11216126711318</v>
      </c>
      <c r="G54" s="306">
        <f t="shared" ca="1" si="11"/>
        <v>13.134494811412768</v>
      </c>
      <c r="H54" s="307">
        <f t="shared" ca="1" si="12"/>
        <v>70.997798880329952</v>
      </c>
      <c r="I54" s="304">
        <f t="shared" ca="1" si="13"/>
        <v>72.202509650307931</v>
      </c>
      <c r="J54" s="306">
        <f t="shared" ca="1" si="14"/>
        <v>3.0913486612878969</v>
      </c>
      <c r="K54" s="307">
        <f t="shared" ca="1" si="15"/>
        <v>17.136402325256991</v>
      </c>
      <c r="L54" s="304">
        <f t="shared" ca="1" si="0"/>
        <v>17.41300437026074</v>
      </c>
      <c r="M54" s="306">
        <f t="shared" ca="1" si="16"/>
        <v>1.3878658949539346</v>
      </c>
      <c r="N54" s="304">
        <f t="shared" ca="1" si="17"/>
        <v>79.518858311007307</v>
      </c>
      <c r="P54" s="310">
        <f t="shared" ca="1" si="18"/>
        <v>7</v>
      </c>
      <c r="Q54" s="304">
        <f t="shared" ca="1" si="19"/>
        <v>1324.903875</v>
      </c>
      <c r="R54" s="306">
        <f t="shared" ca="1" si="20"/>
        <v>0.651099826377464</v>
      </c>
      <c r="S54" s="307">
        <f t="shared" ca="1" si="21"/>
        <v>8.1173080071246577</v>
      </c>
      <c r="T54" s="304">
        <f t="shared" ca="1" si="1"/>
        <v>79.630791549892891</v>
      </c>
      <c r="U54" s="311">
        <f t="shared" ca="1" si="2"/>
        <v>0</v>
      </c>
      <c r="V54" s="306">
        <f t="shared" ca="1" si="3"/>
        <v>1.2229025878201039</v>
      </c>
      <c r="W54" s="304">
        <f t="shared" ca="1" si="4"/>
        <v>20.924748487147646</v>
      </c>
      <c r="Y54" s="314" t="str">
        <f t="shared" ca="1" si="22"/>
        <v/>
      </c>
      <c r="Z54" s="315" t="str">
        <f t="shared" ca="1" si="23"/>
        <v/>
      </c>
      <c r="AA54" s="316" t="str">
        <f t="shared" ca="1" si="24"/>
        <v/>
      </c>
      <c r="AC54" s="310" t="e">
        <f t="shared" ca="1" si="25"/>
        <v>#N/A</v>
      </c>
      <c r="AD54" s="323" t="e">
        <f t="shared" ca="1" si="26"/>
        <v>#N/A</v>
      </c>
      <c r="AE54" s="324">
        <f t="shared" ca="1" si="5"/>
        <v>17.136402325256991</v>
      </c>
      <c r="AG54" s="306">
        <f t="shared" ca="1" si="27"/>
        <v>151.10165166751855</v>
      </c>
      <c r="AH54" s="304">
        <f t="shared" ca="1" si="28"/>
        <v>160.74841038918703</v>
      </c>
    </row>
    <row r="55" spans="1:34" x14ac:dyDescent="0.2">
      <c r="A55" s="347">
        <f t="shared" ca="1" si="6"/>
        <v>0.01</v>
      </c>
      <c r="B55" s="304">
        <f t="shared" ca="1" si="7"/>
        <v>0.51000000000000023</v>
      </c>
      <c r="D55" s="306">
        <f t="shared" ca="1" si="8"/>
        <v>29.230790200279905</v>
      </c>
      <c r="E55" s="307">
        <f t="shared" ca="1" si="9"/>
        <v>148.1954500420764</v>
      </c>
      <c r="F55" s="304">
        <f t="shared" ca="1" si="10"/>
        <v>151.05075474457698</v>
      </c>
      <c r="G55" s="306">
        <f t="shared" ca="1" si="11"/>
        <v>13.426802713415567</v>
      </c>
      <c r="H55" s="307">
        <f t="shared" ca="1" si="12"/>
        <v>72.479753380750722</v>
      </c>
      <c r="I55" s="304">
        <f t="shared" ca="1" si="13"/>
        <v>73.712913938057213</v>
      </c>
      <c r="J55" s="306">
        <f t="shared" ca="1" si="14"/>
        <v>3.2241551489120384</v>
      </c>
      <c r="K55" s="307">
        <f t="shared" ca="1" si="15"/>
        <v>17.853790086562395</v>
      </c>
      <c r="L55" s="304">
        <f t="shared" ca="1" si="0"/>
        <v>18.142574152509056</v>
      </c>
      <c r="M55" s="306">
        <f t="shared" ca="1" si="16"/>
        <v>1.3876237995681617</v>
      </c>
      <c r="N55" s="304">
        <f t="shared" ca="1" si="17"/>
        <v>79.504987267162932</v>
      </c>
      <c r="P55" s="310">
        <f t="shared" ca="1" si="18"/>
        <v>7</v>
      </c>
      <c r="Q55" s="304">
        <f t="shared" ca="1" si="19"/>
        <v>1324.221125</v>
      </c>
      <c r="R55" s="306">
        <f t="shared" ca="1" si="20"/>
        <v>0.65076430135195285</v>
      </c>
      <c r="S55" s="307">
        <f t="shared" ca="1" si="21"/>
        <v>8.1108003641111388</v>
      </c>
      <c r="T55" s="304">
        <f t="shared" ca="1" si="1"/>
        <v>79.566951571930275</v>
      </c>
      <c r="U55" s="311">
        <f t="shared" ca="1" si="2"/>
        <v>0</v>
      </c>
      <c r="V55" s="306">
        <f t="shared" ca="1" si="3"/>
        <v>1.2228148613647214</v>
      </c>
      <c r="W55" s="304">
        <f t="shared" ca="1" si="4"/>
        <v>21.807790351344423</v>
      </c>
      <c r="Y55" s="314" t="str">
        <f t="shared" ca="1" si="22"/>
        <v/>
      </c>
      <c r="Z55" s="315" t="str">
        <f t="shared" ca="1" si="23"/>
        <v/>
      </c>
      <c r="AA55" s="316" t="str">
        <f t="shared" ca="1" si="24"/>
        <v/>
      </c>
      <c r="AC55" s="310" t="e">
        <f t="shared" ca="1" si="25"/>
        <v>#N/A</v>
      </c>
      <c r="AD55" s="323" t="e">
        <f t="shared" ca="1" si="26"/>
        <v>#N/A</v>
      </c>
      <c r="AE55" s="324">
        <f t="shared" ca="1" si="5"/>
        <v>17.853790086562395</v>
      </c>
      <c r="AG55" s="306">
        <f t="shared" ca="1" si="27"/>
        <v>151.04021275858639</v>
      </c>
      <c r="AH55" s="304">
        <f t="shared" ca="1" si="28"/>
        <v>160.68653129223955</v>
      </c>
    </row>
    <row r="56" spans="1:34" x14ac:dyDescent="0.2">
      <c r="A56" s="347">
        <f t="shared" ca="1" si="6"/>
        <v>0.01</v>
      </c>
      <c r="B56" s="304">
        <f t="shared" ca="1" si="7"/>
        <v>0.52000000000000024</v>
      </c>
      <c r="D56" s="306">
        <f t="shared" ca="1" si="8"/>
        <v>29.257339962134608</v>
      </c>
      <c r="E56" s="307">
        <f t="shared" ca="1" si="9"/>
        <v>148.12520097778076</v>
      </c>
      <c r="F56" s="304">
        <f t="shared" ca="1" si="10"/>
        <v>150.98697661178551</v>
      </c>
      <c r="G56" s="306">
        <f t="shared" ca="1" si="11"/>
        <v>13.719376113036914</v>
      </c>
      <c r="H56" s="307">
        <f t="shared" ca="1" si="12"/>
        <v>73.961005390528527</v>
      </c>
      <c r="I56" s="304">
        <f t="shared" ca="1" si="13"/>
        <v>75.222680085920615</v>
      </c>
      <c r="J56" s="306">
        <f t="shared" ca="1" si="14"/>
        <v>3.3598860430443009</v>
      </c>
      <c r="K56" s="307">
        <f t="shared" ca="1" si="15"/>
        <v>18.585993880418791</v>
      </c>
      <c r="L56" s="304">
        <f t="shared" ca="1" si="0"/>
        <v>18.887244445530126</v>
      </c>
      <c r="M56" s="306">
        <f t="shared" ca="1" si="16"/>
        <v>1.387386252739486</v>
      </c>
      <c r="N56" s="304">
        <f t="shared" ca="1" si="17"/>
        <v>79.491376836443095</v>
      </c>
      <c r="P56" s="310">
        <f t="shared" ca="1" si="18"/>
        <v>7</v>
      </c>
      <c r="Q56" s="304">
        <f t="shared" ca="1" si="19"/>
        <v>1323.5383750000001</v>
      </c>
      <c r="R56" s="306">
        <f t="shared" ca="1" si="20"/>
        <v>0.65042877632644169</v>
      </c>
      <c r="S56" s="307">
        <f t="shared" ca="1" si="21"/>
        <v>8.1042960763478735</v>
      </c>
      <c r="T56" s="304">
        <f t="shared" ca="1" si="1"/>
        <v>79.503144508972639</v>
      </c>
      <c r="U56" s="311">
        <f t="shared" ca="1" si="2"/>
        <v>0</v>
      </c>
      <c r="V56" s="306">
        <f t="shared" ca="1" si="3"/>
        <v>1.2227253296001552</v>
      </c>
      <c r="W56" s="304">
        <f t="shared" ca="1" si="4"/>
        <v>22.708597381507921</v>
      </c>
      <c r="Y56" s="314" t="str">
        <f t="shared" ca="1" si="22"/>
        <v/>
      </c>
      <c r="Z56" s="315" t="str">
        <f t="shared" ca="1" si="23"/>
        <v/>
      </c>
      <c r="AA56" s="316" t="str">
        <f t="shared" ca="1" si="24"/>
        <v/>
      </c>
      <c r="AC56" s="310" t="e">
        <f t="shared" ca="1" si="25"/>
        <v>#N/A</v>
      </c>
      <c r="AD56" s="323" t="e">
        <f t="shared" ca="1" si="26"/>
        <v>#N/A</v>
      </c>
      <c r="AE56" s="324">
        <f t="shared" ca="1" si="5"/>
        <v>18.585993880418791</v>
      </c>
      <c r="AG56" s="306">
        <f t="shared" ca="1" si="27"/>
        <v>150.97640255120692</v>
      </c>
      <c r="AH56" s="304">
        <f t="shared" ca="1" si="28"/>
        <v>160.62228876949774</v>
      </c>
    </row>
    <row r="57" spans="1:34" x14ac:dyDescent="0.2">
      <c r="A57" s="347">
        <f t="shared" ca="1" si="6"/>
        <v>0.01</v>
      </c>
      <c r="B57" s="304">
        <f t="shared" ca="1" si="7"/>
        <v>0.53000000000000025</v>
      </c>
      <c r="D57" s="306">
        <f t="shared" ca="1" si="8"/>
        <v>29.282708292514695</v>
      </c>
      <c r="E57" s="307">
        <f t="shared" ca="1" si="9"/>
        <v>148.05275760848269</v>
      </c>
      <c r="F57" s="304">
        <f t="shared" ca="1" si="10"/>
        <v>150.92082705982182</v>
      </c>
      <c r="G57" s="306">
        <f t="shared" ca="1" si="11"/>
        <v>14.01220319596206</v>
      </c>
      <c r="H57" s="307">
        <f t="shared" ca="1" si="12"/>
        <v>75.441532966613352</v>
      </c>
      <c r="I57" s="304">
        <f t="shared" ca="1" si="13"/>
        <v>76.731784384031741</v>
      </c>
      <c r="J57" s="306">
        <f t="shared" ca="1" si="14"/>
        <v>3.4985439395892959</v>
      </c>
      <c r="K57" s="307">
        <f t="shared" ca="1" si="15"/>
        <v>19.3330065722045</v>
      </c>
      <c r="L57" s="304">
        <f t="shared" ca="1" si="0"/>
        <v>19.647008749887078</v>
      </c>
      <c r="M57" s="306">
        <f t="shared" ca="1" si="16"/>
        <v>1.3871530791957059</v>
      </c>
      <c r="N57" s="304">
        <f t="shared" ca="1" si="17"/>
        <v>79.47801697649038</v>
      </c>
      <c r="P57" s="310">
        <f t="shared" ca="1" si="18"/>
        <v>7</v>
      </c>
      <c r="Q57" s="304">
        <f t="shared" ca="1" si="19"/>
        <v>1322.8556249999999</v>
      </c>
      <c r="R57" s="306">
        <f t="shared" ca="1" si="20"/>
        <v>0.65009325130093043</v>
      </c>
      <c r="S57" s="307">
        <f t="shared" ca="1" si="21"/>
        <v>8.0977951438348637</v>
      </c>
      <c r="T57" s="304">
        <f t="shared" ca="1" si="1"/>
        <v>79.439370361020011</v>
      </c>
      <c r="U57" s="311">
        <f t="shared" ca="1" si="2"/>
        <v>0</v>
      </c>
      <c r="V57" s="306">
        <f t="shared" ca="1" si="3"/>
        <v>1.2226339937955801</v>
      </c>
      <c r="W57" s="304">
        <f t="shared" ca="1" si="4"/>
        <v>23.627123868675707</v>
      </c>
      <c r="Y57" s="314" t="str">
        <f t="shared" ca="1" si="22"/>
        <v/>
      </c>
      <c r="Z57" s="315" t="str">
        <f t="shared" ca="1" si="23"/>
        <v/>
      </c>
      <c r="AA57" s="316" t="str">
        <f t="shared" ca="1" si="24"/>
        <v/>
      </c>
      <c r="AC57" s="310" t="e">
        <f t="shared" ca="1" si="25"/>
        <v>#N/A</v>
      </c>
      <c r="AD57" s="323" t="e">
        <f t="shared" ca="1" si="26"/>
        <v>#N/A</v>
      </c>
      <c r="AE57" s="324">
        <f t="shared" ca="1" si="5"/>
        <v>19.3330065722045</v>
      </c>
      <c r="AG57" s="306">
        <f t="shared" ca="1" si="27"/>
        <v>150.91022121613665</v>
      </c>
      <c r="AH57" s="304">
        <f t="shared" ca="1" si="28"/>
        <v>160.55568269201521</v>
      </c>
    </row>
    <row r="58" spans="1:34" x14ac:dyDescent="0.2">
      <c r="A58" s="347">
        <f t="shared" ca="1" si="6"/>
        <v>0.01</v>
      </c>
      <c r="B58" s="304">
        <f t="shared" ca="1" si="7"/>
        <v>0.54000000000000026</v>
      </c>
      <c r="D58" s="306">
        <f t="shared" ca="1" si="8"/>
        <v>29.306922186013324</v>
      </c>
      <c r="E58" s="307">
        <f t="shared" ca="1" si="9"/>
        <v>147.9781154965863</v>
      </c>
      <c r="F58" s="304">
        <f t="shared" ca="1" si="10"/>
        <v>150.85230642564957</v>
      </c>
      <c r="G58" s="306">
        <f t="shared" ca="1" si="11"/>
        <v>14.305272417822193</v>
      </c>
      <c r="H58" s="307">
        <f t="shared" ca="1" si="12"/>
        <v>76.921314121579215</v>
      </c>
      <c r="I58" s="304">
        <f t="shared" ca="1" si="13"/>
        <v>78.240203125623125</v>
      </c>
      <c r="J58" s="306">
        <f t="shared" ca="1" si="14"/>
        <v>3.6401313176582173</v>
      </c>
      <c r="K58" s="307">
        <f t="shared" ca="1" si="15"/>
        <v>20.094820807645462</v>
      </c>
      <c r="L58" s="304">
        <f t="shared" ca="1" si="0"/>
        <v>20.421860329097768</v>
      </c>
      <c r="M58" s="306">
        <f t="shared" ca="1" si="16"/>
        <v>1.3869241136314321</v>
      </c>
      <c r="N58" s="304">
        <f t="shared" ca="1" si="17"/>
        <v>79.464898216003661</v>
      </c>
      <c r="P58" s="310">
        <f t="shared" ca="1" si="18"/>
        <v>7</v>
      </c>
      <c r="Q58" s="304">
        <f t="shared" ca="1" si="19"/>
        <v>1322.172875</v>
      </c>
      <c r="R58" s="306">
        <f t="shared" ca="1" si="20"/>
        <v>0.64975772627541928</v>
      </c>
      <c r="S58" s="307">
        <f t="shared" ca="1" si="21"/>
        <v>8.0912975665721092</v>
      </c>
      <c r="T58" s="304">
        <f t="shared" ca="1" si="1"/>
        <v>79.37562912807239</v>
      </c>
      <c r="U58" s="311">
        <f t="shared" ca="1" si="2"/>
        <v>0</v>
      </c>
      <c r="V58" s="306">
        <f t="shared" ca="1" si="3"/>
        <v>1.2225408552547135</v>
      </c>
      <c r="W58" s="304">
        <f t="shared" ca="1" si="4"/>
        <v>24.563322824847305</v>
      </c>
      <c r="Y58" s="314" t="str">
        <f t="shared" ca="1" si="22"/>
        <v/>
      </c>
      <c r="Z58" s="315" t="str">
        <f t="shared" ca="1" si="23"/>
        <v/>
      </c>
      <c r="AA58" s="316" t="str">
        <f t="shared" ca="1" si="24"/>
        <v/>
      </c>
      <c r="AC58" s="310" t="e">
        <f t="shared" ca="1" si="25"/>
        <v>#N/A</v>
      </c>
      <c r="AD58" s="323" t="e">
        <f t="shared" ca="1" si="26"/>
        <v>#N/A</v>
      </c>
      <c r="AE58" s="324">
        <f t="shared" ca="1" si="5"/>
        <v>20.094820807645462</v>
      </c>
      <c r="AG58" s="306">
        <f t="shared" ca="1" si="27"/>
        <v>150.84166907110762</v>
      </c>
      <c r="AH58" s="304">
        <f t="shared" ca="1" si="28"/>
        <v>160.48671309482631</v>
      </c>
    </row>
    <row r="59" spans="1:34" x14ac:dyDescent="0.2">
      <c r="A59" s="347">
        <f t="shared" ca="1" si="6"/>
        <v>0.01</v>
      </c>
      <c r="B59" s="304">
        <f t="shared" ca="1" si="7"/>
        <v>0.55000000000000027</v>
      </c>
      <c r="D59" s="306">
        <f t="shared" ca="1" si="8"/>
        <v>29.33000710336022</v>
      </c>
      <c r="E59" s="307">
        <f t="shared" ca="1" si="9"/>
        <v>147.90127062040153</v>
      </c>
      <c r="F59" s="304">
        <f t="shared" ca="1" si="10"/>
        <v>150.7814151936916</v>
      </c>
      <c r="G59" s="306">
        <f t="shared" ca="1" si="11"/>
        <v>14.598572488855796</v>
      </c>
      <c r="H59" s="307">
        <f t="shared" ca="1" si="12"/>
        <v>78.400326827783232</v>
      </c>
      <c r="I59" s="304">
        <f t="shared" ca="1" si="13"/>
        <v>79.747912608516614</v>
      </c>
      <c r="J59" s="306">
        <f t="shared" ca="1" si="14"/>
        <v>3.7846505421916072</v>
      </c>
      <c r="K59" s="307">
        <f t="shared" ca="1" si="15"/>
        <v>20.871429012392273</v>
      </c>
      <c r="L59" s="304">
        <f t="shared" ca="1" si="0"/>
        <v>21.211792209661144</v>
      </c>
      <c r="M59" s="306">
        <f t="shared" ca="1" si="16"/>
        <v>1.3866991999625315</v>
      </c>
      <c r="N59" s="304">
        <f t="shared" ca="1" si="17"/>
        <v>79.452011612020868</v>
      </c>
      <c r="P59" s="310">
        <f t="shared" ca="1" si="18"/>
        <v>7</v>
      </c>
      <c r="Q59" s="304">
        <f t="shared" ca="1" si="19"/>
        <v>1321.490125</v>
      </c>
      <c r="R59" s="306">
        <f t="shared" ca="1" si="20"/>
        <v>0.64942220124990824</v>
      </c>
      <c r="S59" s="307">
        <f t="shared" ca="1" si="21"/>
        <v>8.0848033445596101</v>
      </c>
      <c r="T59" s="304">
        <f t="shared" ca="1" si="1"/>
        <v>79.311920810129777</v>
      </c>
      <c r="U59" s="311">
        <f t="shared" ca="1" si="2"/>
        <v>0</v>
      </c>
      <c r="V59" s="306">
        <f t="shared" ca="1" si="3"/>
        <v>1.2224459153158409</v>
      </c>
      <c r="W59" s="304">
        <f t="shared" ca="1" si="4"/>
        <v>25.51714598672709</v>
      </c>
      <c r="Y59" s="314" t="str">
        <f t="shared" ca="1" si="22"/>
        <v/>
      </c>
      <c r="Z59" s="315" t="str">
        <f t="shared" ca="1" si="23"/>
        <v/>
      </c>
      <c r="AA59" s="316" t="str">
        <f t="shared" ca="1" si="24"/>
        <v/>
      </c>
      <c r="AC59" s="310" t="e">
        <f t="shared" ca="1" si="25"/>
        <v>#N/A</v>
      </c>
      <c r="AD59" s="323" t="e">
        <f t="shared" ca="1" si="26"/>
        <v>#N/A</v>
      </c>
      <c r="AE59" s="324">
        <f t="shared" ca="1" si="5"/>
        <v>20.871429012392273</v>
      </c>
      <c r="AG59" s="306">
        <f t="shared" ca="1" si="27"/>
        <v>150.77074658232337</v>
      </c>
      <c r="AH59" s="304">
        <f t="shared" ca="1" si="28"/>
        <v>160.41538017716596</v>
      </c>
    </row>
    <row r="60" spans="1:34" x14ac:dyDescent="0.2">
      <c r="A60" s="347">
        <f t="shared" ca="1" si="6"/>
        <v>0.01</v>
      </c>
      <c r="B60" s="304">
        <f t="shared" ca="1" si="7"/>
        <v>0.56000000000000028</v>
      </c>
      <c r="D60" s="306">
        <f t="shared" ca="1" si="8"/>
        <v>29.351987089223456</v>
      </c>
      <c r="E60" s="307">
        <f t="shared" ca="1" si="9"/>
        <v>147.82221935546639</v>
      </c>
      <c r="F60" s="304">
        <f t="shared" ca="1" si="10"/>
        <v>150.7081539972591</v>
      </c>
      <c r="G60" s="306">
        <f t="shared" ca="1" si="11"/>
        <v>14.89209235974803</v>
      </c>
      <c r="H60" s="307">
        <f t="shared" ca="1" si="12"/>
        <v>79.878549021337889</v>
      </c>
      <c r="I60" s="304">
        <f t="shared" ca="1" si="13"/>
        <v>81.254889136627014</v>
      </c>
      <c r="J60" s="306">
        <f t="shared" ca="1" si="14"/>
        <v>3.9321038664346264</v>
      </c>
      <c r="K60" s="307">
        <f t="shared" ca="1" si="15"/>
        <v>21.662823391637879</v>
      </c>
      <c r="L60" s="304">
        <f t="shared" ca="1" si="0"/>
        <v>22.016797181100692</v>
      </c>
      <c r="M60" s="306">
        <f t="shared" ca="1" si="16"/>
        <v>1.386478190649207</v>
      </c>
      <c r="N60" s="304">
        <f t="shared" ca="1" si="17"/>
        <v>79.439348711134286</v>
      </c>
      <c r="P60" s="310">
        <f t="shared" ca="1" si="18"/>
        <v>7</v>
      </c>
      <c r="Q60" s="304">
        <f t="shared" ca="1" si="19"/>
        <v>1320.8073750000001</v>
      </c>
      <c r="R60" s="306">
        <f t="shared" ca="1" si="20"/>
        <v>0.64908667622439709</v>
      </c>
      <c r="S60" s="307">
        <f t="shared" ca="1" si="21"/>
        <v>8.0783124777973665</v>
      </c>
      <c r="T60" s="304">
        <f t="shared" ca="1" si="1"/>
        <v>79.248245407192172</v>
      </c>
      <c r="U60" s="311">
        <f t="shared" ca="1" si="2"/>
        <v>0</v>
      </c>
      <c r="V60" s="306">
        <f t="shared" ca="1" si="3"/>
        <v>1.2223491753518343</v>
      </c>
      <c r="W60" s="304">
        <f t="shared" ca="1" si="4"/>
        <v>26.488543819659348</v>
      </c>
      <c r="Y60" s="314" t="str">
        <f t="shared" ca="1" si="22"/>
        <v/>
      </c>
      <c r="Z60" s="315" t="str">
        <f t="shared" ca="1" si="23"/>
        <v/>
      </c>
      <c r="AA60" s="316" t="str">
        <f t="shared" ca="1" si="24"/>
        <v/>
      </c>
      <c r="AC60" s="310" t="e">
        <f t="shared" ca="1" si="25"/>
        <v>#N/A</v>
      </c>
      <c r="AD60" s="323" t="e">
        <f t="shared" ca="1" si="26"/>
        <v>#N/A</v>
      </c>
      <c r="AE60" s="324">
        <f t="shared" ca="1" si="5"/>
        <v>21.662823391637879</v>
      </c>
      <c r="AG60" s="306">
        <f t="shared" ca="1" si="27"/>
        <v>150.69745436581351</v>
      </c>
      <c r="AH60" s="304">
        <f t="shared" ca="1" si="28"/>
        <v>160.34168430266601</v>
      </c>
    </row>
    <row r="61" spans="1:34" x14ac:dyDescent="0.2">
      <c r="A61" s="347">
        <f t="shared" ca="1" si="6"/>
        <v>0.01</v>
      </c>
      <c r="B61" s="304">
        <f t="shared" ca="1" si="7"/>
        <v>0.57000000000000028</v>
      </c>
      <c r="D61" s="306">
        <f t="shared" ca="1" si="8"/>
        <v>29.372884879144557</v>
      </c>
      <c r="E61" s="307">
        <f t="shared" ca="1" si="9"/>
        <v>147.74095845756358</v>
      </c>
      <c r="F61" s="304">
        <f t="shared" ca="1" si="10"/>
        <v>150.63252361984448</v>
      </c>
      <c r="G61" s="306">
        <f t="shared" ca="1" si="11"/>
        <v>15.185821208539476</v>
      </c>
      <c r="H61" s="307">
        <f t="shared" ca="1" si="12"/>
        <v>81.355958605913528</v>
      </c>
      <c r="I61" s="304">
        <f t="shared" ca="1" si="13"/>
        <v>82.761109021477239</v>
      </c>
      <c r="J61" s="306">
        <f t="shared" ca="1" si="14"/>
        <v>4.0824934342760635</v>
      </c>
      <c r="K61" s="307">
        <f t="shared" ca="1" si="15"/>
        <v>22.468995929774135</v>
      </c>
      <c r="L61" s="304">
        <f t="shared" ca="1" si="0"/>
        <v>22.83686779602478</v>
      </c>
      <c r="M61" s="306">
        <f t="shared" ca="1" si="16"/>
        <v>1.3862609460802573</v>
      </c>
      <c r="N61" s="304">
        <f t="shared" ca="1" si="17"/>
        <v>79.426901514211323</v>
      </c>
      <c r="P61" s="310">
        <f t="shared" ca="1" si="18"/>
        <v>7</v>
      </c>
      <c r="Q61" s="304">
        <f t="shared" ca="1" si="19"/>
        <v>1320.1246249999999</v>
      </c>
      <c r="R61" s="306">
        <f t="shared" ca="1" si="20"/>
        <v>0.64875115119888582</v>
      </c>
      <c r="S61" s="307">
        <f t="shared" ca="1" si="21"/>
        <v>8.0718249662853783</v>
      </c>
      <c r="T61" s="304">
        <f t="shared" ca="1" si="1"/>
        <v>79.184602919259561</v>
      </c>
      <c r="U61" s="311">
        <f t="shared" ca="1" si="2"/>
        <v>0</v>
      </c>
      <c r="V61" s="306">
        <f t="shared" ca="1" si="3"/>
        <v>1.2222506367701635</v>
      </c>
      <c r="W61" s="304">
        <f t="shared" ca="1" si="4"/>
        <v>27.477465521755153</v>
      </c>
      <c r="Y61" s="314" t="str">
        <f t="shared" ca="1" si="22"/>
        <v/>
      </c>
      <c r="Z61" s="315" t="str">
        <f t="shared" ca="1" si="23"/>
        <v/>
      </c>
      <c r="AA61" s="316" t="str">
        <f t="shared" ca="1" si="24"/>
        <v/>
      </c>
      <c r="AC61" s="310" t="e">
        <f t="shared" ca="1" si="25"/>
        <v>#N/A</v>
      </c>
      <c r="AD61" s="323" t="e">
        <f t="shared" ca="1" si="26"/>
        <v>#N/A</v>
      </c>
      <c r="AE61" s="324">
        <f t="shared" ca="1" si="5"/>
        <v>22.468995929774135</v>
      </c>
      <c r="AG61" s="306">
        <f t="shared" ca="1" si="27"/>
        <v>150.62179318865844</v>
      </c>
      <c r="AH61" s="304">
        <f t="shared" ca="1" si="28"/>
        <v>160.26562599952743</v>
      </c>
    </row>
    <row r="62" spans="1:34" x14ac:dyDescent="0.2">
      <c r="A62" s="347">
        <f t="shared" ca="1" si="6"/>
        <v>0.01</v>
      </c>
      <c r="B62" s="304">
        <f t="shared" ca="1" si="7"/>
        <v>0.58000000000000029</v>
      </c>
      <c r="D62" s="306">
        <f t="shared" ca="1" si="8"/>
        <v>29.392721996788755</v>
      </c>
      <c r="E62" s="307">
        <f t="shared" ca="1" si="9"/>
        <v>147.6574850472478</v>
      </c>
      <c r="F62" s="304">
        <f t="shared" ca="1" si="10"/>
        <v>150.5545249962907</v>
      </c>
      <c r="G62" s="306">
        <f t="shared" ca="1" si="11"/>
        <v>15.479748428507364</v>
      </c>
      <c r="H62" s="307">
        <f t="shared" ca="1" si="12"/>
        <v>82.832533456386003</v>
      </c>
      <c r="I62" s="304">
        <f t="shared" ca="1" si="13"/>
        <v>84.266548583724386</v>
      </c>
      <c r="J62" s="306">
        <f t="shared" ca="1" si="14"/>
        <v>4.2358212824612975</v>
      </c>
      <c r="K62" s="307">
        <f t="shared" ca="1" si="15"/>
        <v>23.289938390085631</v>
      </c>
      <c r="L62" s="304">
        <f t="shared" ca="1" si="0"/>
        <v>23.67199637020369</v>
      </c>
      <c r="M62" s="306">
        <f t="shared" ca="1" si="16"/>
        <v>1.3860473340119841</v>
      </c>
      <c r="N62" s="304">
        <f t="shared" ca="1" si="17"/>
        <v>79.414662444246204</v>
      </c>
      <c r="P62" s="310">
        <f t="shared" ca="1" si="18"/>
        <v>7</v>
      </c>
      <c r="Q62" s="304">
        <f t="shared" ca="1" si="19"/>
        <v>1319.441875</v>
      </c>
      <c r="R62" s="306">
        <f t="shared" ca="1" si="20"/>
        <v>0.64841562617337467</v>
      </c>
      <c r="S62" s="307">
        <f t="shared" ca="1" si="21"/>
        <v>8.0653408100236437</v>
      </c>
      <c r="T62" s="304">
        <f t="shared" ca="1" si="1"/>
        <v>79.120993346331943</v>
      </c>
      <c r="U62" s="311">
        <f t="shared" ca="1" si="2"/>
        <v>0</v>
      </c>
      <c r="V62" s="306">
        <f t="shared" ca="1" si="3"/>
        <v>1.2221503010129067</v>
      </c>
      <c r="W62" s="304">
        <f t="shared" ca="1" si="4"/>
        <v>28.483859028211171</v>
      </c>
      <c r="Y62" s="314" t="str">
        <f t="shared" ca="1" si="22"/>
        <v/>
      </c>
      <c r="Z62" s="315" t="str">
        <f t="shared" ca="1" si="23"/>
        <v/>
      </c>
      <c r="AA62" s="316" t="str">
        <f t="shared" ca="1" si="24"/>
        <v/>
      </c>
      <c r="AC62" s="310" t="e">
        <f t="shared" ca="1" si="25"/>
        <v>#N/A</v>
      </c>
      <c r="AD62" s="323" t="e">
        <f t="shared" ca="1" si="26"/>
        <v>#N/A</v>
      </c>
      <c r="AE62" s="324">
        <f t="shared" ca="1" si="5"/>
        <v>23.289938390085631</v>
      </c>
      <c r="AG62" s="306">
        <f t="shared" ca="1" si="27"/>
        <v>150.5437639700969</v>
      </c>
      <c r="AH62" s="304">
        <f t="shared" ca="1" si="28"/>
        <v>160.18720596066879</v>
      </c>
    </row>
    <row r="63" spans="1:34" x14ac:dyDescent="0.2">
      <c r="A63" s="347">
        <f t="shared" ca="1" si="6"/>
        <v>0.01</v>
      </c>
      <c r="B63" s="304">
        <f t="shared" ca="1" si="7"/>
        <v>0.5900000000000003</v>
      </c>
      <c r="D63" s="306">
        <f t="shared" ca="1" si="8"/>
        <v>29.411518842545359</v>
      </c>
      <c r="E63" s="307">
        <f t="shared" ca="1" si="9"/>
        <v>147.57179659572026</v>
      </c>
      <c r="F63" s="304">
        <f t="shared" ca="1" si="10"/>
        <v>150.47415921384652</v>
      </c>
      <c r="G63" s="306">
        <f t="shared" ca="1" si="11"/>
        <v>15.773863616932818</v>
      </c>
      <c r="H63" s="307">
        <f t="shared" ca="1" si="12"/>
        <v>84.308251422343204</v>
      </c>
      <c r="I63" s="304">
        <f t="shared" ca="1" si="13"/>
        <v>85.771184154695163</v>
      </c>
      <c r="J63" s="306">
        <f t="shared" ca="1" si="14"/>
        <v>4.3920893426884984</v>
      </c>
      <c r="K63" s="307">
        <f t="shared" ca="1" si="15"/>
        <v>24.125642314479276</v>
      </c>
      <c r="L63" s="304">
        <f t="shared" ca="1" si="0"/>
        <v>24.522174982663156</v>
      </c>
      <c r="M63" s="306">
        <f t="shared" ca="1" si="16"/>
        <v>1.3858372290560181</v>
      </c>
      <c r="N63" s="304">
        <f t="shared" ca="1" si="17"/>
        <v>79.402624317014585</v>
      </c>
      <c r="P63" s="310">
        <f t="shared" ca="1" si="18"/>
        <v>7</v>
      </c>
      <c r="Q63" s="304">
        <f t="shared" ca="1" si="19"/>
        <v>1318.759125</v>
      </c>
      <c r="R63" s="306">
        <f t="shared" ca="1" si="20"/>
        <v>0.64808010114786352</v>
      </c>
      <c r="S63" s="307">
        <f t="shared" ca="1" si="21"/>
        <v>8.0588600090121645</v>
      </c>
      <c r="T63" s="304">
        <f t="shared" ca="1" si="1"/>
        <v>79.057416688409333</v>
      </c>
      <c r="U63" s="311">
        <f t="shared" ca="1" si="2"/>
        <v>0</v>
      </c>
      <c r="V63" s="306">
        <f t="shared" ca="1" si="3"/>
        <v>1.2220481695567487</v>
      </c>
      <c r="W63" s="304">
        <f t="shared" ca="1" si="4"/>
        <v>29.507671015819401</v>
      </c>
      <c r="Y63" s="314" t="str">
        <f t="shared" ca="1" si="22"/>
        <v/>
      </c>
      <c r="Z63" s="315" t="str">
        <f t="shared" ca="1" si="23"/>
        <v/>
      </c>
      <c r="AA63" s="316" t="str">
        <f t="shared" ca="1" si="24"/>
        <v/>
      </c>
      <c r="AC63" s="310" t="e">
        <f t="shared" ca="1" si="25"/>
        <v>#N/A</v>
      </c>
      <c r="AD63" s="323" t="e">
        <f t="shared" ca="1" si="26"/>
        <v>#N/A</v>
      </c>
      <c r="AE63" s="324">
        <f t="shared" ca="1" si="5"/>
        <v>24.125642314479276</v>
      </c>
      <c r="AG63" s="306">
        <f t="shared" ca="1" si="27"/>
        <v>150.46336778252453</v>
      </c>
      <c r="AH63" s="304">
        <f t="shared" ca="1" si="28"/>
        <v>160.10642504385032</v>
      </c>
    </row>
    <row r="64" spans="1:34" x14ac:dyDescent="0.2">
      <c r="A64" s="347">
        <f t="shared" ca="1" si="6"/>
        <v>0.01</v>
      </c>
      <c r="B64" s="304">
        <f t="shared" ca="1" si="7"/>
        <v>0.60000000000000031</v>
      </c>
      <c r="D64" s="306">
        <f t="shared" ca="1" si="8"/>
        <v>29.429294774385554</v>
      </c>
      <c r="E64" s="307">
        <f t="shared" ca="1" si="9"/>
        <v>147.48389091190825</v>
      </c>
      <c r="F64" s="304">
        <f t="shared" ca="1" si="10"/>
        <v>150.39142751311766</v>
      </c>
      <c r="G64" s="306">
        <f t="shared" ca="1" si="11"/>
        <v>16.068156564676674</v>
      </c>
      <c r="H64" s="307">
        <f t="shared" ca="1" si="12"/>
        <v>85.78309033146229</v>
      </c>
      <c r="I64" s="304">
        <f t="shared" ca="1" si="13"/>
        <v>87.274992077930207</v>
      </c>
      <c r="J64" s="306">
        <f t="shared" ca="1" si="14"/>
        <v>4.5512994435965455</v>
      </c>
      <c r="K64" s="307">
        <f t="shared" ca="1" si="15"/>
        <v>24.976099023248302</v>
      </c>
      <c r="L64" s="304">
        <f t="shared" ca="1" si="0"/>
        <v>25.38739547579442</v>
      </c>
      <c r="M64" s="306">
        <f t="shared" ca="1" si="16"/>
        <v>1.3856305122110246</v>
      </c>
      <c r="N64" s="304">
        <f t="shared" ca="1" si="17"/>
        <v>79.390780314242193</v>
      </c>
      <c r="P64" s="310">
        <f t="shared" ca="1" si="18"/>
        <v>7</v>
      </c>
      <c r="Q64" s="304">
        <f t="shared" ca="1" si="19"/>
        <v>1318.0763750000001</v>
      </c>
      <c r="R64" s="306">
        <f t="shared" ca="1" si="20"/>
        <v>0.64774457612235237</v>
      </c>
      <c r="S64" s="307">
        <f t="shared" ca="1" si="21"/>
        <v>8.0523825632509407</v>
      </c>
      <c r="T64" s="304">
        <f t="shared" ca="1" si="1"/>
        <v>78.993872945491731</v>
      </c>
      <c r="U64" s="311">
        <f t="shared" ca="1" si="2"/>
        <v>0</v>
      </c>
      <c r="V64" s="306">
        <f t="shared" ca="1" si="3"/>
        <v>1.2219442439129831</v>
      </c>
      <c r="W64" s="304">
        <f t="shared" ca="1" si="4"/>
        <v>30.548846907668263</v>
      </c>
      <c r="Y64" s="314" t="str">
        <f t="shared" ca="1" si="22"/>
        <v/>
      </c>
      <c r="Z64" s="315" t="str">
        <f t="shared" ca="1" si="23"/>
        <v/>
      </c>
      <c r="AA64" s="316" t="str">
        <f t="shared" ca="1" si="24"/>
        <v/>
      </c>
      <c r="AC64" s="310" t="e">
        <f t="shared" ca="1" si="25"/>
        <v>#N/A</v>
      </c>
      <c r="AD64" s="323" t="e">
        <f t="shared" ca="1" si="26"/>
        <v>#N/A</v>
      </c>
      <c r="AE64" s="324">
        <f t="shared" ca="1" si="5"/>
        <v>24.976099023248302</v>
      </c>
      <c r="AG64" s="306">
        <f t="shared" ca="1" si="27"/>
        <v>150.38060585239344</v>
      </c>
      <c r="AH64" s="304">
        <f t="shared" ca="1" si="28"/>
        <v>160.02328427177392</v>
      </c>
    </row>
    <row r="65" spans="1:34" x14ac:dyDescent="0.2">
      <c r="A65" s="347">
        <f t="shared" ca="1" si="6"/>
        <v>0.01</v>
      </c>
      <c r="B65" s="304">
        <f t="shared" ca="1" si="7"/>
        <v>0.61000000000000032</v>
      </c>
      <c r="D65" s="306">
        <f t="shared" ca="1" si="8"/>
        <v>29.446068181776116</v>
      </c>
      <c r="E65" s="307">
        <f t="shared" ca="1" si="9"/>
        <v>147.39376613062493</v>
      </c>
      <c r="F65" s="304">
        <f t="shared" ca="1" si="10"/>
        <v>150.30633128892197</v>
      </c>
      <c r="G65" s="306">
        <f t="shared" ca="1" si="11"/>
        <v>16.362617246494434</v>
      </c>
      <c r="H65" s="307">
        <f t="shared" ca="1" si="12"/>
        <v>87.257027992768542</v>
      </c>
      <c r="I65" s="304">
        <f t="shared" ca="1" si="13"/>
        <v>88.777948710735984</v>
      </c>
      <c r="J65" s="306">
        <f t="shared" ca="1" si="14"/>
        <v>4.7134533126524012</v>
      </c>
      <c r="K65" s="307">
        <f t="shared" ca="1" si="15"/>
        <v>25.841299614869456</v>
      </c>
      <c r="L65" s="304">
        <f t="shared" ca="1" si="0"/>
        <v>26.267649455480523</v>
      </c>
      <c r="M65" s="306">
        <f t="shared" ca="1" si="16"/>
        <v>1.3854270704338429</v>
      </c>
      <c r="N65" s="304">
        <f t="shared" ca="1" si="17"/>
        <v>79.379123959033038</v>
      </c>
      <c r="P65" s="310">
        <f t="shared" ca="1" si="18"/>
        <v>7</v>
      </c>
      <c r="Q65" s="304">
        <f t="shared" ca="1" si="19"/>
        <v>1317.3936249999999</v>
      </c>
      <c r="R65" s="306">
        <f t="shared" ca="1" si="20"/>
        <v>0.64740905109684121</v>
      </c>
      <c r="S65" s="307">
        <f t="shared" ca="1" si="21"/>
        <v>8.0459084727399723</v>
      </c>
      <c r="T65" s="304">
        <f t="shared" ca="1" si="1"/>
        <v>78.930362117579136</v>
      </c>
      <c r="U65" s="311">
        <f t="shared" ca="1" si="2"/>
        <v>0</v>
      </c>
      <c r="V65" s="306">
        <f t="shared" ca="1" si="3"/>
        <v>1.2218385256275028</v>
      </c>
      <c r="W65" s="304">
        <f t="shared" ca="1" si="4"/>
        <v>31.607330878033729</v>
      </c>
      <c r="Y65" s="314" t="str">
        <f t="shared" ca="1" si="22"/>
        <v/>
      </c>
      <c r="Z65" s="315" t="str">
        <f t="shared" ca="1" si="23"/>
        <v/>
      </c>
      <c r="AA65" s="316" t="str">
        <f t="shared" ca="1" si="24"/>
        <v/>
      </c>
      <c r="AC65" s="310" t="e">
        <f t="shared" ca="1" si="25"/>
        <v>#N/A</v>
      </c>
      <c r="AD65" s="323" t="e">
        <f t="shared" ca="1" si="26"/>
        <v>#N/A</v>
      </c>
      <c r="AE65" s="324">
        <f t="shared" ca="1" si="5"/>
        <v>25.841299614869456</v>
      </c>
      <c r="AG65" s="306">
        <f t="shared" ca="1" si="27"/>
        <v>150.29547956102007</v>
      </c>
      <c r="AH65" s="304">
        <f t="shared" ca="1" si="28"/>
        <v>159.93778483215911</v>
      </c>
    </row>
    <row r="66" spans="1:34" x14ac:dyDescent="0.2">
      <c r="A66" s="347">
        <f t="shared" ca="1" si="6"/>
        <v>0.01</v>
      </c>
      <c r="B66" s="304">
        <f t="shared" ca="1" si="7"/>
        <v>0.62000000000000033</v>
      </c>
      <c r="D66" s="306">
        <f t="shared" ca="1" si="8"/>
        <v>29.461856553352774</v>
      </c>
      <c r="E66" s="307">
        <f t="shared" ca="1" si="9"/>
        <v>147.30142070169731</v>
      </c>
      <c r="F66" s="304">
        <f t="shared" ca="1" si="10"/>
        <v>150.21887209105503</v>
      </c>
      <c r="G66" s="306">
        <f t="shared" ca="1" si="11"/>
        <v>16.657235812027963</v>
      </c>
      <c r="H66" s="307">
        <f t="shared" ca="1" si="12"/>
        <v>88.730042199785515</v>
      </c>
      <c r="I66" s="304">
        <f t="shared" ca="1" si="13"/>
        <v>90.280030425743789</v>
      </c>
      <c r="J66" s="306">
        <f t="shared" ca="1" si="14"/>
        <v>4.8785525779450136</v>
      </c>
      <c r="K66" s="307">
        <f t="shared" ca="1" si="15"/>
        <v>26.721234965832227</v>
      </c>
      <c r="L66" s="304">
        <f t="shared" ca="1" si="0"/>
        <v>27.162928291238941</v>
      </c>
      <c r="M66" s="306">
        <f t="shared" ca="1" si="16"/>
        <v>1.385226796246134</v>
      </c>
      <c r="N66" s="304">
        <f t="shared" ca="1" si="17"/>
        <v>79.367649093331906</v>
      </c>
      <c r="P66" s="310">
        <f t="shared" ca="1" si="18"/>
        <v>7</v>
      </c>
      <c r="Q66" s="304">
        <f t="shared" ca="1" si="19"/>
        <v>1316.710875</v>
      </c>
      <c r="R66" s="306">
        <f t="shared" ca="1" si="20"/>
        <v>0.64707352607133006</v>
      </c>
      <c r="S66" s="307">
        <f t="shared" ca="1" si="21"/>
        <v>8.0394377374792594</v>
      </c>
      <c r="T66" s="304">
        <f t="shared" ca="1" si="1"/>
        <v>78.866884204671535</v>
      </c>
      <c r="U66" s="311">
        <f t="shared" ca="1" si="2"/>
        <v>0</v>
      </c>
      <c r="V66" s="306">
        <f t="shared" ca="1" si="3"/>
        <v>1.2217310162807886</v>
      </c>
      <c r="W66" s="304">
        <f t="shared" ca="1" si="4"/>
        <v>32.68306585746047</v>
      </c>
      <c r="Y66" s="314" t="str">
        <f t="shared" ca="1" si="22"/>
        <v/>
      </c>
      <c r="Z66" s="315" t="str">
        <f t="shared" ca="1" si="23"/>
        <v/>
      </c>
      <c r="AA66" s="316" t="str">
        <f t="shared" ca="1" si="24"/>
        <v/>
      </c>
      <c r="AC66" s="310" t="e">
        <f t="shared" ca="1" si="25"/>
        <v>#N/A</v>
      </c>
      <c r="AD66" s="323" t="e">
        <f t="shared" ca="1" si="26"/>
        <v>#N/A</v>
      </c>
      <c r="AE66" s="324">
        <f t="shared" ca="1" si="5"/>
        <v>26.721234965832227</v>
      </c>
      <c r="AG66" s="306">
        <f t="shared" ca="1" si="27"/>
        <v>150.2079904453073</v>
      </c>
      <c r="AH66" s="304">
        <f t="shared" ca="1" si="28"/>
        <v>159.84992807779446</v>
      </c>
    </row>
    <row r="67" spans="1:34" x14ac:dyDescent="0.2">
      <c r="A67" s="347">
        <f t="shared" ca="1" si="6"/>
        <v>0.01</v>
      </c>
      <c r="B67" s="304">
        <f t="shared" ca="1" si="7"/>
        <v>0.63000000000000034</v>
      </c>
      <c r="D67" s="306">
        <f t="shared" ca="1" si="8"/>
        <v>29.476676538975173</v>
      </c>
      <c r="E67" s="307">
        <f t="shared" ca="1" si="9"/>
        <v>147.20685337996491</v>
      </c>
      <c r="F67" s="304">
        <f t="shared" ca="1" si="10"/>
        <v>150.12905162497316</v>
      </c>
      <c r="G67" s="306">
        <f t="shared" ca="1" si="11"/>
        <v>16.952002577417716</v>
      </c>
      <c r="H67" s="307">
        <f t="shared" ca="1" si="12"/>
        <v>90.202110733585158</v>
      </c>
      <c r="I67" s="304">
        <f t="shared" ca="1" si="13"/>
        <v>91.781213612474843</v>
      </c>
      <c r="J67" s="306">
        <f t="shared" ca="1" si="14"/>
        <v>5.0465987698922419</v>
      </c>
      <c r="K67" s="307">
        <f t="shared" ca="1" si="15"/>
        <v>27.61589573049908</v>
      </c>
      <c r="L67" s="304">
        <f t="shared" ca="1" si="0"/>
        <v>28.073223116380408</v>
      </c>
      <c r="M67" s="306">
        <f t="shared" ca="1" si="16"/>
        <v>1.3850295873730603</v>
      </c>
      <c r="N67" s="304">
        <f t="shared" ca="1" si="17"/>
        <v>79.356349857222256</v>
      </c>
      <c r="P67" s="310">
        <f t="shared" ca="1" si="18"/>
        <v>7</v>
      </c>
      <c r="Q67" s="304">
        <f t="shared" ca="1" si="19"/>
        <v>1316.028125</v>
      </c>
      <c r="R67" s="306">
        <f t="shared" ca="1" si="20"/>
        <v>0.64673800104581891</v>
      </c>
      <c r="S67" s="307">
        <f t="shared" ca="1" si="21"/>
        <v>8.0329703574688018</v>
      </c>
      <c r="T67" s="304">
        <f t="shared" ca="1" si="1"/>
        <v>78.803439206768957</v>
      </c>
      <c r="U67" s="311">
        <f t="shared" ca="1" si="2"/>
        <v>0</v>
      </c>
      <c r="V67" s="306">
        <f t="shared" ca="1" si="3"/>
        <v>1.2216217174878943</v>
      </c>
      <c r="W67" s="304">
        <f t="shared" ca="1" si="4"/>
        <v>33.775993538032317</v>
      </c>
      <c r="Y67" s="314" t="str">
        <f t="shared" ca="1" si="22"/>
        <v/>
      </c>
      <c r="Z67" s="315" t="str">
        <f t="shared" ca="1" si="23"/>
        <v/>
      </c>
      <c r="AA67" s="316" t="str">
        <f t="shared" ca="1" si="24"/>
        <v/>
      </c>
      <c r="AC67" s="310" t="e">
        <f t="shared" ca="1" si="25"/>
        <v>#N/A</v>
      </c>
      <c r="AD67" s="323" t="e">
        <f t="shared" ca="1" si="26"/>
        <v>#N/A</v>
      </c>
      <c r="AE67" s="324">
        <f t="shared" ca="1" si="5"/>
        <v>27.61589573049908</v>
      </c>
      <c r="AG67" s="306">
        <f t="shared" ca="1" si="27"/>
        <v>150.11814019838761</v>
      </c>
      <c r="AH67" s="304">
        <f t="shared" ca="1" si="28"/>
        <v>159.75971552656435</v>
      </c>
    </row>
    <row r="68" spans="1:34" x14ac:dyDescent="0.2">
      <c r="A68" s="347">
        <f t="shared" ca="1" si="6"/>
        <v>0.01</v>
      </c>
      <c r="B68" s="304">
        <f t="shared" ca="1" si="7"/>
        <v>0.64000000000000035</v>
      </c>
      <c r="D68" s="306">
        <f t="shared" ca="1" si="8"/>
        <v>29.490544006713552</v>
      </c>
      <c r="E68" s="307">
        <f t="shared" ca="1" si="9"/>
        <v>147.11006321606246</v>
      </c>
      <c r="F68" s="304">
        <f t="shared" ca="1" si="10"/>
        <v>150.03687175239892</v>
      </c>
      <c r="G68" s="306">
        <f t="shared" ca="1" si="11"/>
        <v>17.246908017484852</v>
      </c>
      <c r="H68" s="307">
        <f t="shared" ca="1" si="12"/>
        <v>91.673211365745786</v>
      </c>
      <c r="I68" s="304">
        <f t="shared" ca="1" si="13"/>
        <v>93.28147467891084</v>
      </c>
      <c r="J68" s="306">
        <f t="shared" ca="1" si="14"/>
        <v>5.2175933228667546</v>
      </c>
      <c r="K68" s="307">
        <f t="shared" ca="1" si="15"/>
        <v>28.525272340995734</v>
      </c>
      <c r="L68" s="304">
        <f t="shared" ref="L68:L131" ca="1" si="29">SQRT(pos_x^2+pos_z^2)</f>
        <v>28.998524828183932</v>
      </c>
      <c r="M68" s="306">
        <f t="shared" ca="1" si="16"/>
        <v>1.38483534641091</v>
      </c>
      <c r="N68" s="304">
        <f t="shared" ca="1" si="17"/>
        <v>79.34522066988248</v>
      </c>
      <c r="P68" s="310">
        <f t="shared" ca="1" si="18"/>
        <v>7</v>
      </c>
      <c r="Q68" s="304">
        <f t="shared" ca="1" si="19"/>
        <v>1315.3453749999999</v>
      </c>
      <c r="R68" s="306">
        <f t="shared" ca="1" si="20"/>
        <v>0.64640247602030765</v>
      </c>
      <c r="S68" s="307">
        <f t="shared" ca="1" si="21"/>
        <v>8.0265063327085979</v>
      </c>
      <c r="T68" s="304">
        <f t="shared" ref="T68:T131" ca="1" si="30">m*g</f>
        <v>78.740027123871343</v>
      </c>
      <c r="U68" s="311">
        <f t="shared" ref="U68:U131" ca="1" si="31">IF(pos_xz&lt;L_rampe,Poids*COS(Beta),0)</f>
        <v>0</v>
      </c>
      <c r="V68" s="306">
        <f t="shared" ref="V68:V131" ca="1" si="32">Rho_moyen*(20000-Alt_rampe-pos_z)/(20000+Alt_rampe+pos_z)</f>
        <v>1.2215106308984243</v>
      </c>
      <c r="W68" s="304">
        <f t="shared" ref="W68:W131" ca="1" si="33">1/2*Rho*Sref*Cx*vit_xz^2</f>
        <v>34.886054378831005</v>
      </c>
      <c r="Y68" s="314" t="str">
        <f t="shared" ca="1" si="22"/>
        <v/>
      </c>
      <c r="Z68" s="315" t="str">
        <f t="shared" ca="1" si="23"/>
        <v/>
      </c>
      <c r="AA68" s="316" t="str">
        <f t="shared" ca="1" si="24"/>
        <v/>
      </c>
      <c r="AC68" s="310" t="e">
        <f t="shared" ca="1" si="25"/>
        <v>#N/A</v>
      </c>
      <c r="AD68" s="323" t="e">
        <f t="shared" ca="1" si="26"/>
        <v>#N/A</v>
      </c>
      <c r="AE68" s="324">
        <f t="shared" ref="AE68:AE131" ca="1" si="34">IF(t&lt;T_para, pos_z, NA())</f>
        <v>28.525272340995734</v>
      </c>
      <c r="AG68" s="306">
        <f t="shared" ca="1" si="27"/>
        <v>150.02593067019205</v>
      </c>
      <c r="AH68" s="304">
        <f t="shared" ca="1" si="28"/>
        <v>159.66714886145161</v>
      </c>
    </row>
    <row r="69" spans="1:34" x14ac:dyDescent="0.2">
      <c r="A69" s="347">
        <f t="shared" ref="A69:A132" ca="1" si="35">IF(B68+0.01&lt;=T_ini+ROUNDUP(Temps_fin_propu,0), 0.01, IF(K68&gt;0, 0.1, 0.0001))</f>
        <v>0.01</v>
      </c>
      <c r="B69" s="304">
        <f t="shared" ref="B69:B132" ca="1" si="36">B68+pas</f>
        <v>0.65000000000000036</v>
      </c>
      <c r="D69" s="306">
        <f t="shared" ref="D69:D132" ca="1" si="37">IF(AND(L68&lt;L_rampe,Poussee&lt;Poids*SIN(M68)),0,(-W68+Poussee)/m*COS(M68)-U68/m*SIN(M68))</f>
        <v>29.503474095256234</v>
      </c>
      <c r="E69" s="307">
        <f t="shared" ref="E69:E132" ca="1" si="38">IF(AND(L68&lt;L_rampe,Poussee&lt;Poids*SIN(M68)),0,(-W68+Poussee)/m*SIN(M68)+U68/m*COS(M68)-Poids/m)</f>
        <v>147.01104954790944</v>
      </c>
      <c r="F69" s="304">
        <f t="shared" ref="F69:F132" ca="1" si="39">SQRT(acc_x^2+acc_z^2)</f>
        <v>149.94233449185504</v>
      </c>
      <c r="G69" s="306">
        <f t="shared" ref="G69:G132" ca="1" si="40">G68+acc_x*pas</f>
        <v>17.541942758437415</v>
      </c>
      <c r="H69" s="307">
        <f t="shared" ref="H69:H132" ca="1" si="41">H68+acc_z*pas</f>
        <v>93.143321861224877</v>
      </c>
      <c r="I69" s="304">
        <f t="shared" ref="I69:I132" ca="1" si="42">SQRT(vit_x^2+vit_z^2)</f>
        <v>94.780790053069438</v>
      </c>
      <c r="J69" s="306">
        <f t="shared" ref="J69:J132" ca="1" si="43">J68+0.5*(vit_x+G68)*pas*(K68&gt;=0)</f>
        <v>5.3915375767463658</v>
      </c>
      <c r="K69" s="307">
        <f t="shared" ref="K69:K132" ca="1" si="44">K68+0.5*(vit_z+H68)*pas</f>
        <v>29.449355007130588</v>
      </c>
      <c r="L69" s="304">
        <f t="shared" ca="1" si="29"/>
        <v>29.938824088087955</v>
      </c>
      <c r="M69" s="306">
        <f t="shared" ref="M69:M132" ca="1" si="45">IF(AND(L68&gt;L_rampe,G69&gt;0),ATAN2(G69,H69),$M$4)</f>
        <v>1.3846439805209225</v>
      </c>
      <c r="N69" s="304">
        <f t="shared" ref="N69:N132" ca="1" si="46">DEGREES(Beta)</f>
        <v>79.334256212043428</v>
      </c>
      <c r="P69" s="310">
        <f t="shared" ref="P69:P132" ca="1" si="47">MATCH(t-pas/2-T_ini,CdP_t)</f>
        <v>7</v>
      </c>
      <c r="Q69" s="304">
        <f t="shared" ref="Q69:Q132" ca="1" si="48">(INDEX(CdP,2,i_P+1)-INDEX(CdP,2,i_P+0))/(INDEX(CdP,1,i_P+1)-INDEX(CdP,1,i_P+0))*(t-pas/2-T_ini-INDEX(CdP,1,i_P+0))+INDEX(CdP,2,i_P+0)</f>
        <v>1314.6626249999999</v>
      </c>
      <c r="R69" s="306">
        <f t="shared" ref="R69:R132" ca="1" si="49">Poussee/(g*ISP)</f>
        <v>0.6460669509947965</v>
      </c>
      <c r="S69" s="307">
        <f t="shared" ref="S69:S132" ca="1" si="50">S68-Débit*pas</f>
        <v>8.0200456631986494</v>
      </c>
      <c r="T69" s="304">
        <f t="shared" ca="1" si="30"/>
        <v>78.676647955978751</v>
      </c>
      <c r="U69" s="311">
        <f t="shared" ca="1" si="31"/>
        <v>0</v>
      </c>
      <c r="V69" s="306">
        <f t="shared" ca="1" si="32"/>
        <v>1.2213977581965112</v>
      </c>
      <c r="W69" s="304">
        <f t="shared" ca="1" si="33"/>
        <v>36.013187611583064</v>
      </c>
      <c r="Y69" s="314" t="str">
        <f t="shared" ref="Y69:Y132" ca="1" si="51">IF(AND(pos_z&lt;=0,K68&gt;0),"Impact balistique","") &amp; IF(AND(H70&lt;0,vit_z&gt;=0),"Apogée","") &amp; IF(AND(Poussee=0,Q68&gt;0),"Fin de propulsion","") &amp; IF(AND(L70&gt;L_rampe,pos_xz&lt;=L_rampe),"Sortie de rampe","")</f>
        <v/>
      </c>
      <c r="Z69" s="315" t="str">
        <f t="shared" ref="Z69:Z132" ca="1" si="52">IF(ABS(t-T_para)&lt;pas/2,"Para","")</f>
        <v/>
      </c>
      <c r="AA69" s="316" t="str">
        <f t="shared" ref="AA69:AA132" ca="1" si="53">IF(ABS(t-T_satellite)&lt;pas/2,"Satellite","")</f>
        <v/>
      </c>
      <c r="AC69" s="310" t="e">
        <f t="shared" ref="AC69:AC132" ca="1" si="54">IF(ABS(t-ROUND(t,0))&lt;0.001,t,NA())</f>
        <v>#N/A</v>
      </c>
      <c r="AD69" s="323" t="e">
        <f t="shared" ref="AD69:AD132" ca="1" si="55">IF(ABS(t-ROUND(t,0))&lt;0.001,pos_x,NA())</f>
        <v>#N/A</v>
      </c>
      <c r="AE69" s="324">
        <f t="shared" ca="1" si="34"/>
        <v>29.449355007130588</v>
      </c>
      <c r="AG69" s="306">
        <f t="shared" ref="AG69:AG132" ca="1" si="56">IF(AND(L68&lt;L_rampe,Poussee&lt;Poids*SIN(M68)),0,(-W68+Poussee)/m-Poids*SIN(M68)/m)</f>
        <v>149.93136386795015</v>
      </c>
      <c r="AH69" s="304">
        <f t="shared" ref="AH69:AH132" ca="1" si="57">IF(AND(L68&lt;L_rampe,Poussee&lt;Poids*SIN(M68)), g*SIN(M68), (-W68+Poussee)/m)</f>
        <v>159.57222993051556</v>
      </c>
    </row>
    <row r="70" spans="1:34" x14ac:dyDescent="0.2">
      <c r="A70" s="347">
        <f t="shared" ca="1" si="35"/>
        <v>0.01</v>
      </c>
      <c r="B70" s="304">
        <f t="shared" ca="1" si="36"/>
        <v>0.66000000000000036</v>
      </c>
      <c r="D70" s="306">
        <f t="shared" ca="1" si="37"/>
        <v>29.515481262171821</v>
      </c>
      <c r="E70" s="307">
        <f t="shared" ca="1" si="38"/>
        <v>146.90981199283715</v>
      </c>
      <c r="F70" s="304">
        <f t="shared" ca="1" si="39"/>
        <v>149.84544201912973</v>
      </c>
      <c r="G70" s="306">
        <f t="shared" ca="1" si="40"/>
        <v>17.837097571059132</v>
      </c>
      <c r="H70" s="307">
        <f t="shared" ca="1" si="41"/>
        <v>94.612419981153252</v>
      </c>
      <c r="I70" s="304">
        <f t="shared" ca="1" si="42"/>
        <v>96.279136184583678</v>
      </c>
      <c r="J70" s="306">
        <f t="shared" ca="1" si="43"/>
        <v>5.5684327783938485</v>
      </c>
      <c r="K70" s="307">
        <f t="shared" ca="1" si="44"/>
        <v>30.38813371634248</v>
      </c>
      <c r="L70" s="304">
        <f t="shared" ca="1" si="29"/>
        <v>30.894111321897604</v>
      </c>
      <c r="M70" s="306">
        <f t="shared" ca="1" si="45"/>
        <v>1.3844554011468695</v>
      </c>
      <c r="N70" s="304">
        <f t="shared" ca="1" si="46"/>
        <v>79.323451409806978</v>
      </c>
      <c r="P70" s="310">
        <f t="shared" ca="1" si="47"/>
        <v>7</v>
      </c>
      <c r="Q70" s="304">
        <f t="shared" ca="1" si="48"/>
        <v>1313.979875</v>
      </c>
      <c r="R70" s="306">
        <f t="shared" ca="1" si="49"/>
        <v>0.64573142596928534</v>
      </c>
      <c r="S70" s="307">
        <f t="shared" ca="1" si="50"/>
        <v>8.0135883489389563</v>
      </c>
      <c r="T70" s="304">
        <f t="shared" ca="1" si="30"/>
        <v>78.613301703091167</v>
      </c>
      <c r="U70" s="311">
        <f t="shared" ca="1" si="31"/>
        <v>0</v>
      </c>
      <c r="V70" s="306">
        <f t="shared" ca="1" si="32"/>
        <v>1.2212831011007859</v>
      </c>
      <c r="W70" s="304">
        <f t="shared" ca="1" si="33"/>
        <v>37.157331246493392</v>
      </c>
      <c r="Y70" s="314" t="str">
        <f t="shared" ca="1" si="51"/>
        <v/>
      </c>
      <c r="Z70" s="315" t="str">
        <f t="shared" ca="1" si="52"/>
        <v/>
      </c>
      <c r="AA70" s="316" t="str">
        <f t="shared" ca="1" si="53"/>
        <v/>
      </c>
      <c r="AC70" s="310" t="e">
        <f t="shared" ca="1" si="54"/>
        <v>#N/A</v>
      </c>
      <c r="AD70" s="323" t="e">
        <f t="shared" ca="1" si="55"/>
        <v>#N/A</v>
      </c>
      <c r="AE70" s="324">
        <f t="shared" ca="1" si="34"/>
        <v>30.38813371634248</v>
      </c>
      <c r="AG70" s="306">
        <f t="shared" ca="1" si="56"/>
        <v>149.8344419566242</v>
      </c>
      <c r="AH70" s="304">
        <f t="shared" ca="1" si="57"/>
        <v>159.47496074684528</v>
      </c>
    </row>
    <row r="71" spans="1:34" x14ac:dyDescent="0.2">
      <c r="A71" s="347">
        <f t="shared" ca="1" si="35"/>
        <v>0.01</v>
      </c>
      <c r="B71" s="304">
        <f t="shared" ca="1" si="36"/>
        <v>0.67000000000000037</v>
      </c>
      <c r="D71" s="306">
        <f t="shared" ca="1" si="37"/>
        <v>29.526579328413465</v>
      </c>
      <c r="E71" s="307">
        <f t="shared" ca="1" si="38"/>
        <v>146.8063504402929</v>
      </c>
      <c r="F71" s="304">
        <f t="shared" ca="1" si="39"/>
        <v>149.74619666767893</v>
      </c>
      <c r="G71" s="306">
        <f t="shared" ca="1" si="40"/>
        <v>18.132363364343266</v>
      </c>
      <c r="H71" s="307">
        <f t="shared" ca="1" si="41"/>
        <v>96.080483485556186</v>
      </c>
      <c r="I71" s="304">
        <f t="shared" ca="1" si="42"/>
        <v>97.776489546285163</v>
      </c>
      <c r="J71" s="306">
        <f t="shared" ca="1" si="43"/>
        <v>5.7482800830708607</v>
      </c>
      <c r="K71" s="307">
        <f t="shared" ca="1" si="44"/>
        <v>31.341598233676027</v>
      </c>
      <c r="L71" s="304">
        <f t="shared" ca="1" si="29"/>
        <v>31.864376720008089</v>
      </c>
      <c r="M71" s="306">
        <f t="shared" ca="1" si="45"/>
        <v>1.3842695237542111</v>
      </c>
      <c r="N71" s="304">
        <f t="shared" ca="1" si="46"/>
        <v>79.312801419700747</v>
      </c>
      <c r="P71" s="310">
        <f t="shared" ca="1" si="47"/>
        <v>7</v>
      </c>
      <c r="Q71" s="304">
        <f t="shared" ca="1" si="48"/>
        <v>1313.2971250000001</v>
      </c>
      <c r="R71" s="306">
        <f t="shared" ca="1" si="49"/>
        <v>0.6453959009437743</v>
      </c>
      <c r="S71" s="307">
        <f t="shared" ca="1" si="50"/>
        <v>8.0071343899295186</v>
      </c>
      <c r="T71" s="304">
        <f t="shared" ca="1" si="30"/>
        <v>78.549988365208577</v>
      </c>
      <c r="U71" s="311">
        <f t="shared" ca="1" si="31"/>
        <v>0</v>
      </c>
      <c r="V71" s="306">
        <f t="shared" ca="1" si="32"/>
        <v>1.2211666613643453</v>
      </c>
      <c r="W71" s="304">
        <f t="shared" ca="1" si="33"/>
        <v>38.31842207826508</v>
      </c>
      <c r="Y71" s="314" t="str">
        <f t="shared" ca="1" si="51"/>
        <v/>
      </c>
      <c r="Z71" s="315" t="str">
        <f t="shared" ca="1" si="52"/>
        <v/>
      </c>
      <c r="AA71" s="316" t="str">
        <f t="shared" ca="1" si="53"/>
        <v/>
      </c>
      <c r="AC71" s="310" t="e">
        <f t="shared" ca="1" si="54"/>
        <v>#N/A</v>
      </c>
      <c r="AD71" s="323" t="e">
        <f t="shared" ca="1" si="55"/>
        <v>#N/A</v>
      </c>
      <c r="AE71" s="324">
        <f t="shared" ca="1" si="34"/>
        <v>31.341598233676027</v>
      </c>
      <c r="AG71" s="306">
        <f t="shared" ca="1" si="56"/>
        <v>149.73516725928258</v>
      </c>
      <c r="AH71" s="304">
        <f t="shared" ca="1" si="57"/>
        <v>159.3753434884886</v>
      </c>
    </row>
    <row r="72" spans="1:34" x14ac:dyDescent="0.2">
      <c r="A72" s="347">
        <f t="shared" ca="1" si="35"/>
        <v>0.01</v>
      </c>
      <c r="B72" s="304">
        <f t="shared" ca="1" si="36"/>
        <v>0.68000000000000038</v>
      </c>
      <c r="D72" s="306">
        <f t="shared" ca="1" si="37"/>
        <v>29.536781519409924</v>
      </c>
      <c r="E72" s="307">
        <f t="shared" ca="1" si="38"/>
        <v>146.70066504506556</v>
      </c>
      <c r="F72" s="304">
        <f t="shared" ca="1" si="39"/>
        <v>149.64460092896729</v>
      </c>
      <c r="G72" s="306">
        <f t="shared" ca="1" si="40"/>
        <v>18.427731179537364</v>
      </c>
      <c r="H72" s="307">
        <f t="shared" ca="1" si="41"/>
        <v>97.547490136006843</v>
      </c>
      <c r="I72" s="304">
        <f t="shared" ca="1" si="42"/>
        <v>99.272826635790153</v>
      </c>
      <c r="J72" s="306">
        <f t="shared" ca="1" si="43"/>
        <v>5.9310805557902642</v>
      </c>
      <c r="K72" s="307">
        <f t="shared" ca="1" si="44"/>
        <v>32.309738101783843</v>
      </c>
      <c r="L72" s="304">
        <f t="shared" ca="1" si="29"/>
        <v>32.849610237644164</v>
      </c>
      <c r="M72" s="306">
        <f t="shared" ca="1" si="45"/>
        <v>1.3840862675888737</v>
      </c>
      <c r="N72" s="304">
        <f t="shared" ca="1" si="46"/>
        <v>79.302301614857171</v>
      </c>
      <c r="P72" s="310">
        <f t="shared" ca="1" si="47"/>
        <v>7</v>
      </c>
      <c r="Q72" s="304">
        <f t="shared" ca="1" si="48"/>
        <v>1312.6143749999999</v>
      </c>
      <c r="R72" s="306">
        <f t="shared" ca="1" si="49"/>
        <v>0.64506037591826304</v>
      </c>
      <c r="S72" s="307">
        <f t="shared" ca="1" si="50"/>
        <v>8.0006837861703364</v>
      </c>
      <c r="T72" s="304">
        <f t="shared" ca="1" si="30"/>
        <v>78.486707942331009</v>
      </c>
      <c r="U72" s="311">
        <f t="shared" ca="1" si="31"/>
        <v>0</v>
      </c>
      <c r="V72" s="306">
        <f t="shared" ca="1" si="32"/>
        <v>1.2210484407747149</v>
      </c>
      <c r="W72" s="304">
        <f t="shared" ca="1" si="33"/>
        <v>39.496395692304461</v>
      </c>
      <c r="Y72" s="314" t="str">
        <f t="shared" ca="1" si="51"/>
        <v/>
      </c>
      <c r="Z72" s="315" t="str">
        <f t="shared" ca="1" si="52"/>
        <v/>
      </c>
      <c r="AA72" s="316" t="str">
        <f t="shared" ca="1" si="53"/>
        <v/>
      </c>
      <c r="AC72" s="310" t="e">
        <f t="shared" ca="1" si="54"/>
        <v>#N/A</v>
      </c>
      <c r="AD72" s="323" t="e">
        <f t="shared" ca="1" si="55"/>
        <v>#N/A</v>
      </c>
      <c r="AE72" s="324">
        <f t="shared" ca="1" si="34"/>
        <v>32.309738101783843</v>
      </c>
      <c r="AG72" s="306">
        <f t="shared" ca="1" si="56"/>
        <v>149.63354225741432</v>
      </c>
      <c r="AH72" s="304">
        <f t="shared" ca="1" si="57"/>
        <v>159.27338049835592</v>
      </c>
    </row>
    <row r="73" spans="1:34" x14ac:dyDescent="0.2">
      <c r="A73" s="347">
        <f t="shared" ca="1" si="35"/>
        <v>0.01</v>
      </c>
      <c r="B73" s="304">
        <f t="shared" ca="1" si="36"/>
        <v>0.69000000000000039</v>
      </c>
      <c r="D73" s="306">
        <f t="shared" ca="1" si="37"/>
        <v>29.54610050305298</v>
      </c>
      <c r="E73" s="307">
        <f t="shared" ca="1" si="38"/>
        <v>146.59275622098494</v>
      </c>
      <c r="F73" s="304">
        <f t="shared" ca="1" si="39"/>
        <v>149.54065745275304</v>
      </c>
      <c r="G73" s="306">
        <f t="shared" ca="1" si="40"/>
        <v>18.723192184567893</v>
      </c>
      <c r="H73" s="307">
        <f t="shared" ca="1" si="41"/>
        <v>99.013417698216699</v>
      </c>
      <c r="I73" s="304">
        <f t="shared" ca="1" si="42"/>
        <v>100.76812397708809</v>
      </c>
      <c r="J73" s="306">
        <f t="shared" ca="1" si="43"/>
        <v>6.1168351726107906</v>
      </c>
      <c r="K73" s="307">
        <f t="shared" ca="1" si="44"/>
        <v>33.292542640954963</v>
      </c>
      <c r="L73" s="304">
        <f t="shared" ca="1" si="29"/>
        <v>33.849801595115636</v>
      </c>
      <c r="M73" s="306">
        <f t="shared" ca="1" si="45"/>
        <v>1.383905555453901</v>
      </c>
      <c r="N73" s="304">
        <f t="shared" ca="1" si="46"/>
        <v>79.291947572216429</v>
      </c>
      <c r="P73" s="310">
        <f t="shared" ca="1" si="47"/>
        <v>7</v>
      </c>
      <c r="Q73" s="304">
        <f t="shared" ca="1" si="48"/>
        <v>1311.9316249999999</v>
      </c>
      <c r="R73" s="306">
        <f t="shared" ca="1" si="49"/>
        <v>0.64472485089275189</v>
      </c>
      <c r="S73" s="307">
        <f t="shared" ca="1" si="50"/>
        <v>7.9942365376614086</v>
      </c>
      <c r="T73" s="304">
        <f t="shared" ca="1" si="30"/>
        <v>78.42346043445842</v>
      </c>
      <c r="U73" s="311">
        <f t="shared" ca="1" si="31"/>
        <v>0</v>
      </c>
      <c r="V73" s="306">
        <f t="shared" ca="1" si="32"/>
        <v>1.2209284411538082</v>
      </c>
      <c r="W73" s="304">
        <f t="shared" ca="1" si="33"/>
        <v>40.691186471110228</v>
      </c>
      <c r="Y73" s="314" t="str">
        <f t="shared" ca="1" si="51"/>
        <v/>
      </c>
      <c r="Z73" s="315" t="str">
        <f t="shared" ca="1" si="52"/>
        <v/>
      </c>
      <c r="AA73" s="316" t="str">
        <f t="shared" ca="1" si="53"/>
        <v/>
      </c>
      <c r="AC73" s="310" t="e">
        <f t="shared" ca="1" si="54"/>
        <v>#N/A</v>
      </c>
      <c r="AD73" s="323" t="e">
        <f t="shared" ca="1" si="55"/>
        <v>#N/A</v>
      </c>
      <c r="AE73" s="324">
        <f t="shared" ca="1" si="34"/>
        <v>33.292542640954963</v>
      </c>
      <c r="AG73" s="306">
        <f t="shared" ca="1" si="56"/>
        <v>149.52956959118913</v>
      </c>
      <c r="AH73" s="304">
        <f t="shared" ca="1" si="57"/>
        <v>159.16907428410002</v>
      </c>
    </row>
    <row r="74" spans="1:34" x14ac:dyDescent="0.2">
      <c r="A74" s="347">
        <f t="shared" ca="1" si="35"/>
        <v>0.01</v>
      </c>
      <c r="B74" s="304">
        <f t="shared" ca="1" si="36"/>
        <v>0.7000000000000004</v>
      </c>
      <c r="D74" s="306">
        <f t="shared" ca="1" si="37"/>
        <v>29.554548424857227</v>
      </c>
      <c r="E74" s="307">
        <f t="shared" ca="1" si="38"/>
        <v>146.48262463504938</v>
      </c>
      <c r="F74" s="304">
        <f t="shared" ca="1" si="39"/>
        <v>149.43436904731792</v>
      </c>
      <c r="G74" s="306">
        <f t="shared" ca="1" si="40"/>
        <v>19.018737668816463</v>
      </c>
      <c r="H74" s="307">
        <f t="shared" ca="1" si="41"/>
        <v>100.4782439445672</v>
      </c>
      <c r="I74" s="304">
        <f t="shared" ca="1" si="42"/>
        <v>102.26235812213217</v>
      </c>
      <c r="J74" s="306">
        <f t="shared" ca="1" si="43"/>
        <v>6.3055448218777119</v>
      </c>
      <c r="K74" s="307">
        <f t="shared" ca="1" si="44"/>
        <v>34.290000949168885</v>
      </c>
      <c r="L74" s="304">
        <f t="shared" ca="1" si="29"/>
        <v>34.864940278088987</v>
      </c>
      <c r="M74" s="306">
        <f t="shared" ca="1" si="45"/>
        <v>1.38372731350241</v>
      </c>
      <c r="N74" s="304">
        <f t="shared" ca="1" si="46"/>
        <v>79.28173506066382</v>
      </c>
      <c r="P74" s="310">
        <f t="shared" ca="1" si="47"/>
        <v>7</v>
      </c>
      <c r="Q74" s="304">
        <f t="shared" ca="1" si="48"/>
        <v>1311.248875</v>
      </c>
      <c r="R74" s="306">
        <f t="shared" ca="1" si="49"/>
        <v>0.64438932586724074</v>
      </c>
      <c r="S74" s="307">
        <f t="shared" ca="1" si="50"/>
        <v>7.9877926444027363</v>
      </c>
      <c r="T74" s="304">
        <f t="shared" ca="1" si="30"/>
        <v>78.360245841590853</v>
      </c>
      <c r="U74" s="311">
        <f t="shared" ca="1" si="31"/>
        <v>0</v>
      </c>
      <c r="V74" s="306">
        <f t="shared" ca="1" si="32"/>
        <v>1.2208066643578845</v>
      </c>
      <c r="W74" s="304">
        <f t="shared" ca="1" si="33"/>
        <v>41.9027276008459</v>
      </c>
      <c r="Y74" s="314" t="str">
        <f t="shared" ca="1" si="51"/>
        <v/>
      </c>
      <c r="Z74" s="315" t="str">
        <f t="shared" ca="1" si="52"/>
        <v/>
      </c>
      <c r="AA74" s="316" t="str">
        <f t="shared" ca="1" si="53"/>
        <v/>
      </c>
      <c r="AC74" s="310" t="e">
        <f t="shared" ca="1" si="54"/>
        <v>#N/A</v>
      </c>
      <c r="AD74" s="323" t="e">
        <f t="shared" ca="1" si="55"/>
        <v>#N/A</v>
      </c>
      <c r="AE74" s="324">
        <f t="shared" ca="1" si="34"/>
        <v>34.290000949168885</v>
      </c>
      <c r="AG74" s="306">
        <f t="shared" ca="1" si="56"/>
        <v>149.42325205966446</v>
      </c>
      <c r="AH74" s="304">
        <f t="shared" ca="1" si="57"/>
        <v>159.06242751797069</v>
      </c>
    </row>
    <row r="75" spans="1:34" x14ac:dyDescent="0.2">
      <c r="A75" s="347">
        <f t="shared" ca="1" si="35"/>
        <v>0.01</v>
      </c>
      <c r="B75" s="304">
        <f t="shared" ca="1" si="36"/>
        <v>0.71000000000000041</v>
      </c>
      <c r="D75" s="306">
        <f t="shared" ca="1" si="37"/>
        <v>29.562136940540892</v>
      </c>
      <c r="E75" s="307">
        <f t="shared" ca="1" si="38"/>
        <v>146.37027120194332</v>
      </c>
      <c r="F75" s="304">
        <f t="shared" ca="1" si="39"/>
        <v>149.32573867964535</v>
      </c>
      <c r="G75" s="306">
        <f t="shared" ca="1" si="40"/>
        <v>19.314359038221873</v>
      </c>
      <c r="H75" s="307">
        <f t="shared" ca="1" si="41"/>
        <v>101.94194665658662</v>
      </c>
      <c r="I75" s="304">
        <f t="shared" ca="1" si="42"/>
        <v>103.75550565243125</v>
      </c>
      <c r="J75" s="306">
        <f t="shared" ca="1" si="43"/>
        <v>6.4972103054129038</v>
      </c>
      <c r="K75" s="307">
        <f t="shared" ca="1" si="44"/>
        <v>35.302101902174655</v>
      </c>
      <c r="L75" s="304">
        <f t="shared" ca="1" si="29"/>
        <v>35.89501553787499</v>
      </c>
      <c r="M75" s="306">
        <f t="shared" ca="1" si="45"/>
        <v>1.3835514710454397</v>
      </c>
      <c r="N75" s="304">
        <f t="shared" ca="1" si="46"/>
        <v>79.271660030020215</v>
      </c>
      <c r="P75" s="310">
        <f t="shared" ca="1" si="47"/>
        <v>7</v>
      </c>
      <c r="Q75" s="304">
        <f t="shared" ca="1" si="48"/>
        <v>1310.5661249999998</v>
      </c>
      <c r="R75" s="306">
        <f t="shared" ca="1" si="49"/>
        <v>0.64405380084172947</v>
      </c>
      <c r="S75" s="307">
        <f t="shared" ca="1" si="50"/>
        <v>7.9813521063943194</v>
      </c>
      <c r="T75" s="304">
        <f t="shared" ca="1" si="30"/>
        <v>78.29706416372828</v>
      </c>
      <c r="U75" s="311">
        <f t="shared" ca="1" si="31"/>
        <v>0</v>
      </c>
      <c r="V75" s="306">
        <f t="shared" ca="1" si="32"/>
        <v>1.2206831122774975</v>
      </c>
      <c r="W75" s="304">
        <f t="shared" ca="1" si="33"/>
        <v>43.130951078094149</v>
      </c>
      <c r="Y75" s="314" t="str">
        <f t="shared" ca="1" si="51"/>
        <v/>
      </c>
      <c r="Z75" s="315" t="str">
        <f t="shared" ca="1" si="52"/>
        <v/>
      </c>
      <c r="AA75" s="316" t="str">
        <f t="shared" ca="1" si="53"/>
        <v/>
      </c>
      <c r="AC75" s="310" t="e">
        <f t="shared" ca="1" si="54"/>
        <v>#N/A</v>
      </c>
      <c r="AD75" s="323" t="e">
        <f t="shared" ca="1" si="55"/>
        <v>#N/A</v>
      </c>
      <c r="AE75" s="324">
        <f t="shared" ca="1" si="34"/>
        <v>35.302101902174655</v>
      </c>
      <c r="AG75" s="306">
        <f t="shared" ca="1" si="56"/>
        <v>149.31459262094251</v>
      </c>
      <c r="AH75" s="304">
        <f t="shared" ca="1" si="57"/>
        <v>158.95344303664473</v>
      </c>
    </row>
    <row r="76" spans="1:34" x14ac:dyDescent="0.2">
      <c r="A76" s="347">
        <f t="shared" ca="1" si="35"/>
        <v>0.01</v>
      </c>
      <c r="B76" s="304">
        <f t="shared" ca="1" si="36"/>
        <v>0.72000000000000042</v>
      </c>
      <c r="D76" s="306">
        <f t="shared" ca="1" si="37"/>
        <v>29.568877246250469</v>
      </c>
      <c r="E76" s="307">
        <f t="shared" ca="1" si="38"/>
        <v>146.25569707890907</v>
      </c>
      <c r="F76" s="304">
        <f t="shared" ca="1" si="39"/>
        <v>149.2147694755497</v>
      </c>
      <c r="G76" s="306">
        <f t="shared" ca="1" si="40"/>
        <v>19.610047810684378</v>
      </c>
      <c r="H76" s="307">
        <f t="shared" ca="1" si="41"/>
        <v>103.40450362737572</v>
      </c>
      <c r="I76" s="304">
        <f t="shared" ca="1" si="42"/>
        <v>105.24754318064286</v>
      </c>
      <c r="J76" s="306">
        <f t="shared" ca="1" si="43"/>
        <v>6.6918323396574353</v>
      </c>
      <c r="K76" s="307">
        <f t="shared" ca="1" si="44"/>
        <v>36.328834153594464</v>
      </c>
      <c r="L76" s="304">
        <f t="shared" ca="1" si="29"/>
        <v>36.940016391732378</v>
      </c>
      <c r="M76" s="306">
        <f t="shared" ca="1" si="45"/>
        <v>1.3833779603734271</v>
      </c>
      <c r="N76" s="304">
        <f t="shared" ca="1" si="46"/>
        <v>79.26171860081341</v>
      </c>
      <c r="P76" s="310">
        <f t="shared" ca="1" si="47"/>
        <v>7</v>
      </c>
      <c r="Q76" s="304">
        <f t="shared" ca="1" si="48"/>
        <v>1309.8833749999999</v>
      </c>
      <c r="R76" s="306">
        <f t="shared" ca="1" si="49"/>
        <v>0.64371827581621832</v>
      </c>
      <c r="S76" s="307">
        <f t="shared" ca="1" si="50"/>
        <v>7.9749149236361569</v>
      </c>
      <c r="T76" s="304">
        <f t="shared" ca="1" si="30"/>
        <v>78.2339154008707</v>
      </c>
      <c r="U76" s="311">
        <f t="shared" ca="1" si="31"/>
        <v>0</v>
      </c>
      <c r="V76" s="306">
        <f t="shared" ca="1" si="32"/>
        <v>1.2205577868374475</v>
      </c>
      <c r="W76" s="304">
        <f t="shared" ca="1" si="33"/>
        <v>44.375787716792239</v>
      </c>
      <c r="Y76" s="314" t="str">
        <f t="shared" ca="1" si="51"/>
        <v/>
      </c>
      <c r="Z76" s="315" t="str">
        <f t="shared" ca="1" si="52"/>
        <v/>
      </c>
      <c r="AA76" s="316" t="str">
        <f t="shared" ca="1" si="53"/>
        <v/>
      </c>
      <c r="AC76" s="310" t="e">
        <f t="shared" ca="1" si="54"/>
        <v>#N/A</v>
      </c>
      <c r="AD76" s="323" t="e">
        <f t="shared" ca="1" si="55"/>
        <v>#N/A</v>
      </c>
      <c r="AE76" s="324">
        <f t="shared" ca="1" si="34"/>
        <v>36.328834153594464</v>
      </c>
      <c r="AG76" s="306">
        <f t="shared" ca="1" si="56"/>
        <v>149.20359439227963</v>
      </c>
      <c r="AH76" s="304">
        <f t="shared" ca="1" si="57"/>
        <v>158.84212384103165</v>
      </c>
    </row>
    <row r="77" spans="1:34" x14ac:dyDescent="0.2">
      <c r="A77" s="347">
        <f t="shared" ca="1" si="35"/>
        <v>0.01</v>
      </c>
      <c r="B77" s="304">
        <f t="shared" ca="1" si="36"/>
        <v>0.73000000000000043</v>
      </c>
      <c r="D77" s="306">
        <f t="shared" ca="1" si="37"/>
        <v>29.574780106629895</v>
      </c>
      <c r="E77" s="307">
        <f t="shared" ca="1" si="38"/>
        <v>146.13890366094026</v>
      </c>
      <c r="F77" s="304">
        <f t="shared" ca="1" si="39"/>
        <v>149.1014647197575</v>
      </c>
      <c r="G77" s="306">
        <f t="shared" ca="1" si="40"/>
        <v>19.905795611750676</v>
      </c>
      <c r="H77" s="307">
        <f t="shared" ca="1" si="41"/>
        <v>104.86589266398512</v>
      </c>
      <c r="I77" s="304">
        <f t="shared" ca="1" si="42"/>
        <v>106.7384473521666</v>
      </c>
      <c r="J77" s="306">
        <f t="shared" ca="1" si="43"/>
        <v>6.8894115567696108</v>
      </c>
      <c r="K77" s="307">
        <f t="shared" ca="1" si="44"/>
        <v>37.37018613505127</v>
      </c>
      <c r="L77" s="304">
        <f t="shared" ca="1" si="29"/>
        <v>37.999931623187543</v>
      </c>
      <c r="M77" s="306">
        <f t="shared" ca="1" si="45"/>
        <v>1.3832067165901576</v>
      </c>
      <c r="N77" s="304">
        <f t="shared" ca="1" si="46"/>
        <v>79.251907054764217</v>
      </c>
      <c r="P77" s="310">
        <f t="shared" ca="1" si="47"/>
        <v>7</v>
      </c>
      <c r="Q77" s="304">
        <f t="shared" ca="1" si="48"/>
        <v>1309.2006249999999</v>
      </c>
      <c r="R77" s="306">
        <f t="shared" ca="1" si="49"/>
        <v>0.64338275079070717</v>
      </c>
      <c r="S77" s="307">
        <f t="shared" ca="1" si="50"/>
        <v>7.96848109612825</v>
      </c>
      <c r="T77" s="304">
        <f t="shared" ca="1" si="30"/>
        <v>78.170799553018142</v>
      </c>
      <c r="U77" s="311">
        <f t="shared" ca="1" si="31"/>
        <v>0</v>
      </c>
      <c r="V77" s="306">
        <f t="shared" ca="1" si="32"/>
        <v>1.2204306899967228</v>
      </c>
      <c r="W77" s="304">
        <f t="shared" ca="1" si="33"/>
        <v>45.637167155346866</v>
      </c>
      <c r="Y77" s="314" t="str">
        <f t="shared" ca="1" si="51"/>
        <v/>
      </c>
      <c r="Z77" s="315" t="str">
        <f t="shared" ca="1" si="52"/>
        <v/>
      </c>
      <c r="AA77" s="316" t="str">
        <f t="shared" ca="1" si="53"/>
        <v/>
      </c>
      <c r="AC77" s="310" t="e">
        <f t="shared" ca="1" si="54"/>
        <v>#N/A</v>
      </c>
      <c r="AD77" s="323" t="e">
        <f t="shared" ca="1" si="55"/>
        <v>#N/A</v>
      </c>
      <c r="AE77" s="324">
        <f t="shared" ca="1" si="34"/>
        <v>37.37018613505127</v>
      </c>
      <c r="AG77" s="306">
        <f t="shared" ca="1" si="56"/>
        <v>149.09026065014936</v>
      </c>
      <c r="AH77" s="304">
        <f t="shared" ca="1" si="57"/>
        <v>158.72847309605399</v>
      </c>
    </row>
    <row r="78" spans="1:34" x14ac:dyDescent="0.2">
      <c r="A78" s="347">
        <f t="shared" ca="1" si="35"/>
        <v>0.01</v>
      </c>
      <c r="B78" s="304">
        <f t="shared" ca="1" si="36"/>
        <v>0.74000000000000044</v>
      </c>
      <c r="D78" s="306">
        <f t="shared" ca="1" si="37"/>
        <v>29.579855880915936</v>
      </c>
      <c r="E78" s="307">
        <f t="shared" ca="1" si="38"/>
        <v>146.01989257626929</v>
      </c>
      <c r="F78" s="304">
        <f t="shared" ca="1" si="39"/>
        <v>148.985827855944</v>
      </c>
      <c r="G78" s="306">
        <f t="shared" ca="1" si="40"/>
        <v>20.201594170559837</v>
      </c>
      <c r="H78" s="307">
        <f t="shared" ca="1" si="41"/>
        <v>106.32609158974782</v>
      </c>
      <c r="I78" s="304">
        <f t="shared" ca="1" si="42"/>
        <v>108.22819484673778</v>
      </c>
      <c r="J78" s="306">
        <f t="shared" ca="1" si="43"/>
        <v>7.0899485056811633</v>
      </c>
      <c r="K78" s="307">
        <f t="shared" ca="1" si="44"/>
        <v>38.426146056319936</v>
      </c>
      <c r="L78" s="304">
        <f t="shared" ca="1" si="29"/>
        <v>39.074749782370233</v>
      </c>
      <c r="M78" s="306">
        <f t="shared" ca="1" si="45"/>
        <v>1.383037677458163</v>
      </c>
      <c r="N78" s="304">
        <f t="shared" ca="1" si="46"/>
        <v>79.242221825928368</v>
      </c>
      <c r="P78" s="310">
        <f t="shared" ca="1" si="47"/>
        <v>7</v>
      </c>
      <c r="Q78" s="304">
        <f t="shared" ca="1" si="48"/>
        <v>1308.517875</v>
      </c>
      <c r="R78" s="306">
        <f t="shared" ca="1" si="49"/>
        <v>0.64304722576519613</v>
      </c>
      <c r="S78" s="307">
        <f t="shared" ca="1" si="50"/>
        <v>7.9620506238705984</v>
      </c>
      <c r="T78" s="304">
        <f t="shared" ca="1" si="30"/>
        <v>78.107716620170578</v>
      </c>
      <c r="U78" s="311">
        <f t="shared" ca="1" si="31"/>
        <v>0</v>
      </c>
      <c r="V78" s="306">
        <f t="shared" ca="1" si="32"/>
        <v>1.2203018237484426</v>
      </c>
      <c r="W78" s="304">
        <f t="shared" ca="1" si="33"/>
        <v>46.915017863927737</v>
      </c>
      <c r="Y78" s="314" t="str">
        <f t="shared" ca="1" si="51"/>
        <v/>
      </c>
      <c r="Z78" s="315" t="str">
        <f t="shared" ca="1" si="52"/>
        <v/>
      </c>
      <c r="AA78" s="316" t="str">
        <f t="shared" ca="1" si="53"/>
        <v/>
      </c>
      <c r="AC78" s="310" t="e">
        <f t="shared" ca="1" si="54"/>
        <v>#N/A</v>
      </c>
      <c r="AD78" s="323" t="e">
        <f t="shared" ca="1" si="55"/>
        <v>#N/A</v>
      </c>
      <c r="AE78" s="324">
        <f t="shared" ca="1" si="34"/>
        <v>38.426146056319936</v>
      </c>
      <c r="AG78" s="306">
        <f t="shared" ca="1" si="56"/>
        <v>148.97459483026176</v>
      </c>
      <c r="AH78" s="304">
        <f t="shared" ca="1" si="57"/>
        <v>158.6124941304038</v>
      </c>
    </row>
    <row r="79" spans="1:34" x14ac:dyDescent="0.2">
      <c r="A79" s="347">
        <f t="shared" ca="1" si="35"/>
        <v>0.01</v>
      </c>
      <c r="B79" s="304">
        <f t="shared" ca="1" si="36"/>
        <v>0.75000000000000044</v>
      </c>
      <c r="D79" s="306">
        <f t="shared" ca="1" si="37"/>
        <v>29.584114547222686</v>
      </c>
      <c r="E79" s="307">
        <f t="shared" ca="1" si="38"/>
        <v>145.89866568212128</v>
      </c>
      <c r="F79" s="304">
        <f t="shared" ca="1" si="39"/>
        <v>148.86786248672541</v>
      </c>
      <c r="G79" s="306">
        <f t="shared" ca="1" si="40"/>
        <v>20.497435316032064</v>
      </c>
      <c r="H79" s="307">
        <f t="shared" ca="1" si="41"/>
        <v>107.78507824656903</v>
      </c>
      <c r="I79" s="304">
        <f t="shared" ca="1" si="42"/>
        <v>109.7167623800207</v>
      </c>
      <c r="J79" s="306">
        <f t="shared" ca="1" si="43"/>
        <v>7.2934436531141227</v>
      </c>
      <c r="K79" s="307">
        <f t="shared" ca="1" si="44"/>
        <v>39.496701905501517</v>
      </c>
      <c r="L79" s="304">
        <f t="shared" ca="1" si="29"/>
        <v>40.164459186365221</v>
      </c>
      <c r="M79" s="306">
        <f t="shared" ca="1" si="45"/>
        <v>1.3828707832546268</v>
      </c>
      <c r="N79" s="304">
        <f t="shared" ca="1" si="46"/>
        <v>79.232659492440547</v>
      </c>
      <c r="P79" s="310">
        <f t="shared" ca="1" si="47"/>
        <v>7</v>
      </c>
      <c r="Q79" s="304">
        <f t="shared" ca="1" si="48"/>
        <v>1307.8351249999998</v>
      </c>
      <c r="R79" s="306">
        <f t="shared" ca="1" si="49"/>
        <v>0.64271170073968487</v>
      </c>
      <c r="S79" s="307">
        <f t="shared" ca="1" si="50"/>
        <v>7.9556235068632013</v>
      </c>
      <c r="T79" s="304">
        <f t="shared" ca="1" si="30"/>
        <v>78.044666602328007</v>
      </c>
      <c r="U79" s="311">
        <f t="shared" ca="1" si="31"/>
        <v>0</v>
      </c>
      <c r="V79" s="306">
        <f t="shared" ca="1" si="32"/>
        <v>1.220171190119796</v>
      </c>
      <c r="W79" s="304">
        <f t="shared" ca="1" si="33"/>
        <v>48.209267151938214</v>
      </c>
      <c r="Y79" s="314" t="str">
        <f t="shared" ca="1" si="51"/>
        <v/>
      </c>
      <c r="Z79" s="315" t="str">
        <f t="shared" ca="1" si="52"/>
        <v/>
      </c>
      <c r="AA79" s="316" t="str">
        <f t="shared" ca="1" si="53"/>
        <v/>
      </c>
      <c r="AC79" s="310" t="e">
        <f t="shared" ca="1" si="54"/>
        <v>#N/A</v>
      </c>
      <c r="AD79" s="323" t="e">
        <f t="shared" ca="1" si="55"/>
        <v>#N/A</v>
      </c>
      <c r="AE79" s="324">
        <f t="shared" ca="1" si="34"/>
        <v>39.496701905501517</v>
      </c>
      <c r="AG79" s="306">
        <f t="shared" ca="1" si="56"/>
        <v>148.85660052753965</v>
      </c>
      <c r="AH79" s="304">
        <f t="shared" ca="1" si="57"/>
        <v>158.49419043627373</v>
      </c>
    </row>
    <row r="80" spans="1:34" x14ac:dyDescent="0.2">
      <c r="A80" s="347">
        <f t="shared" ca="1" si="35"/>
        <v>0.01</v>
      </c>
      <c r="B80" s="304">
        <f t="shared" ca="1" si="36"/>
        <v>0.76000000000000045</v>
      </c>
      <c r="D80" s="306">
        <f t="shared" ca="1" si="37"/>
        <v>29.587565725163376</v>
      </c>
      <c r="E80" s="307">
        <f t="shared" ca="1" si="38"/>
        <v>145.77522506071222</v>
      </c>
      <c r="F80" s="304">
        <f t="shared" ca="1" si="39"/>
        <v>148.74757237360939</v>
      </c>
      <c r="G80" s="306">
        <f t="shared" ca="1" si="40"/>
        <v>20.793310973283699</v>
      </c>
      <c r="H80" s="307">
        <f t="shared" ca="1" si="41"/>
        <v>109.24283049717616</v>
      </c>
      <c r="I80" s="304">
        <f t="shared" ca="1" si="42"/>
        <v>111.2041267052012</v>
      </c>
      <c r="J80" s="306">
        <f t="shared" ca="1" si="43"/>
        <v>7.4998973845607013</v>
      </c>
      <c r="K80" s="307">
        <f t="shared" ca="1" si="44"/>
        <v>40.581841449220242</v>
      </c>
      <c r="L80" s="304">
        <f t="shared" ca="1" si="29"/>
        <v>41.269047919580004</v>
      </c>
      <c r="M80" s="306">
        <f t="shared" ca="1" si="45"/>
        <v>1.3827059766369518</v>
      </c>
      <c r="N80" s="304">
        <f t="shared" ca="1" si="46"/>
        <v>79.223216768811952</v>
      </c>
      <c r="P80" s="310">
        <f t="shared" ca="1" si="47"/>
        <v>7</v>
      </c>
      <c r="Q80" s="304">
        <f t="shared" ca="1" si="48"/>
        <v>1307.1523749999999</v>
      </c>
      <c r="R80" s="306">
        <f t="shared" ca="1" si="49"/>
        <v>0.64237617571417371</v>
      </c>
      <c r="S80" s="307">
        <f t="shared" ca="1" si="50"/>
        <v>7.9491997451060596</v>
      </c>
      <c r="T80" s="304">
        <f t="shared" ca="1" si="30"/>
        <v>77.981649499490445</v>
      </c>
      <c r="U80" s="311">
        <f t="shared" ca="1" si="31"/>
        <v>0</v>
      </c>
      <c r="V80" s="306">
        <f t="shared" ca="1" si="32"/>
        <v>1.2200387911719732</v>
      </c>
      <c r="W80" s="304">
        <f t="shared" ca="1" si="33"/>
        <v>49.519841175661497</v>
      </c>
      <c r="Y80" s="314" t="str">
        <f t="shared" ca="1" si="51"/>
        <v/>
      </c>
      <c r="Z80" s="315" t="str">
        <f t="shared" ca="1" si="52"/>
        <v/>
      </c>
      <c r="AA80" s="316" t="str">
        <f t="shared" ca="1" si="53"/>
        <v/>
      </c>
      <c r="AC80" s="310" t="e">
        <f t="shared" ca="1" si="54"/>
        <v>#N/A</v>
      </c>
      <c r="AD80" s="323" t="e">
        <f t="shared" ca="1" si="55"/>
        <v>#N/A</v>
      </c>
      <c r="AE80" s="324">
        <f t="shared" ca="1" si="34"/>
        <v>40.581841449220242</v>
      </c>
      <c r="AG80" s="306">
        <f t="shared" ca="1" si="56"/>
        <v>148.73628149605429</v>
      </c>
      <c r="AH80" s="304">
        <f t="shared" ca="1" si="57"/>
        <v>158.37356566906402</v>
      </c>
    </row>
    <row r="81" spans="1:34" x14ac:dyDescent="0.2">
      <c r="A81" s="347">
        <f t="shared" ca="1" si="35"/>
        <v>0.01</v>
      </c>
      <c r="B81" s="304">
        <f t="shared" ca="1" si="36"/>
        <v>0.77000000000000046</v>
      </c>
      <c r="D81" s="306">
        <f t="shared" ca="1" si="37"/>
        <v>29.59021869694331</v>
      </c>
      <c r="E81" s="307">
        <f t="shared" ca="1" si="38"/>
        <v>145.64957301546903</v>
      </c>
      <c r="F81" s="304">
        <f t="shared" ca="1" si="39"/>
        <v>148.62496143690458</v>
      </c>
      <c r="G81" s="306">
        <f t="shared" ca="1" si="40"/>
        <v>21.089213160253131</v>
      </c>
      <c r="H81" s="307">
        <f t="shared" ca="1" si="41"/>
        <v>110.69932622733084</v>
      </c>
      <c r="I81" s="304">
        <f t="shared" ca="1" si="42"/>
        <v>112.69026461457801</v>
      </c>
      <c r="J81" s="306">
        <f t="shared" ca="1" si="43"/>
        <v>7.7093100052283852</v>
      </c>
      <c r="K81" s="307">
        <f t="shared" ca="1" si="44"/>
        <v>41.681552232842776</v>
      </c>
      <c r="L81" s="304">
        <f t="shared" ca="1" si="29"/>
        <v>42.388503834128365</v>
      </c>
      <c r="M81" s="306">
        <f t="shared" ca="1" si="45"/>
        <v>1.3825432025172206</v>
      </c>
      <c r="N81" s="304">
        <f t="shared" ca="1" si="46"/>
        <v>79.213890498737399</v>
      </c>
      <c r="P81" s="310">
        <f t="shared" ca="1" si="47"/>
        <v>7</v>
      </c>
      <c r="Q81" s="304">
        <f t="shared" ca="1" si="48"/>
        <v>1306.469625</v>
      </c>
      <c r="R81" s="306">
        <f t="shared" ca="1" si="49"/>
        <v>0.64204065068866256</v>
      </c>
      <c r="S81" s="307">
        <f t="shared" ca="1" si="50"/>
        <v>7.9427793385991734</v>
      </c>
      <c r="T81" s="304">
        <f t="shared" ca="1" si="30"/>
        <v>77.91866531165789</v>
      </c>
      <c r="U81" s="311">
        <f t="shared" ca="1" si="31"/>
        <v>0</v>
      </c>
      <c r="V81" s="306">
        <f t="shared" ca="1" si="32"/>
        <v>1.2199046290001008</v>
      </c>
      <c r="W81" s="304">
        <f t="shared" ca="1" si="33"/>
        <v>50.846664946081376</v>
      </c>
      <c r="Y81" s="314" t="str">
        <f t="shared" ca="1" si="51"/>
        <v/>
      </c>
      <c r="Z81" s="315" t="str">
        <f t="shared" ca="1" si="52"/>
        <v/>
      </c>
      <c r="AA81" s="316" t="str">
        <f t="shared" ca="1" si="53"/>
        <v/>
      </c>
      <c r="AC81" s="310" t="e">
        <f t="shared" ca="1" si="54"/>
        <v>#N/A</v>
      </c>
      <c r="AD81" s="323" t="e">
        <f t="shared" ca="1" si="55"/>
        <v>#N/A</v>
      </c>
      <c r="AE81" s="324">
        <f t="shared" ca="1" si="34"/>
        <v>41.681552232842776</v>
      </c>
      <c r="AG81" s="306">
        <f t="shared" ca="1" si="56"/>
        <v>148.61364164892106</v>
      </c>
      <c r="AH81" s="304">
        <f t="shared" ca="1" si="57"/>
        <v>158.2506236470646</v>
      </c>
    </row>
    <row r="82" spans="1:34" x14ac:dyDescent="0.2">
      <c r="A82" s="347">
        <f t="shared" ca="1" si="35"/>
        <v>0.01</v>
      </c>
      <c r="B82" s="304">
        <f t="shared" ca="1" si="36"/>
        <v>0.78000000000000047</v>
      </c>
      <c r="D82" s="306">
        <f t="shared" ca="1" si="37"/>
        <v>29.592082427045472</v>
      </c>
      <c r="E82" s="307">
        <f t="shared" ca="1" si="38"/>
        <v>145.52171206745265</v>
      </c>
      <c r="F82" s="304">
        <f t="shared" ca="1" si="39"/>
        <v>148.50003375559095</v>
      </c>
      <c r="G82" s="306">
        <f t="shared" ca="1" si="40"/>
        <v>21.385133984523584</v>
      </c>
      <c r="H82" s="307">
        <f t="shared" ca="1" si="41"/>
        <v>112.15454334800538</v>
      </c>
      <c r="I82" s="304">
        <f t="shared" ca="1" si="42"/>
        <v>114.17515294115285</v>
      </c>
      <c r="J82" s="306">
        <f t="shared" ca="1" si="43"/>
        <v>7.9216817409522688</v>
      </c>
      <c r="K82" s="307">
        <f t="shared" ca="1" si="44"/>
        <v>42.795821580719455</v>
      </c>
      <c r="L82" s="304">
        <f t="shared" ca="1" si="29"/>
        <v>43.522814550229967</v>
      </c>
      <c r="M82" s="306">
        <f t="shared" ca="1" si="45"/>
        <v>1.3823824079448495</v>
      </c>
      <c r="N82" s="304">
        <f t="shared" ca="1" si="46"/>
        <v>79.204677648371913</v>
      </c>
      <c r="P82" s="310">
        <f t="shared" ca="1" si="47"/>
        <v>7</v>
      </c>
      <c r="Q82" s="304">
        <f t="shared" ca="1" si="48"/>
        <v>1305.786875</v>
      </c>
      <c r="R82" s="306">
        <f t="shared" ca="1" si="49"/>
        <v>0.64170512566315141</v>
      </c>
      <c r="S82" s="307">
        <f t="shared" ca="1" si="50"/>
        <v>7.9363622873425417</v>
      </c>
      <c r="T82" s="304">
        <f t="shared" ca="1" si="30"/>
        <v>77.855714038830342</v>
      </c>
      <c r="U82" s="311">
        <f t="shared" ca="1" si="31"/>
        <v>0</v>
      </c>
      <c r="V82" s="306">
        <f t="shared" ca="1" si="32"/>
        <v>1.2197687057331661</v>
      </c>
      <c r="W82" s="304">
        <f t="shared" ca="1" si="33"/>
        <v>52.189662336875806</v>
      </c>
      <c r="Y82" s="314" t="str">
        <f t="shared" ca="1" si="51"/>
        <v/>
      </c>
      <c r="Z82" s="315" t="str">
        <f t="shared" ca="1" si="52"/>
        <v/>
      </c>
      <c r="AA82" s="316" t="str">
        <f t="shared" ca="1" si="53"/>
        <v/>
      </c>
      <c r="AC82" s="310" t="e">
        <f t="shared" ca="1" si="54"/>
        <v>#N/A</v>
      </c>
      <c r="AD82" s="323" t="e">
        <f t="shared" ca="1" si="55"/>
        <v>#N/A</v>
      </c>
      <c r="AE82" s="324">
        <f t="shared" ca="1" si="34"/>
        <v>42.795821580719455</v>
      </c>
      <c r="AG82" s="306">
        <f t="shared" ca="1" si="56"/>
        <v>148.48868505815651</v>
      </c>
      <c r="AH82" s="304">
        <f t="shared" ca="1" si="57"/>
        <v>158.12536835111268</v>
      </c>
    </row>
    <row r="83" spans="1:34" x14ac:dyDescent="0.2">
      <c r="A83" s="347">
        <f t="shared" ca="1" si="35"/>
        <v>0.01</v>
      </c>
      <c r="B83" s="304">
        <f t="shared" ca="1" si="36"/>
        <v>0.79000000000000048</v>
      </c>
      <c r="D83" s="306">
        <f t="shared" ca="1" si="37"/>
        <v>29.593165580619235</v>
      </c>
      <c r="E83" s="307">
        <f t="shared" ca="1" si="38"/>
        <v>145.39164495196641</v>
      </c>
      <c r="F83" s="304">
        <f t="shared" ca="1" si="39"/>
        <v>148.37279356715169</v>
      </c>
      <c r="G83" s="306">
        <f t="shared" ca="1" si="40"/>
        <v>21.681065640329777</v>
      </c>
      <c r="H83" s="307">
        <f t="shared" ca="1" si="41"/>
        <v>113.60845979752504</v>
      </c>
      <c r="I83" s="304">
        <f t="shared" ca="1" si="42"/>
        <v>115.65876856021835</v>
      </c>
      <c r="J83" s="306">
        <f t="shared" ca="1" si="43"/>
        <v>8.1370127390765354</v>
      </c>
      <c r="K83" s="307">
        <f t="shared" ca="1" si="44"/>
        <v>43.924636596447108</v>
      </c>
      <c r="L83" s="304">
        <f t="shared" ca="1" si="29"/>
        <v>44.671967456625794</v>
      </c>
      <c r="M83" s="306">
        <f t="shared" ca="1" si="45"/>
        <v>1.3822235419968043</v>
      </c>
      <c r="N83" s="304">
        <f t="shared" ca="1" si="46"/>
        <v>79.195575300040588</v>
      </c>
      <c r="P83" s="310">
        <f t="shared" ca="1" si="47"/>
        <v>7</v>
      </c>
      <c r="Q83" s="304">
        <f t="shared" ca="1" si="48"/>
        <v>1305.1041249999998</v>
      </c>
      <c r="R83" s="306">
        <f t="shared" ca="1" si="49"/>
        <v>0.64136960063764015</v>
      </c>
      <c r="S83" s="307">
        <f t="shared" ca="1" si="50"/>
        <v>7.9299485913361654</v>
      </c>
      <c r="T83" s="304">
        <f t="shared" ca="1" si="30"/>
        <v>77.792795681007789</v>
      </c>
      <c r="U83" s="311">
        <f t="shared" ca="1" si="31"/>
        <v>0</v>
      </c>
      <c r="V83" s="306">
        <f t="shared" ca="1" si="32"/>
        <v>1.2196310235339436</v>
      </c>
      <c r="W83" s="304">
        <f t="shared" ca="1" si="33"/>
        <v>53.548756092581783</v>
      </c>
      <c r="Y83" s="314" t="str">
        <f t="shared" ca="1" si="51"/>
        <v/>
      </c>
      <c r="Z83" s="315" t="str">
        <f t="shared" ca="1" si="52"/>
        <v/>
      </c>
      <c r="AA83" s="316" t="str">
        <f t="shared" ca="1" si="53"/>
        <v/>
      </c>
      <c r="AC83" s="310" t="e">
        <f t="shared" ca="1" si="54"/>
        <v>#N/A</v>
      </c>
      <c r="AD83" s="323" t="e">
        <f t="shared" ca="1" si="55"/>
        <v>#N/A</v>
      </c>
      <c r="AE83" s="324">
        <f t="shared" ca="1" si="34"/>
        <v>43.924636596447108</v>
      </c>
      <c r="AG83" s="306">
        <f t="shared" ca="1" si="56"/>
        <v>148.36141595449848</v>
      </c>
      <c r="AH83" s="304">
        <f t="shared" ca="1" si="57"/>
        <v>157.99780392422608</v>
      </c>
    </row>
    <row r="84" spans="1:34" x14ac:dyDescent="0.2">
      <c r="A84" s="347">
        <f t="shared" ca="1" si="35"/>
        <v>0.01</v>
      </c>
      <c r="B84" s="304">
        <f t="shared" ca="1" si="36"/>
        <v>0.80000000000000049</v>
      </c>
      <c r="D84" s="306">
        <f t="shared" ca="1" si="37"/>
        <v>29.593476540672036</v>
      </c>
      <c r="E84" s="307">
        <f t="shared" ca="1" si="38"/>
        <v>145.25937461533366</v>
      </c>
      <c r="F84" s="304">
        <f t="shared" ca="1" si="39"/>
        <v>148.24324526736839</v>
      </c>
      <c r="G84" s="306">
        <f t="shared" ca="1" si="40"/>
        <v>21.977000405736497</v>
      </c>
      <c r="H84" s="307">
        <f t="shared" ca="1" si="41"/>
        <v>115.06105354367838</v>
      </c>
      <c r="I84" s="304">
        <f t="shared" ca="1" si="42"/>
        <v>117.14108839094405</v>
      </c>
      <c r="J84" s="306">
        <f t="shared" ca="1" si="43"/>
        <v>8.3553030693068671</v>
      </c>
      <c r="K84" s="307">
        <f t="shared" ca="1" si="44"/>
        <v>45.067984163153127</v>
      </c>
      <c r="L84" s="304">
        <f t="shared" ca="1" si="29"/>
        <v>45.835949711009476</v>
      </c>
      <c r="M84" s="306">
        <f t="shared" ca="1" si="45"/>
        <v>1.3820665556747969</v>
      </c>
      <c r="N84" s="304">
        <f t="shared" ca="1" si="46"/>
        <v>79.186580646348276</v>
      </c>
      <c r="P84" s="310">
        <f t="shared" ca="1" si="47"/>
        <v>7</v>
      </c>
      <c r="Q84" s="304">
        <f t="shared" ca="1" si="48"/>
        <v>1304.4213749999999</v>
      </c>
      <c r="R84" s="306">
        <f t="shared" ca="1" si="49"/>
        <v>0.64103407561212911</v>
      </c>
      <c r="S84" s="307">
        <f t="shared" ca="1" si="50"/>
        <v>7.9235382505800445</v>
      </c>
      <c r="T84" s="304">
        <f t="shared" ca="1" si="30"/>
        <v>77.729910238190243</v>
      </c>
      <c r="U84" s="311">
        <f t="shared" ca="1" si="31"/>
        <v>0</v>
      </c>
      <c r="V84" s="306">
        <f t="shared" ca="1" si="32"/>
        <v>1.2194915845989167</v>
      </c>
      <c r="W84" s="304">
        <f t="shared" ca="1" si="33"/>
        <v>54.9238678369301</v>
      </c>
      <c r="Y84" s="314" t="str">
        <f t="shared" ca="1" si="51"/>
        <v/>
      </c>
      <c r="Z84" s="315" t="str">
        <f t="shared" ca="1" si="52"/>
        <v/>
      </c>
      <c r="AA84" s="316" t="str">
        <f t="shared" ca="1" si="53"/>
        <v/>
      </c>
      <c r="AC84" s="310" t="e">
        <f t="shared" ca="1" si="54"/>
        <v>#N/A</v>
      </c>
      <c r="AD84" s="323" t="e">
        <f t="shared" ca="1" si="55"/>
        <v>#N/A</v>
      </c>
      <c r="AE84" s="324">
        <f t="shared" ca="1" si="34"/>
        <v>45.067984163153127</v>
      </c>
      <c r="AG84" s="306">
        <f t="shared" ca="1" si="56"/>
        <v>148.23183872718963</v>
      </c>
      <c r="AH84" s="304">
        <f t="shared" ca="1" si="57"/>
        <v>157.8679346712118</v>
      </c>
    </row>
    <row r="85" spans="1:34" x14ac:dyDescent="0.2">
      <c r="A85" s="347">
        <f t="shared" ca="1" si="35"/>
        <v>0.01</v>
      </c>
      <c r="B85" s="304">
        <f t="shared" ca="1" si="36"/>
        <v>0.8100000000000005</v>
      </c>
      <c r="D85" s="306">
        <f t="shared" ca="1" si="37"/>
        <v>29.573301233768635</v>
      </c>
      <c r="E85" s="307">
        <f t="shared" ca="1" si="38"/>
        <v>145.02164826414585</v>
      </c>
      <c r="F85" s="304">
        <f t="shared" ca="1" si="39"/>
        <v>148.00627895840387</v>
      </c>
      <c r="G85" s="306">
        <f t="shared" ca="1" si="40"/>
        <v>22.272733418074182</v>
      </c>
      <c r="H85" s="307">
        <f t="shared" ca="1" si="41"/>
        <v>116.51127002631983</v>
      </c>
      <c r="I85" s="304">
        <f t="shared" ca="1" si="42"/>
        <v>118.62103817223407</v>
      </c>
      <c r="J85" s="306">
        <f t="shared" ca="1" si="43"/>
        <v>8.5765517384259198</v>
      </c>
      <c r="K85" s="307">
        <f t="shared" ca="1" si="44"/>
        <v>46.225845781003116</v>
      </c>
      <c r="L85" s="304">
        <f t="shared" ca="1" si="29"/>
        <v>47.014742984419051</v>
      </c>
      <c r="M85" s="306">
        <f t="shared" ca="1" si="45"/>
        <v>1.3819114004339532</v>
      </c>
      <c r="N85" s="304">
        <f t="shared" ca="1" si="46"/>
        <v>79.177690905878606</v>
      </c>
      <c r="P85" s="310">
        <f t="shared" ca="1" si="47"/>
        <v>8</v>
      </c>
      <c r="Q85" s="304">
        <f t="shared" ca="1" si="48"/>
        <v>1302.9069999999999</v>
      </c>
      <c r="R85" s="306">
        <f t="shared" ca="1" si="49"/>
        <v>0.64028986365971829</v>
      </c>
      <c r="S85" s="307">
        <f t="shared" ca="1" si="50"/>
        <v>7.9171353519434469</v>
      </c>
      <c r="T85" s="304">
        <f t="shared" ca="1" si="30"/>
        <v>77.667097802565223</v>
      </c>
      <c r="U85" s="311">
        <f t="shared" ca="1" si="31"/>
        <v>0</v>
      </c>
      <c r="V85" s="306">
        <f t="shared" ca="1" si="32"/>
        <v>1.2193503917877244</v>
      </c>
      <c r="W85" s="304">
        <f t="shared" ca="1" si="33"/>
        <v>56.313919992304193</v>
      </c>
      <c r="Y85" s="314" t="str">
        <f t="shared" ca="1" si="51"/>
        <v/>
      </c>
      <c r="Z85" s="315" t="str">
        <f t="shared" ca="1" si="52"/>
        <v/>
      </c>
      <c r="AA85" s="316" t="str">
        <f t="shared" ca="1" si="53"/>
        <v/>
      </c>
      <c r="AC85" s="310" t="e">
        <f t="shared" ca="1" si="54"/>
        <v>#N/A</v>
      </c>
      <c r="AD85" s="323" t="e">
        <f t="shared" ca="1" si="55"/>
        <v>#N/A</v>
      </c>
      <c r="AE85" s="324">
        <f t="shared" ca="1" si="34"/>
        <v>46.225845781003116</v>
      </c>
      <c r="AG85" s="306">
        <f t="shared" ca="1" si="56"/>
        <v>147.99483534990884</v>
      </c>
      <c r="AH85" s="304">
        <f t="shared" ca="1" si="57"/>
        <v>157.63064248443385</v>
      </c>
    </row>
    <row r="86" spans="1:34" x14ac:dyDescent="0.2">
      <c r="A86" s="347">
        <f t="shared" ca="1" si="35"/>
        <v>0.01</v>
      </c>
      <c r="B86" s="304">
        <f t="shared" ca="1" si="36"/>
        <v>0.82000000000000051</v>
      </c>
      <c r="D86" s="306">
        <f t="shared" ca="1" si="37"/>
        <v>29.532560276987471</v>
      </c>
      <c r="E86" s="307">
        <f t="shared" ca="1" si="38"/>
        <v>144.67827229299138</v>
      </c>
      <c r="F86" s="304">
        <f t="shared" ca="1" si="39"/>
        <v>147.66168964968151</v>
      </c>
      <c r="G86" s="306">
        <f t="shared" ca="1" si="40"/>
        <v>22.568059020844057</v>
      </c>
      <c r="H86" s="307">
        <f t="shared" ca="1" si="41"/>
        <v>117.95805274924975</v>
      </c>
      <c r="I86" s="304">
        <f t="shared" ca="1" si="42"/>
        <v>120.09754159167075</v>
      </c>
      <c r="J86" s="306">
        <f t="shared" ca="1" si="43"/>
        <v>8.8007557006205115</v>
      </c>
      <c r="K86" s="307">
        <f t="shared" ca="1" si="44"/>
        <v>47.398192394880965</v>
      </c>
      <c r="L86" s="304">
        <f t="shared" ca="1" si="29"/>
        <v>48.208318195143001</v>
      </c>
      <c r="M86" s="306">
        <f t="shared" ca="1" si="45"/>
        <v>1.3817580282188426</v>
      </c>
      <c r="N86" s="304">
        <f t="shared" ca="1" si="46"/>
        <v>79.168903325258185</v>
      </c>
      <c r="P86" s="310">
        <f t="shared" ca="1" si="47"/>
        <v>8</v>
      </c>
      <c r="Q86" s="304">
        <f t="shared" ca="1" si="48"/>
        <v>1300.5609999999999</v>
      </c>
      <c r="R86" s="306">
        <f t="shared" ca="1" si="49"/>
        <v>0.63913696478040782</v>
      </c>
      <c r="S86" s="307">
        <f t="shared" ca="1" si="50"/>
        <v>7.9107439822956431</v>
      </c>
      <c r="T86" s="304">
        <f t="shared" ca="1" si="30"/>
        <v>77.604398466320262</v>
      </c>
      <c r="U86" s="311">
        <f t="shared" ca="1" si="31"/>
        <v>0</v>
      </c>
      <c r="V86" s="306">
        <f t="shared" ca="1" si="32"/>
        <v>1.2192074492533644</v>
      </c>
      <c r="W86" s="304">
        <f t="shared" ca="1" si="33"/>
        <v>57.717782648824972</v>
      </c>
      <c r="Y86" s="314" t="str">
        <f t="shared" ca="1" si="51"/>
        <v/>
      </c>
      <c r="Z86" s="315" t="str">
        <f t="shared" ca="1" si="52"/>
        <v/>
      </c>
      <c r="AA86" s="316" t="str">
        <f t="shared" ca="1" si="53"/>
        <v/>
      </c>
      <c r="AC86" s="310" t="e">
        <f t="shared" ca="1" si="54"/>
        <v>#N/A</v>
      </c>
      <c r="AD86" s="323" t="e">
        <f t="shared" ca="1" si="55"/>
        <v>#N/A</v>
      </c>
      <c r="AE86" s="324">
        <f t="shared" ca="1" si="34"/>
        <v>47.398192394880965</v>
      </c>
      <c r="AG86" s="306">
        <f t="shared" ca="1" si="56"/>
        <v>147.65020069072654</v>
      </c>
      <c r="AH86" s="304">
        <f t="shared" ca="1" si="57"/>
        <v>157.28572215108193</v>
      </c>
    </row>
    <row r="87" spans="1:34" x14ac:dyDescent="0.2">
      <c r="A87" s="347">
        <f t="shared" ca="1" si="35"/>
        <v>0.01</v>
      </c>
      <c r="B87" s="304">
        <f t="shared" ca="1" si="36"/>
        <v>0.83000000000000052</v>
      </c>
      <c r="D87" s="306">
        <f t="shared" ca="1" si="37"/>
        <v>29.490962479128921</v>
      </c>
      <c r="E87" s="307">
        <f t="shared" ca="1" si="38"/>
        <v>144.33247652074468</v>
      </c>
      <c r="F87" s="304">
        <f t="shared" ca="1" si="39"/>
        <v>147.31456359286648</v>
      </c>
      <c r="G87" s="306">
        <f t="shared" ca="1" si="40"/>
        <v>22.862968645635345</v>
      </c>
      <c r="H87" s="307">
        <f t="shared" ca="1" si="41"/>
        <v>119.4013775144572</v>
      </c>
      <c r="I87" s="304">
        <f t="shared" ca="1" si="42"/>
        <v>121.57057328005503</v>
      </c>
      <c r="J87" s="306">
        <f t="shared" ca="1" si="43"/>
        <v>9.0279108389529092</v>
      </c>
      <c r="K87" s="307">
        <f t="shared" ca="1" si="44"/>
        <v>48.584989546199502</v>
      </c>
      <c r="L87" s="304">
        <f t="shared" ca="1" si="29"/>
        <v>49.416640753094477</v>
      </c>
      <c r="M87" s="306">
        <f t="shared" ca="1" si="45"/>
        <v>1.3816063928067497</v>
      </c>
      <c r="N87" s="304">
        <f t="shared" ca="1" si="46"/>
        <v>79.160215256120537</v>
      </c>
      <c r="P87" s="310">
        <f t="shared" ca="1" si="47"/>
        <v>8</v>
      </c>
      <c r="Q87" s="304">
        <f t="shared" ca="1" si="48"/>
        <v>1298.2149999999999</v>
      </c>
      <c r="R87" s="306">
        <f t="shared" ca="1" si="49"/>
        <v>0.63798406590109746</v>
      </c>
      <c r="S87" s="307">
        <f t="shared" ca="1" si="50"/>
        <v>7.9043641416366324</v>
      </c>
      <c r="T87" s="304">
        <f t="shared" ca="1" si="30"/>
        <v>77.541812229455374</v>
      </c>
      <c r="U87" s="311">
        <f t="shared" ca="1" si="31"/>
        <v>0</v>
      </c>
      <c r="V87" s="306">
        <f t="shared" ca="1" si="32"/>
        <v>1.2190627618133525</v>
      </c>
      <c r="W87" s="304">
        <f t="shared" ca="1" si="33"/>
        <v>59.135298124534152</v>
      </c>
      <c r="Y87" s="314" t="str">
        <f t="shared" ca="1" si="51"/>
        <v/>
      </c>
      <c r="Z87" s="315" t="str">
        <f t="shared" ca="1" si="52"/>
        <v/>
      </c>
      <c r="AA87" s="316" t="str">
        <f t="shared" ca="1" si="53"/>
        <v/>
      </c>
      <c r="AC87" s="310" t="e">
        <f t="shared" ca="1" si="54"/>
        <v>#N/A</v>
      </c>
      <c r="AD87" s="323" t="e">
        <f t="shared" ca="1" si="55"/>
        <v>#N/A</v>
      </c>
      <c r="AE87" s="324">
        <f t="shared" ca="1" si="34"/>
        <v>48.584989546199502</v>
      </c>
      <c r="AG87" s="306">
        <f t="shared" ca="1" si="56"/>
        <v>147.30302907300521</v>
      </c>
      <c r="AH87" s="304">
        <f t="shared" ca="1" si="57"/>
        <v>156.9382679141506</v>
      </c>
    </row>
    <row r="88" spans="1:34" x14ac:dyDescent="0.2">
      <c r="A88" s="347">
        <f t="shared" ca="1" si="35"/>
        <v>0.01</v>
      </c>
      <c r="B88" s="304">
        <f t="shared" ca="1" si="36"/>
        <v>0.84000000000000052</v>
      </c>
      <c r="D88" s="306">
        <f t="shared" ca="1" si="37"/>
        <v>29.448518543576487</v>
      </c>
      <c r="E88" s="307">
        <f t="shared" ca="1" si="38"/>
        <v>143.98427467895024</v>
      </c>
      <c r="F88" s="304">
        <f t="shared" ca="1" si="39"/>
        <v>146.96491621892199</v>
      </c>
      <c r="G88" s="306">
        <f t="shared" ca="1" si="40"/>
        <v>23.157453831071109</v>
      </c>
      <c r="H88" s="307">
        <f t="shared" ca="1" si="41"/>
        <v>120.8412202612467</v>
      </c>
      <c r="I88" s="304">
        <f t="shared" ca="1" si="42"/>
        <v>123.04010802240597</v>
      </c>
      <c r="J88" s="306">
        <f t="shared" ca="1" si="43"/>
        <v>9.2580129513364415</v>
      </c>
      <c r="K88" s="307">
        <f t="shared" ca="1" si="44"/>
        <v>49.786202535078019</v>
      </c>
      <c r="L88" s="304">
        <f t="shared" ca="1" si="29"/>
        <v>50.639675815223406</v>
      </c>
      <c r="M88" s="306">
        <f t="shared" ca="1" si="45"/>
        <v>1.3814564497150632</v>
      </c>
      <c r="N88" s="304">
        <f t="shared" ca="1" si="46"/>
        <v>79.151624149799758</v>
      </c>
      <c r="P88" s="310">
        <f t="shared" ca="1" si="47"/>
        <v>8</v>
      </c>
      <c r="Q88" s="304">
        <f t="shared" ca="1" si="48"/>
        <v>1295.8689999999997</v>
      </c>
      <c r="R88" s="306">
        <f t="shared" ca="1" si="49"/>
        <v>0.63683116702178688</v>
      </c>
      <c r="S88" s="307">
        <f t="shared" ca="1" si="50"/>
        <v>7.8979958299664146</v>
      </c>
      <c r="T88" s="304">
        <f t="shared" ca="1" si="30"/>
        <v>77.47933909197053</v>
      </c>
      <c r="U88" s="311">
        <f t="shared" ca="1" si="31"/>
        <v>0</v>
      </c>
      <c r="V88" s="306">
        <f t="shared" ca="1" si="32"/>
        <v>1.2189163343200382</v>
      </c>
      <c r="W88" s="304">
        <f t="shared" ca="1" si="33"/>
        <v>60.566307953784026</v>
      </c>
      <c r="Y88" s="314" t="str">
        <f t="shared" ca="1" si="51"/>
        <v/>
      </c>
      <c r="Z88" s="315" t="str">
        <f t="shared" ca="1" si="52"/>
        <v/>
      </c>
      <c r="AA88" s="316" t="str">
        <f t="shared" ca="1" si="53"/>
        <v/>
      </c>
      <c r="AC88" s="310" t="e">
        <f t="shared" ca="1" si="54"/>
        <v>#N/A</v>
      </c>
      <c r="AD88" s="323" t="e">
        <f t="shared" ca="1" si="55"/>
        <v>#N/A</v>
      </c>
      <c r="AE88" s="324">
        <f t="shared" ca="1" si="34"/>
        <v>49.786202535078019</v>
      </c>
      <c r="AG88" s="306">
        <f t="shared" ca="1" si="56"/>
        <v>146.95333591998303</v>
      </c>
      <c r="AH88" s="304">
        <f t="shared" ca="1" si="57"/>
        <v>156.58829511951322</v>
      </c>
    </row>
    <row r="89" spans="1:34" x14ac:dyDescent="0.2">
      <c r="A89" s="347">
        <f t="shared" ca="1" si="35"/>
        <v>0.01</v>
      </c>
      <c r="B89" s="304">
        <f t="shared" ca="1" si="36"/>
        <v>0.85000000000000053</v>
      </c>
      <c r="D89" s="306">
        <f t="shared" ca="1" si="37"/>
        <v>29.405238909332429</v>
      </c>
      <c r="E89" s="307">
        <f t="shared" ca="1" si="38"/>
        <v>143.63368071715882</v>
      </c>
      <c r="F89" s="304">
        <f t="shared" ca="1" si="39"/>
        <v>146.61276312679482</v>
      </c>
      <c r="G89" s="306">
        <f t="shared" ca="1" si="40"/>
        <v>23.451506220164433</v>
      </c>
      <c r="H89" s="307">
        <f t="shared" ca="1" si="41"/>
        <v>122.27755706841829</v>
      </c>
      <c r="I89" s="304">
        <f t="shared" ca="1" si="42"/>
        <v>124.50612075964258</v>
      </c>
      <c r="J89" s="306">
        <f t="shared" ca="1" si="43"/>
        <v>9.4910577515926189</v>
      </c>
      <c r="K89" s="307">
        <f t="shared" ca="1" si="44"/>
        <v>51.001796421726347</v>
      </c>
      <c r="L89" s="304">
        <f t="shared" ca="1" si="29"/>
        <v>51.877388287068626</v>
      </c>
      <c r="M89" s="306">
        <f t="shared" ca="1" si="45"/>
        <v>1.3813081561144558</v>
      </c>
      <c r="N89" s="304">
        <f t="shared" ca="1" si="46"/>
        <v>79.143127552356148</v>
      </c>
      <c r="P89" s="310">
        <f t="shared" ca="1" si="47"/>
        <v>8</v>
      </c>
      <c r="Q89" s="304">
        <f t="shared" ca="1" si="48"/>
        <v>1293.5229999999997</v>
      </c>
      <c r="R89" s="306">
        <f t="shared" ca="1" si="49"/>
        <v>0.63567826814247652</v>
      </c>
      <c r="S89" s="307">
        <f t="shared" ca="1" si="50"/>
        <v>7.8916390472849898</v>
      </c>
      <c r="T89" s="304">
        <f t="shared" ca="1" si="30"/>
        <v>77.416979053865759</v>
      </c>
      <c r="U89" s="311">
        <f t="shared" ca="1" si="31"/>
        <v>0</v>
      </c>
      <c r="V89" s="306">
        <f t="shared" ca="1" si="32"/>
        <v>1.2187681716603542</v>
      </c>
      <c r="W89" s="304">
        <f t="shared" ca="1" si="33"/>
        <v>62.010652908335096</v>
      </c>
      <c r="Y89" s="314" t="str">
        <f t="shared" ca="1" si="51"/>
        <v/>
      </c>
      <c r="Z89" s="315" t="str">
        <f t="shared" ca="1" si="52"/>
        <v/>
      </c>
      <c r="AA89" s="316" t="str">
        <f t="shared" ca="1" si="53"/>
        <v/>
      </c>
      <c r="AC89" s="310" t="e">
        <f t="shared" ca="1" si="54"/>
        <v>#N/A</v>
      </c>
      <c r="AD89" s="323" t="e">
        <f t="shared" ca="1" si="55"/>
        <v>#N/A</v>
      </c>
      <c r="AE89" s="324">
        <f t="shared" ca="1" si="34"/>
        <v>51.001796421726347</v>
      </c>
      <c r="AG89" s="306">
        <f t="shared" ca="1" si="56"/>
        <v>146.60113682300664</v>
      </c>
      <c r="AH89" s="304">
        <f t="shared" ca="1" si="57"/>
        <v>156.23581928400509</v>
      </c>
    </row>
    <row r="90" spans="1:34" x14ac:dyDescent="0.2">
      <c r="A90" s="347">
        <f t="shared" ca="1" si="35"/>
        <v>0.01</v>
      </c>
      <c r="B90" s="304">
        <f t="shared" ca="1" si="36"/>
        <v>0.86000000000000054</v>
      </c>
      <c r="D90" s="306">
        <f t="shared" ca="1" si="37"/>
        <v>29.361133765718019</v>
      </c>
      <c r="E90" s="307">
        <f t="shared" ca="1" si="38"/>
        <v>143.280708798229</v>
      </c>
      <c r="F90" s="304">
        <f t="shared" ca="1" si="39"/>
        <v>146.25812008135236</v>
      </c>
      <c r="G90" s="306">
        <f t="shared" ca="1" si="40"/>
        <v>23.745117557821612</v>
      </c>
      <c r="H90" s="307">
        <f t="shared" ca="1" si="41"/>
        <v>123.71036415640057</v>
      </c>
      <c r="I90" s="304">
        <f t="shared" ca="1" si="42"/>
        <v>125.96858659024483</v>
      </c>
      <c r="J90" s="306">
        <f t="shared" ca="1" si="43"/>
        <v>9.7270408704825488</v>
      </c>
      <c r="K90" s="307">
        <f t="shared" ca="1" si="44"/>
        <v>52.231736027850438</v>
      </c>
      <c r="L90" s="304">
        <f t="shared" ca="1" si="29"/>
        <v>53.129742824326634</v>
      </c>
      <c r="M90" s="306">
        <f t="shared" ca="1" si="45"/>
        <v>1.3811614707474262</v>
      </c>
      <c r="N90" s="304">
        <f t="shared" ca="1" si="46"/>
        <v>79.134723099909039</v>
      </c>
      <c r="P90" s="310">
        <f t="shared" ca="1" si="47"/>
        <v>8</v>
      </c>
      <c r="Q90" s="304">
        <f t="shared" ca="1" si="48"/>
        <v>1291.1769999999997</v>
      </c>
      <c r="R90" s="306">
        <f t="shared" ca="1" si="49"/>
        <v>0.63452536926316605</v>
      </c>
      <c r="S90" s="307">
        <f t="shared" ca="1" si="50"/>
        <v>7.8852937935923579</v>
      </c>
      <c r="T90" s="304">
        <f t="shared" ca="1" si="30"/>
        <v>77.354732115141033</v>
      </c>
      <c r="U90" s="311">
        <f t="shared" ca="1" si="31"/>
        <v>0</v>
      </c>
      <c r="V90" s="306">
        <f t="shared" ca="1" si="32"/>
        <v>1.2186182787555604</v>
      </c>
      <c r="W90" s="304">
        <f t="shared" ca="1" si="33"/>
        <v>63.468173018531907</v>
      </c>
      <c r="Y90" s="314" t="str">
        <f t="shared" ca="1" si="51"/>
        <v/>
      </c>
      <c r="Z90" s="315" t="str">
        <f t="shared" ca="1" si="52"/>
        <v/>
      </c>
      <c r="AA90" s="316" t="str">
        <f t="shared" ca="1" si="53"/>
        <v/>
      </c>
      <c r="AC90" s="310" t="e">
        <f t="shared" ca="1" si="54"/>
        <v>#N/A</v>
      </c>
      <c r="AD90" s="323" t="e">
        <f t="shared" ca="1" si="55"/>
        <v>#N/A</v>
      </c>
      <c r="AE90" s="324">
        <f t="shared" ca="1" si="34"/>
        <v>52.231736027850438</v>
      </c>
      <c r="AG90" s="306">
        <f t="shared" ca="1" si="56"/>
        <v>146.24644753945955</v>
      </c>
      <c r="AH90" s="304">
        <f t="shared" ca="1" si="57"/>
        <v>155.88085609321158</v>
      </c>
    </row>
    <row r="91" spans="1:34" x14ac:dyDescent="0.2">
      <c r="A91" s="347">
        <f t="shared" ca="1" si="35"/>
        <v>0.01</v>
      </c>
      <c r="B91" s="304">
        <f t="shared" ca="1" si="36"/>
        <v>0.87000000000000055</v>
      </c>
      <c r="D91" s="306">
        <f t="shared" ca="1" si="37"/>
        <v>29.316213066134143</v>
      </c>
      <c r="E91" s="307">
        <f t="shared" ca="1" si="38"/>
        <v>142.92537329375926</v>
      </c>
      <c r="F91" s="304">
        <f t="shared" ca="1" si="39"/>
        <v>145.90100301128641</v>
      </c>
      <c r="G91" s="306">
        <f t="shared" ca="1" si="40"/>
        <v>24.038279688482952</v>
      </c>
      <c r="H91" s="307">
        <f t="shared" ca="1" si="41"/>
        <v>125.13961788933817</v>
      </c>
      <c r="I91" s="304">
        <f t="shared" ca="1" si="42"/>
        <v>127.42748077189354</v>
      </c>
      <c r="J91" s="306">
        <f t="shared" ca="1" si="43"/>
        <v>9.9659578567140716</v>
      </c>
      <c r="K91" s="307">
        <f t="shared" ca="1" si="44"/>
        <v>53.475985938079134</v>
      </c>
      <c r="L91" s="304">
        <f t="shared" ca="1" si="29"/>
        <v>54.396703834436863</v>
      </c>
      <c r="M91" s="306">
        <f t="shared" ca="1" si="45"/>
        <v>1.3810163538518125</v>
      </c>
      <c r="N91" s="304">
        <f t="shared" ca="1" si="46"/>
        <v>79.126408514254322</v>
      </c>
      <c r="P91" s="310">
        <f t="shared" ca="1" si="47"/>
        <v>8</v>
      </c>
      <c r="Q91" s="304">
        <f t="shared" ca="1" si="48"/>
        <v>1288.8309999999997</v>
      </c>
      <c r="R91" s="306">
        <f t="shared" ca="1" si="49"/>
        <v>0.63337247038385569</v>
      </c>
      <c r="S91" s="307">
        <f t="shared" ca="1" si="50"/>
        <v>7.8789600688885191</v>
      </c>
      <c r="T91" s="304">
        <f t="shared" ca="1" si="30"/>
        <v>77.292598275796379</v>
      </c>
      <c r="U91" s="311">
        <f t="shared" ca="1" si="31"/>
        <v>0</v>
      </c>
      <c r="V91" s="306">
        <f t="shared" ca="1" si="32"/>
        <v>1.218466660560984</v>
      </c>
      <c r="W91" s="304">
        <f t="shared" ca="1" si="33"/>
        <v>64.938707594551843</v>
      </c>
      <c r="Y91" s="314" t="str">
        <f t="shared" ca="1" si="51"/>
        <v/>
      </c>
      <c r="Z91" s="315" t="str">
        <f t="shared" ca="1" si="52"/>
        <v/>
      </c>
      <c r="AA91" s="316" t="str">
        <f t="shared" ca="1" si="53"/>
        <v/>
      </c>
      <c r="AC91" s="310" t="e">
        <f t="shared" ca="1" si="54"/>
        <v>#N/A</v>
      </c>
      <c r="AD91" s="323" t="e">
        <f t="shared" ca="1" si="55"/>
        <v>#N/A</v>
      </c>
      <c r="AE91" s="324">
        <f t="shared" ca="1" si="34"/>
        <v>53.475985938079134</v>
      </c>
      <c r="AG91" s="306">
        <f t="shared" ca="1" si="56"/>
        <v>145.88928399065742</v>
      </c>
      <c r="AH91" s="304">
        <f t="shared" ca="1" si="57"/>
        <v>155.52342139923158</v>
      </c>
    </row>
    <row r="92" spans="1:34" x14ac:dyDescent="0.2">
      <c r="A92" s="347">
        <f t="shared" ca="1" si="35"/>
        <v>0.01</v>
      </c>
      <c r="B92" s="304">
        <f t="shared" ca="1" si="36"/>
        <v>0.88000000000000056</v>
      </c>
      <c r="D92" s="306">
        <f t="shared" ca="1" si="37"/>
        <v>29.27048654095077</v>
      </c>
      <c r="E92" s="307">
        <f t="shared" ca="1" si="38"/>
        <v>142.56768877963998</v>
      </c>
      <c r="F92" s="304">
        <f t="shared" ca="1" si="39"/>
        <v>145.54142800698455</v>
      </c>
      <c r="G92" s="306">
        <f t="shared" ca="1" si="40"/>
        <v>24.33098455389246</v>
      </c>
      <c r="H92" s="307">
        <f t="shared" ca="1" si="41"/>
        <v>126.56529477713457</v>
      </c>
      <c r="I92" s="304">
        <f t="shared" ca="1" si="42"/>
        <v>128.88277872308899</v>
      </c>
      <c r="J92" s="306">
        <f t="shared" ca="1" si="43"/>
        <v>10.207804177925949</v>
      </c>
      <c r="K92" s="307">
        <f t="shared" ca="1" si="44"/>
        <v>54.734510501411499</v>
      </c>
      <c r="L92" s="304">
        <f t="shared" ca="1" si="29"/>
        <v>55.678235478183112</v>
      </c>
      <c r="M92" s="306">
        <f t="shared" ca="1" si="45"/>
        <v>1.3808727670889112</v>
      </c>
      <c r="N92" s="304">
        <f t="shared" ca="1" si="46"/>
        <v>79.118181598746133</v>
      </c>
      <c r="P92" s="310">
        <f t="shared" ca="1" si="47"/>
        <v>8</v>
      </c>
      <c r="Q92" s="304">
        <f t="shared" ca="1" si="48"/>
        <v>1286.4849999999997</v>
      </c>
      <c r="R92" s="306">
        <f t="shared" ca="1" si="49"/>
        <v>0.63221957150454522</v>
      </c>
      <c r="S92" s="307">
        <f t="shared" ca="1" si="50"/>
        <v>7.8726378731734732</v>
      </c>
      <c r="T92" s="304">
        <f t="shared" ca="1" si="30"/>
        <v>77.23057753583177</v>
      </c>
      <c r="U92" s="311">
        <f t="shared" ca="1" si="31"/>
        <v>0</v>
      </c>
      <c r="V92" s="306">
        <f t="shared" ca="1" si="32"/>
        <v>1.2183133220657578</v>
      </c>
      <c r="W92" s="304">
        <f t="shared" ca="1" si="33"/>
        <v>66.422095247722083</v>
      </c>
      <c r="Y92" s="314" t="str">
        <f t="shared" ca="1" si="51"/>
        <v/>
      </c>
      <c r="Z92" s="315" t="str">
        <f t="shared" ca="1" si="52"/>
        <v/>
      </c>
      <c r="AA92" s="316" t="str">
        <f t="shared" ca="1" si="53"/>
        <v/>
      </c>
      <c r="AC92" s="310" t="e">
        <f t="shared" ca="1" si="54"/>
        <v>#N/A</v>
      </c>
      <c r="AD92" s="323" t="e">
        <f t="shared" ca="1" si="55"/>
        <v>#N/A</v>
      </c>
      <c r="AE92" s="324">
        <f t="shared" ca="1" si="34"/>
        <v>54.734510501411499</v>
      </c>
      <c r="AG92" s="306">
        <f t="shared" ca="1" si="56"/>
        <v>145.52966225971178</v>
      </c>
      <c r="AH92" s="304">
        <f t="shared" ca="1" si="57"/>
        <v>155.16353121841743</v>
      </c>
    </row>
    <row r="93" spans="1:34" x14ac:dyDescent="0.2">
      <c r="A93" s="347">
        <f t="shared" ca="1" si="35"/>
        <v>0.01</v>
      </c>
      <c r="B93" s="304">
        <f t="shared" ca="1" si="36"/>
        <v>0.89000000000000057</v>
      </c>
      <c r="D93" s="306">
        <f t="shared" ca="1" si="37"/>
        <v>29.223963709588812</v>
      </c>
      <c r="E93" s="307">
        <f t="shared" ca="1" si="38"/>
        <v>142.20767003171551</v>
      </c>
      <c r="F93" s="304">
        <f t="shared" ca="1" si="39"/>
        <v>145.17941131837063</v>
      </c>
      <c r="G93" s="306">
        <f t="shared" ca="1" si="40"/>
        <v>24.623224190988349</v>
      </c>
      <c r="H93" s="307">
        <f t="shared" ca="1" si="41"/>
        <v>127.98737147745172</v>
      </c>
      <c r="I93" s="304">
        <f t="shared" ca="1" si="42"/>
        <v>130.33445602474771</v>
      </c>
      <c r="J93" s="306">
        <f t="shared" ca="1" si="43"/>
        <v>10.452575221650353</v>
      </c>
      <c r="K93" s="307">
        <f t="shared" ca="1" si="44"/>
        <v>56.007273832684433</v>
      </c>
      <c r="L93" s="304">
        <f t="shared" ca="1" si="29"/>
        <v>56.974301671311053</v>
      </c>
      <c r="M93" s="306">
        <f t="shared" ca="1" si="45"/>
        <v>1.3807306734758795</v>
      </c>
      <c r="N93" s="304">
        <f t="shared" ca="1" si="46"/>
        <v>79.11004023442365</v>
      </c>
      <c r="P93" s="310">
        <f t="shared" ca="1" si="47"/>
        <v>8</v>
      </c>
      <c r="Q93" s="304">
        <f t="shared" ca="1" si="48"/>
        <v>1284.1389999999997</v>
      </c>
      <c r="R93" s="306">
        <f t="shared" ca="1" si="49"/>
        <v>0.63106667262523486</v>
      </c>
      <c r="S93" s="307">
        <f t="shared" ca="1" si="50"/>
        <v>7.8663272064472212</v>
      </c>
      <c r="T93" s="304">
        <f t="shared" ca="1" si="30"/>
        <v>77.168669895247248</v>
      </c>
      <c r="U93" s="311">
        <f t="shared" ca="1" si="31"/>
        <v>0</v>
      </c>
      <c r="V93" s="306">
        <f t="shared" ca="1" si="32"/>
        <v>1.2181582682925576</v>
      </c>
      <c r="W93" s="304">
        <f t="shared" ca="1" si="33"/>
        <v>67.918173911899842</v>
      </c>
      <c r="Y93" s="314" t="str">
        <f t="shared" ca="1" si="51"/>
        <v/>
      </c>
      <c r="Z93" s="315" t="str">
        <f t="shared" ca="1" si="52"/>
        <v/>
      </c>
      <c r="AA93" s="316" t="str">
        <f t="shared" ca="1" si="53"/>
        <v/>
      </c>
      <c r="AC93" s="310" t="e">
        <f t="shared" ca="1" si="54"/>
        <v>#N/A</v>
      </c>
      <c r="AD93" s="323" t="e">
        <f t="shared" ca="1" si="55"/>
        <v>#N/A</v>
      </c>
      <c r="AE93" s="324">
        <f t="shared" ca="1" si="34"/>
        <v>56.007273832684433</v>
      </c>
      <c r="AG93" s="306">
        <f t="shared" ca="1" si="56"/>
        <v>145.167598589363</v>
      </c>
      <c r="AH93" s="304">
        <f t="shared" ca="1" si="57"/>
        <v>154.80120172909156</v>
      </c>
    </row>
    <row r="94" spans="1:34" x14ac:dyDescent="0.2">
      <c r="A94" s="347">
        <f t="shared" ca="1" si="35"/>
        <v>0.01</v>
      </c>
      <c r="B94" s="304">
        <f t="shared" ca="1" si="36"/>
        <v>0.90000000000000058</v>
      </c>
      <c r="D94" s="306">
        <f t="shared" ca="1" si="37"/>
        <v>29.17665389185073</v>
      </c>
      <c r="E94" s="307">
        <f t="shared" ca="1" si="38"/>
        <v>141.84533202154739</v>
      </c>
      <c r="F94" s="304">
        <f t="shared" ca="1" si="39"/>
        <v>144.81496935271528</v>
      </c>
      <c r="G94" s="306">
        <f t="shared" ca="1" si="40"/>
        <v>24.914990729906858</v>
      </c>
      <c r="H94" s="307">
        <f t="shared" ca="1" si="41"/>
        <v>129.40582479766718</v>
      </c>
      <c r="I94" s="304">
        <f t="shared" ca="1" si="42"/>
        <v>131.78248842177734</v>
      </c>
      <c r="J94" s="306">
        <f t="shared" ca="1" si="43"/>
        <v>10.700266296254828</v>
      </c>
      <c r="K94" s="307">
        <f t="shared" ca="1" si="44"/>
        <v>57.294239814060028</v>
      </c>
      <c r="L94" s="304">
        <f t="shared" ca="1" si="29"/>
        <v>58.284866086161578</v>
      </c>
      <c r="M94" s="306">
        <f t="shared" ca="1" si="45"/>
        <v>1.3805900373221116</v>
      </c>
      <c r="N94" s="304">
        <f t="shared" ca="1" si="46"/>
        <v>79.101982376365797</v>
      </c>
      <c r="P94" s="310">
        <f t="shared" ca="1" si="47"/>
        <v>8</v>
      </c>
      <c r="Q94" s="304">
        <f t="shared" ca="1" si="48"/>
        <v>1281.7929999999997</v>
      </c>
      <c r="R94" s="306">
        <f t="shared" ca="1" si="49"/>
        <v>0.62991377374592439</v>
      </c>
      <c r="S94" s="307">
        <f t="shared" ca="1" si="50"/>
        <v>7.8600280687097621</v>
      </c>
      <c r="T94" s="304">
        <f t="shared" ca="1" si="30"/>
        <v>77.106875354042771</v>
      </c>
      <c r="U94" s="311">
        <f t="shared" ca="1" si="31"/>
        <v>0</v>
      </c>
      <c r="V94" s="306">
        <f t="shared" ca="1" si="32"/>
        <v>1.2180015042973342</v>
      </c>
      <c r="W94" s="304">
        <f t="shared" ca="1" si="33"/>
        <v>69.426780864910157</v>
      </c>
      <c r="Y94" s="314" t="str">
        <f t="shared" ca="1" si="51"/>
        <v/>
      </c>
      <c r="Z94" s="315" t="str">
        <f t="shared" ca="1" si="52"/>
        <v/>
      </c>
      <c r="AA94" s="316" t="str">
        <f t="shared" ca="1" si="53"/>
        <v/>
      </c>
      <c r="AC94" s="310" t="e">
        <f t="shared" ca="1" si="54"/>
        <v>#N/A</v>
      </c>
      <c r="AD94" s="323" t="e">
        <f t="shared" ca="1" si="55"/>
        <v>#N/A</v>
      </c>
      <c r="AE94" s="324">
        <f t="shared" ca="1" si="34"/>
        <v>57.294239814060028</v>
      </c>
      <c r="AG94" s="306">
        <f t="shared" ca="1" si="56"/>
        <v>144.8031093797839</v>
      </c>
      <c r="AH94" s="304">
        <f t="shared" ca="1" si="57"/>
        <v>154.43644926924028</v>
      </c>
    </row>
    <row r="95" spans="1:34" x14ac:dyDescent="0.2">
      <c r="A95" s="347">
        <f t="shared" ca="1" si="35"/>
        <v>0.01</v>
      </c>
      <c r="B95" s="304">
        <f t="shared" ca="1" si="36"/>
        <v>0.91000000000000059</v>
      </c>
      <c r="D95" s="306">
        <f t="shared" ca="1" si="37"/>
        <v>29.119772998419485</v>
      </c>
      <c r="E95" s="307">
        <f t="shared" ca="1" si="38"/>
        <v>141.43501885758468</v>
      </c>
      <c r="F95" s="304">
        <f t="shared" ca="1" si="39"/>
        <v>144.40161265970966</v>
      </c>
      <c r="G95" s="306">
        <f t="shared" ca="1" si="40"/>
        <v>25.206188459891052</v>
      </c>
      <c r="H95" s="307">
        <f t="shared" ca="1" si="41"/>
        <v>130.82017498624302</v>
      </c>
      <c r="I95" s="304">
        <f t="shared" ca="1" si="42"/>
        <v>133.22638672615417</v>
      </c>
      <c r="J95" s="306">
        <f t="shared" ca="1" si="43"/>
        <v>10.950872192203818</v>
      </c>
      <c r="K95" s="307">
        <f t="shared" ca="1" si="44"/>
        <v>58.595369812979577</v>
      </c>
      <c r="L95" s="304">
        <f t="shared" ca="1" si="29"/>
        <v>59.609889827861792</v>
      </c>
      <c r="M95" s="306">
        <f t="shared" ca="1" si="45"/>
        <v>1.3804508236833157</v>
      </c>
      <c r="N95" s="304">
        <f t="shared" ca="1" si="46"/>
        <v>79.094006022412145</v>
      </c>
      <c r="P95" s="310">
        <f t="shared" ca="1" si="47"/>
        <v>9</v>
      </c>
      <c r="Q95" s="304">
        <f t="shared" ca="1" si="48"/>
        <v>1279.0819999999997</v>
      </c>
      <c r="R95" s="306">
        <f t="shared" ca="1" si="49"/>
        <v>0.62858150227882692</v>
      </c>
      <c r="S95" s="307">
        <f t="shared" ca="1" si="50"/>
        <v>7.8537422536869741</v>
      </c>
      <c r="T95" s="304">
        <f t="shared" ca="1" si="30"/>
        <v>77.045211508669226</v>
      </c>
      <c r="U95" s="311">
        <f t="shared" ca="1" si="31"/>
        <v>0</v>
      </c>
      <c r="V95" s="306">
        <f t="shared" ca="1" si="32"/>
        <v>1.2178430354471459</v>
      </c>
      <c r="W95" s="304">
        <f t="shared" ca="1" si="33"/>
        <v>70.947257406127619</v>
      </c>
      <c r="Y95" s="314" t="str">
        <f t="shared" ca="1" si="51"/>
        <v/>
      </c>
      <c r="Z95" s="315" t="str">
        <f t="shared" ca="1" si="52"/>
        <v/>
      </c>
      <c r="AA95" s="316" t="str">
        <f t="shared" ca="1" si="53"/>
        <v/>
      </c>
      <c r="AC95" s="310" t="e">
        <f t="shared" ca="1" si="54"/>
        <v>#N/A</v>
      </c>
      <c r="AD95" s="323" t="e">
        <f t="shared" ca="1" si="55"/>
        <v>#N/A</v>
      </c>
      <c r="AE95" s="324">
        <f t="shared" ca="1" si="34"/>
        <v>58.595369812979577</v>
      </c>
      <c r="AG95" s="306">
        <f t="shared" ca="1" si="56"/>
        <v>144.38970133840292</v>
      </c>
      <c r="AH95" s="304">
        <f t="shared" ca="1" si="57"/>
        <v>154.02278048623401</v>
      </c>
    </row>
    <row r="96" spans="1:34" x14ac:dyDescent="0.2">
      <c r="A96" s="347">
        <f t="shared" ca="1" si="35"/>
        <v>0.01</v>
      </c>
      <c r="B96" s="304">
        <f t="shared" ca="1" si="36"/>
        <v>0.9200000000000006</v>
      </c>
      <c r="D96" s="306">
        <f t="shared" ca="1" si="37"/>
        <v>29.053295229665014</v>
      </c>
      <c r="E96" s="307">
        <f t="shared" ca="1" si="38"/>
        <v>140.97666780261727</v>
      </c>
      <c r="F96" s="304">
        <f t="shared" ca="1" si="39"/>
        <v>143.93927479472578</v>
      </c>
      <c r="G96" s="306">
        <f t="shared" ca="1" si="40"/>
        <v>25.496721412187703</v>
      </c>
      <c r="H96" s="307">
        <f t="shared" ca="1" si="41"/>
        <v>132.22994166426918</v>
      </c>
      <c r="I96" s="304">
        <f t="shared" ca="1" si="42"/>
        <v>134.66566108443064</v>
      </c>
      <c r="J96" s="306">
        <f t="shared" ca="1" si="43"/>
        <v>11.204386741564212</v>
      </c>
      <c r="K96" s="307">
        <f t="shared" ca="1" si="44"/>
        <v>59.91062039623214</v>
      </c>
      <c r="L96" s="304">
        <f t="shared" ca="1" si="29"/>
        <v>60.949329106364793</v>
      </c>
      <c r="M96" s="306">
        <f t="shared" ca="1" si="45"/>
        <v>1.3803129983438087</v>
      </c>
      <c r="N96" s="304">
        <f t="shared" ca="1" si="46"/>
        <v>79.086109212148429</v>
      </c>
      <c r="P96" s="310">
        <f t="shared" ca="1" si="47"/>
        <v>9</v>
      </c>
      <c r="Q96" s="304">
        <f t="shared" ca="1" si="48"/>
        <v>1276.0059999999996</v>
      </c>
      <c r="R96" s="306">
        <f t="shared" ca="1" si="49"/>
        <v>0.62706985822394257</v>
      </c>
      <c r="S96" s="307">
        <f t="shared" ca="1" si="50"/>
        <v>7.8474715551047343</v>
      </c>
      <c r="T96" s="304">
        <f t="shared" ca="1" si="30"/>
        <v>76.983695955577446</v>
      </c>
      <c r="U96" s="311">
        <f t="shared" ca="1" si="31"/>
        <v>0</v>
      </c>
      <c r="V96" s="306">
        <f t="shared" ca="1" si="32"/>
        <v>1.2176828676982476</v>
      </c>
      <c r="W96" s="304">
        <f t="shared" ca="1" si="33"/>
        <v>72.478922207449699</v>
      </c>
      <c r="Y96" s="314" t="str">
        <f t="shared" ca="1" si="51"/>
        <v/>
      </c>
      <c r="Z96" s="315" t="str">
        <f t="shared" ca="1" si="52"/>
        <v/>
      </c>
      <c r="AA96" s="316" t="str">
        <f t="shared" ca="1" si="53"/>
        <v/>
      </c>
      <c r="AC96" s="310" t="e">
        <f t="shared" ca="1" si="54"/>
        <v>#N/A</v>
      </c>
      <c r="AD96" s="323" t="e">
        <f t="shared" ca="1" si="55"/>
        <v>#N/A</v>
      </c>
      <c r="AE96" s="324">
        <f t="shared" ca="1" si="34"/>
        <v>59.91062039623214</v>
      </c>
      <c r="AG96" s="306">
        <f t="shared" ca="1" si="56"/>
        <v>143.92730792338853</v>
      </c>
      <c r="AH96" s="304">
        <f t="shared" ca="1" si="57"/>
        <v>153.56012877931215</v>
      </c>
    </row>
    <row r="97" spans="1:34" x14ac:dyDescent="0.2">
      <c r="A97" s="347">
        <f t="shared" ca="1" si="35"/>
        <v>0.01</v>
      </c>
      <c r="B97" s="304">
        <f t="shared" ca="1" si="36"/>
        <v>0.9300000000000006</v>
      </c>
      <c r="D97" s="306">
        <f t="shared" ca="1" si="37"/>
        <v>28.986015575141064</v>
      </c>
      <c r="E97" s="307">
        <f t="shared" ca="1" si="38"/>
        <v>140.51596099780778</v>
      </c>
      <c r="F97" s="304">
        <f t="shared" ca="1" si="39"/>
        <v>143.47447297014114</v>
      </c>
      <c r="G97" s="306">
        <f t="shared" ca="1" si="40"/>
        <v>25.786581567939113</v>
      </c>
      <c r="H97" s="307">
        <f t="shared" ca="1" si="41"/>
        <v>133.63510127424726</v>
      </c>
      <c r="I97" s="304">
        <f t="shared" ca="1" si="42"/>
        <v>136.10028685325503</v>
      </c>
      <c r="J97" s="306">
        <f t="shared" ca="1" si="43"/>
        <v>11.460803256464846</v>
      </c>
      <c r="K97" s="307">
        <f t="shared" ca="1" si="44"/>
        <v>61.239945610924721</v>
      </c>
      <c r="L97" s="304">
        <f t="shared" ca="1" si="29"/>
        <v>62.303137559134314</v>
      </c>
      <c r="M97" s="306">
        <f t="shared" ca="1" si="45"/>
        <v>1.3801765282659058</v>
      </c>
      <c r="N97" s="304">
        <f t="shared" ca="1" si="46"/>
        <v>79.078290052654765</v>
      </c>
      <c r="P97" s="310">
        <f t="shared" ca="1" si="47"/>
        <v>9</v>
      </c>
      <c r="Q97" s="304">
        <f t="shared" ca="1" si="48"/>
        <v>1272.9299999999996</v>
      </c>
      <c r="R97" s="306">
        <f t="shared" ca="1" si="49"/>
        <v>0.6255582141690581</v>
      </c>
      <c r="S97" s="307">
        <f t="shared" ca="1" si="50"/>
        <v>7.8412159729630435</v>
      </c>
      <c r="T97" s="304">
        <f t="shared" ca="1" si="30"/>
        <v>76.922328694767458</v>
      </c>
      <c r="U97" s="311">
        <f t="shared" ca="1" si="31"/>
        <v>0</v>
      </c>
      <c r="V97" s="306">
        <f t="shared" ca="1" si="32"/>
        <v>1.2175210073179157</v>
      </c>
      <c r="W97" s="304">
        <f t="shared" ca="1" si="33"/>
        <v>74.021578213480467</v>
      </c>
      <c r="Y97" s="314" t="str">
        <f t="shared" ca="1" si="51"/>
        <v/>
      </c>
      <c r="Z97" s="315" t="str">
        <f t="shared" ca="1" si="52"/>
        <v/>
      </c>
      <c r="AA97" s="316" t="str">
        <f t="shared" ca="1" si="53"/>
        <v/>
      </c>
      <c r="AC97" s="310" t="e">
        <f t="shared" ca="1" si="54"/>
        <v>#N/A</v>
      </c>
      <c r="AD97" s="323" t="e">
        <f t="shared" ca="1" si="55"/>
        <v>#N/A</v>
      </c>
      <c r="AE97" s="324">
        <f t="shared" ca="1" si="34"/>
        <v>61.239945610924721</v>
      </c>
      <c r="AG97" s="306">
        <f t="shared" ca="1" si="56"/>
        <v>143.46245014528924</v>
      </c>
      <c r="AH97" s="304">
        <f t="shared" ca="1" si="57"/>
        <v>153.09501510120029</v>
      </c>
    </row>
    <row r="98" spans="1:34" x14ac:dyDescent="0.2">
      <c r="A98" s="347">
        <f t="shared" ca="1" si="35"/>
        <v>0.01</v>
      </c>
      <c r="B98" s="304">
        <f t="shared" ca="1" si="36"/>
        <v>0.94000000000000061</v>
      </c>
      <c r="D98" s="306">
        <f t="shared" ca="1" si="37"/>
        <v>28.917944067838452</v>
      </c>
      <c r="E98" s="307">
        <f t="shared" ca="1" si="38"/>
        <v>140.05291897462467</v>
      </c>
      <c r="F98" s="304">
        <f t="shared" ca="1" si="39"/>
        <v>143.0072291963711</v>
      </c>
      <c r="G98" s="306">
        <f t="shared" ca="1" si="40"/>
        <v>26.075761008617498</v>
      </c>
      <c r="H98" s="307">
        <f t="shared" ca="1" si="41"/>
        <v>135.0356304639935</v>
      </c>
      <c r="I98" s="304">
        <f t="shared" ca="1" si="42"/>
        <v>137.53023960928283</v>
      </c>
      <c r="J98" s="306">
        <f t="shared" ca="1" si="43"/>
        <v>11.720114969347629</v>
      </c>
      <c r="K98" s="307">
        <f t="shared" ca="1" si="44"/>
        <v>62.583299269615928</v>
      </c>
      <c r="L98" s="304">
        <f t="shared" ca="1" si="29"/>
        <v>63.671268578260914</v>
      </c>
      <c r="M98" s="306">
        <f t="shared" ca="1" si="45"/>
        <v>1.3800413815360146</v>
      </c>
      <c r="N98" s="304">
        <f t="shared" ca="1" si="46"/>
        <v>79.070546715417009</v>
      </c>
      <c r="P98" s="310">
        <f t="shared" ca="1" si="47"/>
        <v>9</v>
      </c>
      <c r="Q98" s="304">
        <f t="shared" ca="1" si="48"/>
        <v>1269.8539999999998</v>
      </c>
      <c r="R98" s="306">
        <f t="shared" ca="1" si="49"/>
        <v>0.62404657011417375</v>
      </c>
      <c r="S98" s="307">
        <f t="shared" ca="1" si="50"/>
        <v>7.8349755072619018</v>
      </c>
      <c r="T98" s="304">
        <f t="shared" ca="1" si="30"/>
        <v>76.861109726239263</v>
      </c>
      <c r="U98" s="311">
        <f t="shared" ca="1" si="31"/>
        <v>0</v>
      </c>
      <c r="V98" s="306">
        <f t="shared" ca="1" si="32"/>
        <v>1.2173574606059758</v>
      </c>
      <c r="W98" s="304">
        <f t="shared" ca="1" si="33"/>
        <v>75.575028033295794</v>
      </c>
      <c r="Y98" s="314" t="str">
        <f t="shared" ca="1" si="51"/>
        <v/>
      </c>
      <c r="Z98" s="315" t="str">
        <f t="shared" ca="1" si="52"/>
        <v/>
      </c>
      <c r="AA98" s="316" t="str">
        <f t="shared" ca="1" si="53"/>
        <v/>
      </c>
      <c r="AC98" s="310" t="e">
        <f t="shared" ca="1" si="54"/>
        <v>#N/A</v>
      </c>
      <c r="AD98" s="323" t="e">
        <f t="shared" ca="1" si="55"/>
        <v>#N/A</v>
      </c>
      <c r="AE98" s="324">
        <f t="shared" ca="1" si="34"/>
        <v>62.583299269615928</v>
      </c>
      <c r="AG98" s="306">
        <f t="shared" ca="1" si="56"/>
        <v>142.99515000577594</v>
      </c>
      <c r="AH98" s="304">
        <f t="shared" ca="1" si="57"/>
        <v>152.62746139769723</v>
      </c>
    </row>
    <row r="99" spans="1:34" x14ac:dyDescent="0.2">
      <c r="A99" s="347">
        <f t="shared" ca="1" si="35"/>
        <v>0.01</v>
      </c>
      <c r="B99" s="304">
        <f t="shared" ca="1" si="36"/>
        <v>0.95000000000000062</v>
      </c>
      <c r="D99" s="306">
        <f t="shared" ca="1" si="37"/>
        <v>28.849090569571587</v>
      </c>
      <c r="E99" s="307">
        <f t="shared" ca="1" si="38"/>
        <v>139.58756243691269</v>
      </c>
      <c r="F99" s="304">
        <f t="shared" ca="1" si="39"/>
        <v>142.53756562313791</v>
      </c>
      <c r="G99" s="306">
        <f t="shared" ca="1" si="40"/>
        <v>26.364251914313215</v>
      </c>
      <c r="H99" s="307">
        <f t="shared" ca="1" si="41"/>
        <v>136.43150608836262</v>
      </c>
      <c r="I99" s="304">
        <f t="shared" ca="1" si="42"/>
        <v>138.95549515057075</v>
      </c>
      <c r="J99" s="306">
        <f t="shared" ca="1" si="43"/>
        <v>11.982315033962282</v>
      </c>
      <c r="K99" s="307">
        <f t="shared" ca="1" si="44"/>
        <v>63.940634952377707</v>
      </c>
      <c r="L99" s="304">
        <f t="shared" ca="1" si="29"/>
        <v>65.053675312670407</v>
      </c>
      <c r="M99" s="306">
        <f t="shared" ca="1" si="45"/>
        <v>1.3799075273137891</v>
      </c>
      <c r="N99" s="304">
        <f t="shared" ca="1" si="46"/>
        <v>79.062877433413476</v>
      </c>
      <c r="P99" s="310">
        <f t="shared" ca="1" si="47"/>
        <v>9</v>
      </c>
      <c r="Q99" s="304">
        <f t="shared" ca="1" si="48"/>
        <v>1266.7779999999998</v>
      </c>
      <c r="R99" s="306">
        <f t="shared" ca="1" si="49"/>
        <v>0.6225349260592894</v>
      </c>
      <c r="S99" s="307">
        <f t="shared" ca="1" si="50"/>
        <v>7.8287501580013092</v>
      </c>
      <c r="T99" s="304">
        <f t="shared" ca="1" si="30"/>
        <v>76.800039049992847</v>
      </c>
      <c r="U99" s="311">
        <f t="shared" ca="1" si="31"/>
        <v>0</v>
      </c>
      <c r="V99" s="306">
        <f t="shared" ca="1" si="32"/>
        <v>1.2171922338944512</v>
      </c>
      <c r="W99" s="304">
        <f t="shared" ca="1" si="33"/>
        <v>77.139073967309841</v>
      </c>
      <c r="Y99" s="314" t="str">
        <f t="shared" ca="1" si="51"/>
        <v/>
      </c>
      <c r="Z99" s="315" t="str">
        <f t="shared" ca="1" si="52"/>
        <v/>
      </c>
      <c r="AA99" s="316" t="str">
        <f t="shared" ca="1" si="53"/>
        <v/>
      </c>
      <c r="AC99" s="310" t="e">
        <f t="shared" ca="1" si="54"/>
        <v>#N/A</v>
      </c>
      <c r="AD99" s="323" t="e">
        <f t="shared" ca="1" si="55"/>
        <v>#N/A</v>
      </c>
      <c r="AE99" s="324">
        <f t="shared" ca="1" si="34"/>
        <v>63.940634952377707</v>
      </c>
      <c r="AG99" s="306">
        <f t="shared" ca="1" si="56"/>
        <v>142.52542964584231</v>
      </c>
      <c r="AH99" s="304">
        <f t="shared" ca="1" si="57"/>
        <v>152.15748975578748</v>
      </c>
    </row>
    <row r="100" spans="1:34" x14ac:dyDescent="0.2">
      <c r="A100" s="347">
        <f t="shared" ca="1" si="35"/>
        <v>0.01</v>
      </c>
      <c r="B100" s="304">
        <f t="shared" ca="1" si="36"/>
        <v>0.96000000000000063</v>
      </c>
      <c r="D100" s="306">
        <f t="shared" ca="1" si="37"/>
        <v>28.779464779588096</v>
      </c>
      <c r="E100" s="307">
        <f t="shared" ca="1" si="38"/>
        <v>139.11991225609273</v>
      </c>
      <c r="F100" s="304">
        <f t="shared" ca="1" si="39"/>
        <v>142.06550453626133</v>
      </c>
      <c r="G100" s="306">
        <f t="shared" ca="1" si="40"/>
        <v>26.652046562109096</v>
      </c>
      <c r="H100" s="307">
        <f t="shared" ca="1" si="41"/>
        <v>137.82270521092354</v>
      </c>
      <c r="I100" s="304">
        <f t="shared" ca="1" si="42"/>
        <v>140.37602949793802</v>
      </c>
      <c r="J100" s="306">
        <f t="shared" ca="1" si="43"/>
        <v>12.247396526344394</v>
      </c>
      <c r="K100" s="307">
        <f t="shared" ca="1" si="44"/>
        <v>65.311906008874132</v>
      </c>
      <c r="L100" s="304">
        <f t="shared" ca="1" si="29"/>
        <v>66.45031067034617</v>
      </c>
      <c r="M100" s="306">
        <f t="shared" ca="1" si="45"/>
        <v>1.3797749357841282</v>
      </c>
      <c r="N100" s="304">
        <f t="shared" ca="1" si="46"/>
        <v>79.055280498364738</v>
      </c>
      <c r="P100" s="310">
        <f t="shared" ca="1" si="47"/>
        <v>9</v>
      </c>
      <c r="Q100" s="304">
        <f t="shared" ca="1" si="48"/>
        <v>1263.7019999999998</v>
      </c>
      <c r="R100" s="306">
        <f t="shared" ca="1" si="49"/>
        <v>0.62102328200440493</v>
      </c>
      <c r="S100" s="307">
        <f t="shared" ca="1" si="50"/>
        <v>7.8225399251812648</v>
      </c>
      <c r="T100" s="304">
        <f t="shared" ca="1" si="30"/>
        <v>76.73911666602821</v>
      </c>
      <c r="U100" s="311">
        <f t="shared" ca="1" si="31"/>
        <v>0</v>
      </c>
      <c r="V100" s="306">
        <f t="shared" ca="1" si="32"/>
        <v>1.2170253335472037</v>
      </c>
      <c r="W100" s="304">
        <f t="shared" ca="1" si="33"/>
        <v>78.713518034094335</v>
      </c>
      <c r="Y100" s="314" t="str">
        <f t="shared" ca="1" si="51"/>
        <v/>
      </c>
      <c r="Z100" s="315" t="str">
        <f t="shared" ca="1" si="52"/>
        <v/>
      </c>
      <c r="AA100" s="316" t="str">
        <f t="shared" ca="1" si="53"/>
        <v/>
      </c>
      <c r="AC100" s="310" t="e">
        <f t="shared" ca="1" si="54"/>
        <v>#N/A</v>
      </c>
      <c r="AD100" s="323" t="e">
        <f t="shared" ca="1" si="55"/>
        <v>#N/A</v>
      </c>
      <c r="AE100" s="324">
        <f t="shared" ca="1" si="34"/>
        <v>65.311906008874132</v>
      </c>
      <c r="AG100" s="306">
        <f t="shared" ca="1" si="56"/>
        <v>142.05331134258978</v>
      </c>
      <c r="AH100" s="304">
        <f t="shared" ca="1" si="57"/>
        <v>151.68512240034298</v>
      </c>
    </row>
    <row r="101" spans="1:34" x14ac:dyDescent="0.2">
      <c r="A101" s="347">
        <f t="shared" ca="1" si="35"/>
        <v>0.01</v>
      </c>
      <c r="B101" s="304">
        <f t="shared" ca="1" si="36"/>
        <v>0.97000000000000064</v>
      </c>
      <c r="D101" s="306">
        <f t="shared" ca="1" si="37"/>
        <v>28.709076242657112</v>
      </c>
      <c r="E101" s="307">
        <f t="shared" ca="1" si="38"/>
        <v>138.64998946643527</v>
      </c>
      <c r="F101" s="304">
        <f t="shared" ca="1" si="39"/>
        <v>141.59106835443157</v>
      </c>
      <c r="G101" s="306">
        <f t="shared" ca="1" si="40"/>
        <v>26.939137324535668</v>
      </c>
      <c r="H101" s="307">
        <f t="shared" ca="1" si="41"/>
        <v>139.2092051055879</v>
      </c>
      <c r="I101" s="304">
        <f t="shared" ca="1" si="42"/>
        <v>141.79181889629541</v>
      </c>
      <c r="J101" s="306">
        <f t="shared" ca="1" si="43"/>
        <v>12.515352445777618</v>
      </c>
      <c r="K101" s="307">
        <f t="shared" ca="1" si="44"/>
        <v>66.697065560456693</v>
      </c>
      <c r="L101" s="304">
        <f t="shared" ca="1" si="29"/>
        <v>67.861127320564691</v>
      </c>
      <c r="M101" s="306">
        <f t="shared" ca="1" si="45"/>
        <v>1.3796435781118392</v>
      </c>
      <c r="N101" s="304">
        <f t="shared" ca="1" si="46"/>
        <v>79.04775425813591</v>
      </c>
      <c r="P101" s="310">
        <f t="shared" ca="1" si="47"/>
        <v>9</v>
      </c>
      <c r="Q101" s="304">
        <f t="shared" ca="1" si="48"/>
        <v>1260.6259999999997</v>
      </c>
      <c r="R101" s="306">
        <f t="shared" ca="1" si="49"/>
        <v>0.61951163794952047</v>
      </c>
      <c r="S101" s="307">
        <f t="shared" ca="1" si="50"/>
        <v>7.8163448088017695</v>
      </c>
      <c r="T101" s="304">
        <f t="shared" ca="1" si="30"/>
        <v>76.678342574345365</v>
      </c>
      <c r="U101" s="311">
        <f t="shared" ca="1" si="31"/>
        <v>0</v>
      </c>
      <c r="V101" s="306">
        <f t="shared" ca="1" si="32"/>
        <v>1.2168567659595775</v>
      </c>
      <c r="W101" s="304">
        <f t="shared" ca="1" si="33"/>
        <v>80.298161997145471</v>
      </c>
      <c r="Y101" s="314" t="str">
        <f t="shared" ca="1" si="51"/>
        <v/>
      </c>
      <c r="Z101" s="315" t="str">
        <f t="shared" ca="1" si="52"/>
        <v/>
      </c>
      <c r="AA101" s="316" t="str">
        <f t="shared" ca="1" si="53"/>
        <v/>
      </c>
      <c r="AC101" s="310" t="e">
        <f t="shared" ca="1" si="54"/>
        <v>#N/A</v>
      </c>
      <c r="AD101" s="323" t="e">
        <f t="shared" ca="1" si="55"/>
        <v>#N/A</v>
      </c>
      <c r="AE101" s="324">
        <f t="shared" ca="1" si="34"/>
        <v>66.697065560456693</v>
      </c>
      <c r="AG101" s="306">
        <f t="shared" ca="1" si="56"/>
        <v>141.57881750599404</v>
      </c>
      <c r="AH101" s="304">
        <f t="shared" ca="1" si="57"/>
        <v>151.21038169081109</v>
      </c>
    </row>
    <row r="102" spans="1:34" x14ac:dyDescent="0.2">
      <c r="A102" s="347">
        <f t="shared" ca="1" si="35"/>
        <v>0.01</v>
      </c>
      <c r="B102" s="304">
        <f t="shared" ca="1" si="36"/>
        <v>0.98000000000000065</v>
      </c>
      <c r="D102" s="306">
        <f t="shared" ca="1" si="37"/>
        <v>28.637934356669753</v>
      </c>
      <c r="E102" s="307">
        <f t="shared" ca="1" si="38"/>
        <v>138.17781526040261</v>
      </c>
      <c r="F102" s="304">
        <f t="shared" ca="1" si="39"/>
        <v>141.11427962596443</v>
      </c>
      <c r="G102" s="306">
        <f t="shared" ca="1" si="40"/>
        <v>27.225516668102365</v>
      </c>
      <c r="H102" s="307">
        <f t="shared" ca="1" si="41"/>
        <v>140.59098325819193</v>
      </c>
      <c r="I102" s="304">
        <f t="shared" ca="1" si="42"/>
        <v>143.20283981594193</v>
      </c>
      <c r="J102" s="306">
        <f t="shared" ca="1" si="43"/>
        <v>12.786175715740807</v>
      </c>
      <c r="K102" s="307">
        <f t="shared" ca="1" si="44"/>
        <v>68.09606650227559</v>
      </c>
      <c r="L102" s="304">
        <f t="shared" ca="1" si="29"/>
        <v>69.286077696144261</v>
      </c>
      <c r="M102" s="306">
        <f t="shared" ca="1" si="45"/>
        <v>1.3795134263987823</v>
      </c>
      <c r="N102" s="304">
        <f t="shared" ca="1" si="46"/>
        <v>79.040297114281344</v>
      </c>
      <c r="P102" s="310">
        <f t="shared" ca="1" si="47"/>
        <v>9</v>
      </c>
      <c r="Q102" s="304">
        <f t="shared" ca="1" si="48"/>
        <v>1257.5499999999997</v>
      </c>
      <c r="R102" s="306">
        <f t="shared" ca="1" si="49"/>
        <v>0.61799999389463611</v>
      </c>
      <c r="S102" s="307">
        <f t="shared" ca="1" si="50"/>
        <v>7.8101648088628233</v>
      </c>
      <c r="T102" s="304">
        <f t="shared" ca="1" si="30"/>
        <v>76.617716774944299</v>
      </c>
      <c r="U102" s="311">
        <f t="shared" ca="1" si="31"/>
        <v>0</v>
      </c>
      <c r="V102" s="306">
        <f t="shared" ca="1" si="32"/>
        <v>1.2166865375580369</v>
      </c>
      <c r="W102" s="304">
        <f t="shared" ca="1" si="33"/>
        <v>81.892807391591845</v>
      </c>
      <c r="Y102" s="314" t="str">
        <f t="shared" ca="1" si="51"/>
        <v/>
      </c>
      <c r="Z102" s="315" t="str">
        <f t="shared" ca="1" si="52"/>
        <v/>
      </c>
      <c r="AA102" s="316" t="str">
        <f t="shared" ca="1" si="53"/>
        <v/>
      </c>
      <c r="AC102" s="310" t="e">
        <f t="shared" ca="1" si="54"/>
        <v>#N/A</v>
      </c>
      <c r="AD102" s="323" t="e">
        <f t="shared" ca="1" si="55"/>
        <v>#N/A</v>
      </c>
      <c r="AE102" s="324">
        <f t="shared" ca="1" si="34"/>
        <v>68.09606650227559</v>
      </c>
      <c r="AG102" s="306">
        <f t="shared" ca="1" si="56"/>
        <v>141.10197067565448</v>
      </c>
      <c r="AH102" s="304">
        <f t="shared" ca="1" si="57"/>
        <v>150.73329011788994</v>
      </c>
    </row>
    <row r="103" spans="1:34" x14ac:dyDescent="0.2">
      <c r="A103" s="347">
        <f t="shared" ca="1" si="35"/>
        <v>0.01</v>
      </c>
      <c r="B103" s="304">
        <f t="shared" ca="1" si="36"/>
        <v>0.99000000000000066</v>
      </c>
      <c r="D103" s="306">
        <f t="shared" ca="1" si="37"/>
        <v>28.566048379784622</v>
      </c>
      <c r="E103" s="307">
        <f t="shared" ca="1" si="38"/>
        <v>137.70341098405416</v>
      </c>
      <c r="F103" s="304">
        <f t="shared" ca="1" si="39"/>
        <v>140.63516102553984</v>
      </c>
      <c r="G103" s="306">
        <f t="shared" ca="1" si="40"/>
        <v>27.51117715190021</v>
      </c>
      <c r="H103" s="307">
        <f t="shared" ca="1" si="41"/>
        <v>141.96801736803246</v>
      </c>
      <c r="I103" s="304">
        <f t="shared" ca="1" si="42"/>
        <v>144.60906895382877</v>
      </c>
      <c r="J103" s="306">
        <f t="shared" ca="1" si="43"/>
        <v>13.059859184840819</v>
      </c>
      <c r="K103" s="307">
        <f t="shared" ca="1" si="44"/>
        <v>69.508861505406713</v>
      </c>
      <c r="L103" s="304">
        <f t="shared" ca="1" si="29"/>
        <v>70.725113995706522</v>
      </c>
      <c r="M103" s="306">
        <f t="shared" ca="1" si="45"/>
        <v>1.3793844536433386</v>
      </c>
      <c r="N103" s="304">
        <f t="shared" ca="1" si="46"/>
        <v>79.032907519722258</v>
      </c>
      <c r="P103" s="310">
        <f t="shared" ca="1" si="47"/>
        <v>9</v>
      </c>
      <c r="Q103" s="304">
        <f t="shared" ca="1" si="48"/>
        <v>1254.4739999999997</v>
      </c>
      <c r="R103" s="306">
        <f t="shared" ca="1" si="49"/>
        <v>0.61648834983975165</v>
      </c>
      <c r="S103" s="307">
        <f t="shared" ca="1" si="50"/>
        <v>7.8039999253644261</v>
      </c>
      <c r="T103" s="304">
        <f t="shared" ca="1" si="30"/>
        <v>76.557239267825025</v>
      </c>
      <c r="U103" s="311">
        <f t="shared" ca="1" si="31"/>
        <v>0</v>
      </c>
      <c r="V103" s="306">
        <f t="shared" ca="1" si="32"/>
        <v>1.2165146547998047</v>
      </c>
      <c r="W103" s="304">
        <f t="shared" ca="1" si="33"/>
        <v>83.497255550837551</v>
      </c>
      <c r="Y103" s="314" t="str">
        <f t="shared" ca="1" si="51"/>
        <v/>
      </c>
      <c r="Z103" s="315" t="str">
        <f t="shared" ca="1" si="52"/>
        <v/>
      </c>
      <c r="AA103" s="316" t="str">
        <f t="shared" ca="1" si="53"/>
        <v/>
      </c>
      <c r="AC103" s="310" t="e">
        <f t="shared" ca="1" si="54"/>
        <v>#N/A</v>
      </c>
      <c r="AD103" s="323" t="e">
        <f t="shared" ca="1" si="55"/>
        <v>#N/A</v>
      </c>
      <c r="AE103" s="324">
        <f t="shared" ca="1" si="34"/>
        <v>69.508861505406713</v>
      </c>
      <c r="AG103" s="306">
        <f t="shared" ca="1" si="56"/>
        <v>140.62279351752721</v>
      </c>
      <c r="AH103" s="304">
        <f t="shared" ca="1" si="57"/>
        <v>150.25387030019115</v>
      </c>
    </row>
    <row r="104" spans="1:34" x14ac:dyDescent="0.2">
      <c r="A104" s="347">
        <f t="shared" ca="1" si="35"/>
        <v>0.01</v>
      </c>
      <c r="B104" s="304">
        <f t="shared" ca="1" si="36"/>
        <v>1.0000000000000007</v>
      </c>
      <c r="D104" s="306">
        <f t="shared" ca="1" si="37"/>
        <v>28.493427437147602</v>
      </c>
      <c r="E104" s="307">
        <f t="shared" ca="1" si="38"/>
        <v>137.22679813251258</v>
      </c>
      <c r="F104" s="304">
        <f t="shared" ca="1" si="39"/>
        <v>140.15373535092584</v>
      </c>
      <c r="G104" s="306">
        <f t="shared" ca="1" si="40"/>
        <v>27.796111426271686</v>
      </c>
      <c r="H104" s="307">
        <f t="shared" ca="1" si="41"/>
        <v>143.3402853493576</v>
      </c>
      <c r="I104" s="304">
        <f t="shared" ca="1" si="42"/>
        <v>146.01048323479029</v>
      </c>
      <c r="J104" s="306">
        <f t="shared" ca="1" si="43"/>
        <v>13.33639562773168</v>
      </c>
      <c r="K104" s="307">
        <f t="shared" ca="1" si="44"/>
        <v>70.935403018993668</v>
      </c>
      <c r="L104" s="304">
        <f t="shared" ca="1" si="29"/>
        <v>72.178188185950177</v>
      </c>
      <c r="M104" s="306">
        <f t="shared" ca="1" si="45"/>
        <v>1.3792566337020529</v>
      </c>
      <c r="N104" s="304">
        <f t="shared" ca="1" si="46"/>
        <v>79.025583976548972</v>
      </c>
      <c r="P104" s="310">
        <f t="shared" ca="1" si="47"/>
        <v>9</v>
      </c>
      <c r="Q104" s="304">
        <f t="shared" ca="1" si="48"/>
        <v>1251.3979999999997</v>
      </c>
      <c r="R104" s="306">
        <f t="shared" ca="1" si="49"/>
        <v>0.61497670578486718</v>
      </c>
      <c r="S104" s="307">
        <f t="shared" ca="1" si="50"/>
        <v>7.7978501583065771</v>
      </c>
      <c r="T104" s="304">
        <f t="shared" ca="1" si="30"/>
        <v>76.496910052987531</v>
      </c>
      <c r="U104" s="311">
        <f t="shared" ca="1" si="31"/>
        <v>0</v>
      </c>
      <c r="V104" s="306">
        <f t="shared" ca="1" si="32"/>
        <v>1.2163411241724991</v>
      </c>
      <c r="W104" s="304">
        <f t="shared" ca="1" si="33"/>
        <v>85.111307633133478</v>
      </c>
      <c r="Y104" s="314" t="str">
        <f t="shared" ca="1" si="51"/>
        <v/>
      </c>
      <c r="Z104" s="315" t="str">
        <f t="shared" ca="1" si="52"/>
        <v/>
      </c>
      <c r="AA104" s="316" t="str">
        <f t="shared" ca="1" si="53"/>
        <v/>
      </c>
      <c r="AC104" s="310">
        <f t="shared" ca="1" si="54"/>
        <v>1.0000000000000007</v>
      </c>
      <c r="AD104" s="323">
        <f t="shared" ca="1" si="55"/>
        <v>13.33639562773168</v>
      </c>
      <c r="AE104" s="324">
        <f t="shared" ca="1" si="34"/>
        <v>70.935403018993668</v>
      </c>
      <c r="AG104" s="306">
        <f t="shared" ca="1" si="56"/>
        <v>140.14130882064327</v>
      </c>
      <c r="AH104" s="304">
        <f t="shared" ca="1" si="57"/>
        <v>149.77214498089174</v>
      </c>
    </row>
    <row r="105" spans="1:34" x14ac:dyDescent="0.2">
      <c r="A105" s="347">
        <f t="shared" ca="1" si="35"/>
        <v>0.01</v>
      </c>
      <c r="B105" s="304">
        <f t="shared" ca="1" si="36"/>
        <v>1.0100000000000007</v>
      </c>
      <c r="D105" s="306">
        <f t="shared" ca="1" si="37"/>
        <v>28.418662405850764</v>
      </c>
      <c r="E105" s="307">
        <f t="shared" ca="1" si="38"/>
        <v>136.74068531102441</v>
      </c>
      <c r="F105" s="304">
        <f t="shared" ca="1" si="39"/>
        <v>139.66257692118646</v>
      </c>
      <c r="G105" s="306">
        <f t="shared" ca="1" si="40"/>
        <v>28.080298050330192</v>
      </c>
      <c r="H105" s="307">
        <f t="shared" ca="1" si="41"/>
        <v>144.70769220246785</v>
      </c>
      <c r="I105" s="304">
        <f t="shared" ca="1" si="42"/>
        <v>147.40698532009787</v>
      </c>
      <c r="J105" s="306">
        <f t="shared" ca="1" si="43"/>
        <v>13.615777675114689</v>
      </c>
      <c r="K105" s="307">
        <f t="shared" ca="1" si="44"/>
        <v>72.375642906752802</v>
      </c>
      <c r="L105" s="304">
        <f t="shared" ca="1" si="29"/>
        <v>73.645251631479596</v>
      </c>
      <c r="M105" s="306">
        <f t="shared" ca="1" si="45"/>
        <v>1.3791299411892834</v>
      </c>
      <c r="N105" s="304">
        <f t="shared" ca="1" si="46"/>
        <v>79.01832503027137</v>
      </c>
      <c r="P105" s="310">
        <f t="shared" ca="1" si="47"/>
        <v>10</v>
      </c>
      <c r="Q105" s="304">
        <f t="shared" ca="1" si="48"/>
        <v>1248.2639999999997</v>
      </c>
      <c r="R105" s="306">
        <f t="shared" ca="1" si="49"/>
        <v>0.61343655868863578</v>
      </c>
      <c r="S105" s="307">
        <f t="shared" ca="1" si="50"/>
        <v>7.7917157927196907</v>
      </c>
      <c r="T105" s="304">
        <f t="shared" ca="1" si="30"/>
        <v>76.436731926580165</v>
      </c>
      <c r="U105" s="311">
        <f t="shared" ca="1" si="31"/>
        <v>0</v>
      </c>
      <c r="V105" s="306">
        <f t="shared" ca="1" si="32"/>
        <v>1.216165952238234</v>
      </c>
      <c r="W105" s="304">
        <f t="shared" ca="1" si="33"/>
        <v>86.73467698786564</v>
      </c>
      <c r="Y105" s="314" t="str">
        <f t="shared" ca="1" si="51"/>
        <v/>
      </c>
      <c r="Z105" s="315" t="str">
        <f t="shared" ca="1" si="52"/>
        <v/>
      </c>
      <c r="AA105" s="316" t="str">
        <f t="shared" ca="1" si="53"/>
        <v/>
      </c>
      <c r="AC105" s="310" t="e">
        <f t="shared" ca="1" si="54"/>
        <v>#N/A</v>
      </c>
      <c r="AD105" s="323" t="e">
        <f t="shared" ca="1" si="55"/>
        <v>#N/A</v>
      </c>
      <c r="AE105" s="324">
        <f t="shared" ca="1" si="34"/>
        <v>72.375642906752802</v>
      </c>
      <c r="AG105" s="306">
        <f t="shared" ca="1" si="56"/>
        <v>139.65009022933711</v>
      </c>
      <c r="AH105" s="304">
        <f t="shared" ca="1" si="57"/>
        <v>149.28068775989954</v>
      </c>
    </row>
    <row r="106" spans="1:34" x14ac:dyDescent="0.2">
      <c r="A106" s="347">
        <f t="shared" ca="1" si="35"/>
        <v>0.01</v>
      </c>
      <c r="B106" s="304">
        <f t="shared" ca="1" si="36"/>
        <v>1.0200000000000007</v>
      </c>
      <c r="D106" s="306">
        <f t="shared" ca="1" si="37"/>
        <v>28.34175716505878</v>
      </c>
      <c r="E106" s="307">
        <f t="shared" ca="1" si="38"/>
        <v>136.2450833530126</v>
      </c>
      <c r="F106" s="304">
        <f t="shared" ca="1" si="39"/>
        <v>139.16169709037223</v>
      </c>
      <c r="G106" s="306">
        <f t="shared" ca="1" si="40"/>
        <v>28.363715621980781</v>
      </c>
      <c r="H106" s="307">
        <f t="shared" ca="1" si="41"/>
        <v>146.07014303599797</v>
      </c>
      <c r="I106" s="304">
        <f t="shared" ca="1" si="42"/>
        <v>148.79847798429088</v>
      </c>
      <c r="J106" s="306">
        <f t="shared" ca="1" si="43"/>
        <v>13.897997743476244</v>
      </c>
      <c r="K106" s="307">
        <f t="shared" ca="1" si="44"/>
        <v>73.829532082945136</v>
      </c>
      <c r="L106" s="304">
        <f t="shared" ca="1" si="29"/>
        <v>75.126254724059663</v>
      </c>
      <c r="M106" s="306">
        <f t="shared" ca="1" si="45"/>
        <v>1.3790043514472488</v>
      </c>
      <c r="N106" s="304">
        <f t="shared" ca="1" si="46"/>
        <v>79.01112926810265</v>
      </c>
      <c r="P106" s="310">
        <f t="shared" ca="1" si="47"/>
        <v>10</v>
      </c>
      <c r="Q106" s="304">
        <f t="shared" ca="1" si="48"/>
        <v>1245.0719999999997</v>
      </c>
      <c r="R106" s="306">
        <f t="shared" ca="1" si="49"/>
        <v>0.61186790855105744</v>
      </c>
      <c r="S106" s="307">
        <f t="shared" ca="1" si="50"/>
        <v>7.7855971136341804</v>
      </c>
      <c r="T106" s="304">
        <f t="shared" ca="1" si="30"/>
        <v>76.37670768475131</v>
      </c>
      <c r="U106" s="311">
        <f t="shared" ca="1" si="31"/>
        <v>0</v>
      </c>
      <c r="V106" s="306">
        <f t="shared" ca="1" si="32"/>
        <v>1.2159891456777532</v>
      </c>
      <c r="W106" s="304">
        <f t="shared" ca="1" si="33"/>
        <v>88.367073451032127</v>
      </c>
      <c r="Y106" s="314" t="str">
        <f t="shared" ca="1" si="51"/>
        <v/>
      </c>
      <c r="Z106" s="315" t="str">
        <f t="shared" ca="1" si="52"/>
        <v/>
      </c>
      <c r="AA106" s="316" t="str">
        <f t="shared" ca="1" si="53"/>
        <v/>
      </c>
      <c r="AC106" s="310" t="e">
        <f t="shared" ca="1" si="54"/>
        <v>#N/A</v>
      </c>
      <c r="AD106" s="323" t="e">
        <f t="shared" ca="1" si="55"/>
        <v>#N/A</v>
      </c>
      <c r="AE106" s="324">
        <f t="shared" ca="1" si="34"/>
        <v>73.829532082945136</v>
      </c>
      <c r="AG106" s="306">
        <f t="shared" ca="1" si="56"/>
        <v>139.14914907099489</v>
      </c>
      <c r="AH106" s="304">
        <f t="shared" ca="1" si="57"/>
        <v>148.77950992142237</v>
      </c>
    </row>
    <row r="107" spans="1:34" x14ac:dyDescent="0.2">
      <c r="A107" s="347">
        <f t="shared" ca="1" si="35"/>
        <v>0.01</v>
      </c>
      <c r="B107" s="304">
        <f t="shared" ca="1" si="36"/>
        <v>1.0300000000000007</v>
      </c>
      <c r="D107" s="306">
        <f t="shared" ca="1" si="37"/>
        <v>28.264137827349021</v>
      </c>
      <c r="E107" s="307">
        <f t="shared" ca="1" si="38"/>
        <v>135.74732789926051</v>
      </c>
      <c r="F107" s="304">
        <f t="shared" ca="1" si="39"/>
        <v>138.65856814100141</v>
      </c>
      <c r="G107" s="306">
        <f t="shared" ca="1" si="40"/>
        <v>28.64635700025427</v>
      </c>
      <c r="H107" s="307">
        <f t="shared" ca="1" si="41"/>
        <v>147.42761631499059</v>
      </c>
      <c r="I107" s="304">
        <f t="shared" ca="1" si="42"/>
        <v>150.18493873123927</v>
      </c>
      <c r="J107" s="306">
        <f t="shared" ca="1" si="43"/>
        <v>14.183048106587419</v>
      </c>
      <c r="K107" s="307">
        <f t="shared" ca="1" si="44"/>
        <v>75.297020879700085</v>
      </c>
      <c r="L107" s="304">
        <f t="shared" ca="1" si="29"/>
        <v>76.62114725682305</v>
      </c>
      <c r="M107" s="306">
        <f t="shared" ca="1" si="45"/>
        <v>1.3788798405793792</v>
      </c>
      <c r="N107" s="304">
        <f t="shared" ca="1" si="46"/>
        <v>79.003995320870217</v>
      </c>
      <c r="P107" s="310">
        <f t="shared" ca="1" si="47"/>
        <v>10</v>
      </c>
      <c r="Q107" s="304">
        <f t="shared" ca="1" si="48"/>
        <v>1241.8799999999997</v>
      </c>
      <c r="R107" s="306">
        <f t="shared" ca="1" si="49"/>
        <v>0.6102992584134791</v>
      </c>
      <c r="S107" s="307">
        <f t="shared" ca="1" si="50"/>
        <v>7.7794941210500452</v>
      </c>
      <c r="T107" s="304">
        <f t="shared" ca="1" si="30"/>
        <v>76.316837327500949</v>
      </c>
      <c r="U107" s="311">
        <f t="shared" ca="1" si="31"/>
        <v>0</v>
      </c>
      <c r="V107" s="306">
        <f t="shared" ca="1" si="32"/>
        <v>1.2158107112455971</v>
      </c>
      <c r="W107" s="304">
        <f t="shared" ca="1" si="33"/>
        <v>90.008292831683974</v>
      </c>
      <c r="Y107" s="314" t="str">
        <f t="shared" ca="1" si="51"/>
        <v/>
      </c>
      <c r="Z107" s="315" t="str">
        <f t="shared" ca="1" si="52"/>
        <v/>
      </c>
      <c r="AA107" s="316" t="str">
        <f t="shared" ca="1" si="53"/>
        <v/>
      </c>
      <c r="AC107" s="310" t="e">
        <f t="shared" ca="1" si="54"/>
        <v>#N/A</v>
      </c>
      <c r="AD107" s="323" t="e">
        <f t="shared" ca="1" si="55"/>
        <v>#N/A</v>
      </c>
      <c r="AE107" s="324">
        <f t="shared" ca="1" si="34"/>
        <v>75.297020879700085</v>
      </c>
      <c r="AG107" s="306">
        <f t="shared" ca="1" si="56"/>
        <v>138.64595827931052</v>
      </c>
      <c r="AH107" s="304">
        <f t="shared" ca="1" si="57"/>
        <v>148.27608435717551</v>
      </c>
    </row>
    <row r="108" spans="1:34" x14ac:dyDescent="0.2">
      <c r="A108" s="347">
        <f t="shared" ca="1" si="35"/>
        <v>0.01</v>
      </c>
      <c r="B108" s="304">
        <f t="shared" ca="1" si="36"/>
        <v>1.0400000000000007</v>
      </c>
      <c r="D108" s="306">
        <f t="shared" ca="1" si="37"/>
        <v>28.185813260581675</v>
      </c>
      <c r="E108" s="307">
        <f t="shared" ca="1" si="38"/>
        <v>135.24744178466131</v>
      </c>
      <c r="F108" s="304">
        <f t="shared" ca="1" si="39"/>
        <v>138.15321414449875</v>
      </c>
      <c r="G108" s="306">
        <f t="shared" ca="1" si="40"/>
        <v>28.928215132860085</v>
      </c>
      <c r="H108" s="307">
        <f t="shared" ca="1" si="41"/>
        <v>148.78009073283721</v>
      </c>
      <c r="I108" s="304">
        <f t="shared" ca="1" si="42"/>
        <v>151.56634530542823</v>
      </c>
      <c r="J108" s="306">
        <f t="shared" ca="1" si="43"/>
        <v>14.47092096725299</v>
      </c>
      <c r="K108" s="307">
        <f t="shared" ca="1" si="44"/>
        <v>76.778059414939221</v>
      </c>
      <c r="L108" s="304">
        <f t="shared" ca="1" si="29"/>
        <v>78.129878799115133</v>
      </c>
      <c r="M108" s="306">
        <f t="shared" ca="1" si="45"/>
        <v>1.3787563854189844</v>
      </c>
      <c r="N108" s="304">
        <f t="shared" ca="1" si="46"/>
        <v>78.996921861220486</v>
      </c>
      <c r="P108" s="310">
        <f t="shared" ca="1" si="47"/>
        <v>10</v>
      </c>
      <c r="Q108" s="304">
        <f t="shared" ca="1" si="48"/>
        <v>1238.6879999999996</v>
      </c>
      <c r="R108" s="306">
        <f t="shared" ca="1" si="49"/>
        <v>0.60873060827590064</v>
      </c>
      <c r="S108" s="307">
        <f t="shared" ca="1" si="50"/>
        <v>7.7734068149672861</v>
      </c>
      <c r="T108" s="304">
        <f t="shared" ca="1" si="30"/>
        <v>76.257120854829083</v>
      </c>
      <c r="U108" s="311">
        <f t="shared" ca="1" si="31"/>
        <v>0</v>
      </c>
      <c r="V108" s="306">
        <f t="shared" ca="1" si="32"/>
        <v>1.2156306557252401</v>
      </c>
      <c r="W108" s="304">
        <f t="shared" ca="1" si="33"/>
        <v>91.658130915107407</v>
      </c>
      <c r="Y108" s="314" t="str">
        <f t="shared" ca="1" si="51"/>
        <v/>
      </c>
      <c r="Z108" s="315" t="str">
        <f t="shared" ca="1" si="52"/>
        <v/>
      </c>
      <c r="AA108" s="316" t="str">
        <f t="shared" ca="1" si="53"/>
        <v/>
      </c>
      <c r="AC108" s="310" t="e">
        <f t="shared" ca="1" si="54"/>
        <v>#N/A</v>
      </c>
      <c r="AD108" s="323" t="e">
        <f t="shared" ca="1" si="55"/>
        <v>#N/A</v>
      </c>
      <c r="AE108" s="324">
        <f t="shared" ca="1" si="34"/>
        <v>76.778059414939221</v>
      </c>
      <c r="AG108" s="306">
        <f t="shared" ca="1" si="56"/>
        <v>138.1405419164231</v>
      </c>
      <c r="AH108" s="304">
        <f t="shared" ca="1" si="57"/>
        <v>147.77043508858861</v>
      </c>
    </row>
    <row r="109" spans="1:34" x14ac:dyDescent="0.2">
      <c r="A109" s="347">
        <f t="shared" ca="1" si="35"/>
        <v>0.01</v>
      </c>
      <c r="B109" s="304">
        <f t="shared" ca="1" si="36"/>
        <v>1.0500000000000007</v>
      </c>
      <c r="D109" s="306">
        <f t="shared" ca="1" si="37"/>
        <v>28.106792225277211</v>
      </c>
      <c r="E109" s="307">
        <f t="shared" ca="1" si="38"/>
        <v>134.74544796939932</v>
      </c>
      <c r="F109" s="304">
        <f t="shared" ca="1" si="39"/>
        <v>137.64565927652424</v>
      </c>
      <c r="G109" s="306">
        <f t="shared" ca="1" si="40"/>
        <v>29.209283055112856</v>
      </c>
      <c r="H109" s="307">
        <f t="shared" ca="1" si="41"/>
        <v>150.1275452125312</v>
      </c>
      <c r="I109" s="304">
        <f t="shared" ca="1" si="42"/>
        <v>152.94267569300044</v>
      </c>
      <c r="J109" s="306">
        <f t="shared" ca="1" si="43"/>
        <v>14.761608458192855</v>
      </c>
      <c r="K109" s="307">
        <f t="shared" ca="1" si="44"/>
        <v>78.272597594666067</v>
      </c>
      <c r="L109" s="304">
        <f t="shared" ca="1" si="29"/>
        <v>79.652398698906211</v>
      </c>
      <c r="M109" s="306">
        <f t="shared" ca="1" si="45"/>
        <v>1.3786339634995171</v>
      </c>
      <c r="N109" s="304">
        <f t="shared" ca="1" si="46"/>
        <v>78.989907601915107</v>
      </c>
      <c r="P109" s="310">
        <f t="shared" ca="1" si="47"/>
        <v>10</v>
      </c>
      <c r="Q109" s="304">
        <f t="shared" ca="1" si="48"/>
        <v>1235.4959999999996</v>
      </c>
      <c r="R109" s="306">
        <f t="shared" ca="1" si="49"/>
        <v>0.6071619581383223</v>
      </c>
      <c r="S109" s="307">
        <f t="shared" ca="1" si="50"/>
        <v>7.7673351953859031</v>
      </c>
      <c r="T109" s="304">
        <f t="shared" ca="1" si="30"/>
        <v>76.197558266735712</v>
      </c>
      <c r="U109" s="311">
        <f t="shared" ca="1" si="31"/>
        <v>0</v>
      </c>
      <c r="V109" s="306">
        <f t="shared" ca="1" si="32"/>
        <v>1.2154489859287045</v>
      </c>
      <c r="W109" s="304">
        <f t="shared" ca="1" si="33"/>
        <v>93.316383489711356</v>
      </c>
      <c r="Y109" s="314" t="str">
        <f t="shared" ca="1" si="51"/>
        <v/>
      </c>
      <c r="Z109" s="315" t="str">
        <f t="shared" ca="1" si="52"/>
        <v/>
      </c>
      <c r="AA109" s="316" t="str">
        <f t="shared" ca="1" si="53"/>
        <v/>
      </c>
      <c r="AC109" s="310" t="e">
        <f t="shared" ca="1" si="54"/>
        <v>#N/A</v>
      </c>
      <c r="AD109" s="323" t="e">
        <f t="shared" ca="1" si="55"/>
        <v>#N/A</v>
      </c>
      <c r="AE109" s="324">
        <f t="shared" ca="1" si="34"/>
        <v>78.272597594666067</v>
      </c>
      <c r="AG109" s="306">
        <f t="shared" ca="1" si="56"/>
        <v>137.63292414865887</v>
      </c>
      <c r="AH109" s="304">
        <f t="shared" ca="1" si="57"/>
        <v>147.26258624249616</v>
      </c>
    </row>
    <row r="110" spans="1:34" x14ac:dyDescent="0.2">
      <c r="A110" s="347">
        <f t="shared" ca="1" si="35"/>
        <v>0.01</v>
      </c>
      <c r="B110" s="304">
        <f t="shared" ca="1" si="36"/>
        <v>1.0600000000000007</v>
      </c>
      <c r="D110" s="306">
        <f t="shared" ca="1" si="37"/>
        <v>28.02708337936777</v>
      </c>
      <c r="E110" s="307">
        <f t="shared" ca="1" si="38"/>
        <v>134.24136953455292</v>
      </c>
      <c r="F110" s="304">
        <f t="shared" ca="1" si="39"/>
        <v>137.13592781348885</v>
      </c>
      <c r="G110" s="306">
        <f t="shared" ca="1" si="40"/>
        <v>29.489553888906535</v>
      </c>
      <c r="H110" s="307">
        <f t="shared" ca="1" si="41"/>
        <v>151.46995890787673</v>
      </c>
      <c r="I110" s="304">
        <f t="shared" ca="1" si="42"/>
        <v>154.31390812276317</v>
      </c>
      <c r="J110" s="306">
        <f t="shared" ca="1" si="43"/>
        <v>15.055102642912953</v>
      </c>
      <c r="K110" s="307">
        <f t="shared" ca="1" si="44"/>
        <v>79.78058511526811</v>
      </c>
      <c r="L110" s="304">
        <f t="shared" ca="1" si="29"/>
        <v>81.188656085214177</v>
      </c>
      <c r="M110" s="306">
        <f t="shared" ca="1" si="45"/>
        <v>1.3785125530263405</v>
      </c>
      <c r="N110" s="304">
        <f t="shared" ca="1" si="46"/>
        <v>78.982951294213407</v>
      </c>
      <c r="P110" s="310">
        <f t="shared" ca="1" si="47"/>
        <v>10</v>
      </c>
      <c r="Q110" s="304">
        <f t="shared" ca="1" si="48"/>
        <v>1232.3039999999996</v>
      </c>
      <c r="R110" s="306">
        <f t="shared" ca="1" si="49"/>
        <v>0.60559330800074396</v>
      </c>
      <c r="S110" s="307">
        <f t="shared" ca="1" si="50"/>
        <v>7.7612792623058953</v>
      </c>
      <c r="T110" s="304">
        <f t="shared" ca="1" si="30"/>
        <v>76.138149563220836</v>
      </c>
      <c r="U110" s="311">
        <f t="shared" ca="1" si="31"/>
        <v>0</v>
      </c>
      <c r="V110" s="306">
        <f t="shared" ca="1" si="32"/>
        <v>1.2152657086961747</v>
      </c>
      <c r="W110" s="304">
        <f t="shared" ca="1" si="33"/>
        <v>94.98284637379308</v>
      </c>
      <c r="Y110" s="314" t="str">
        <f t="shared" ca="1" si="51"/>
        <v/>
      </c>
      <c r="Z110" s="315" t="str">
        <f t="shared" ca="1" si="52"/>
        <v/>
      </c>
      <c r="AA110" s="316" t="str">
        <f t="shared" ca="1" si="53"/>
        <v/>
      </c>
      <c r="AC110" s="310" t="e">
        <f t="shared" ca="1" si="54"/>
        <v>#N/A</v>
      </c>
      <c r="AD110" s="323" t="e">
        <f t="shared" ca="1" si="55"/>
        <v>#N/A</v>
      </c>
      <c r="AE110" s="324">
        <f t="shared" ca="1" si="34"/>
        <v>79.78058511526811</v>
      </c>
      <c r="AG110" s="306">
        <f t="shared" ca="1" si="56"/>
        <v>137.12312924304166</v>
      </c>
      <c r="AH110" s="304">
        <f t="shared" ca="1" si="57"/>
        <v>146.75256204759887</v>
      </c>
    </row>
    <row r="111" spans="1:34" x14ac:dyDescent="0.2">
      <c r="A111" s="347">
        <f t="shared" ca="1" si="35"/>
        <v>0.01</v>
      </c>
      <c r="B111" s="304">
        <f t="shared" ca="1" si="36"/>
        <v>1.0700000000000007</v>
      </c>
      <c r="D111" s="306">
        <f t="shared" ca="1" si="37"/>
        <v>27.946695282671218</v>
      </c>
      <c r="E111" s="307">
        <f t="shared" ca="1" si="38"/>
        <v>133.73522967773943</v>
      </c>
      <c r="F111" s="304">
        <f t="shared" ca="1" si="39"/>
        <v>136.62404412906315</v>
      </c>
      <c r="G111" s="306">
        <f t="shared" ca="1" si="40"/>
        <v>29.769020841733248</v>
      </c>
      <c r="H111" s="307">
        <f t="shared" ca="1" si="41"/>
        <v>152.80731120465413</v>
      </c>
      <c r="I111" s="304">
        <f t="shared" ca="1" si="42"/>
        <v>155.6800210671606</v>
      </c>
      <c r="J111" s="306">
        <f t="shared" ca="1" si="43"/>
        <v>15.351395516566152</v>
      </c>
      <c r="K111" s="307">
        <f t="shared" ca="1" si="44"/>
        <v>81.301971465830761</v>
      </c>
      <c r="L111" s="304">
        <f t="shared" ca="1" si="29"/>
        <v>82.738599870536888</v>
      </c>
      <c r="M111" s="306">
        <f t="shared" ca="1" si="45"/>
        <v>1.3783921328499074</v>
      </c>
      <c r="N111" s="304">
        <f t="shared" ca="1" si="46"/>
        <v>78.976051726335569</v>
      </c>
      <c r="P111" s="310">
        <f t="shared" ca="1" si="47"/>
        <v>10</v>
      </c>
      <c r="Q111" s="304">
        <f t="shared" ca="1" si="48"/>
        <v>1229.1119999999999</v>
      </c>
      <c r="R111" s="306">
        <f t="shared" ca="1" si="49"/>
        <v>0.60402465786316573</v>
      </c>
      <c r="S111" s="307">
        <f t="shared" ca="1" si="50"/>
        <v>7.7552390157272635</v>
      </c>
      <c r="T111" s="304">
        <f t="shared" ca="1" si="30"/>
        <v>76.078894744284455</v>
      </c>
      <c r="U111" s="311">
        <f t="shared" ca="1" si="31"/>
        <v>0</v>
      </c>
      <c r="V111" s="306">
        <f t="shared" ca="1" si="32"/>
        <v>1.2150808308956105</v>
      </c>
      <c r="W111" s="304">
        <f t="shared" ca="1" si="33"/>
        <v>96.657315442175886</v>
      </c>
      <c r="Y111" s="314" t="str">
        <f t="shared" ca="1" si="51"/>
        <v/>
      </c>
      <c r="Z111" s="315" t="str">
        <f t="shared" ca="1" si="52"/>
        <v/>
      </c>
      <c r="AA111" s="316" t="str">
        <f t="shared" ca="1" si="53"/>
        <v/>
      </c>
      <c r="AC111" s="310" t="e">
        <f t="shared" ca="1" si="54"/>
        <v>#N/A</v>
      </c>
      <c r="AD111" s="323" t="e">
        <f t="shared" ca="1" si="55"/>
        <v>#N/A</v>
      </c>
      <c r="AE111" s="324">
        <f t="shared" ca="1" si="34"/>
        <v>81.301971465830761</v>
      </c>
      <c r="AG111" s="306">
        <f t="shared" ca="1" si="56"/>
        <v>136.61118156379663</v>
      </c>
      <c r="AH111" s="304">
        <f t="shared" ca="1" si="57"/>
        <v>146.2403868309211</v>
      </c>
    </row>
    <row r="112" spans="1:34" x14ac:dyDescent="0.2">
      <c r="A112" s="347">
        <f t="shared" ca="1" si="35"/>
        <v>0.01</v>
      </c>
      <c r="B112" s="304">
        <f t="shared" ca="1" si="36"/>
        <v>1.0800000000000007</v>
      </c>
      <c r="D112" s="306">
        <f t="shared" ca="1" si="37"/>
        <v>27.865636401104886</v>
      </c>
      <c r="E112" s="307">
        <f t="shared" ca="1" si="38"/>
        <v>133.22705170880099</v>
      </c>
      <c r="F112" s="304">
        <f t="shared" ca="1" si="39"/>
        <v>136.1100326906805</v>
      </c>
      <c r="G112" s="306">
        <f t="shared" ca="1" si="40"/>
        <v>30.047677205744296</v>
      </c>
      <c r="H112" s="307">
        <f t="shared" ca="1" si="41"/>
        <v>154.13958172174213</v>
      </c>
      <c r="I112" s="304">
        <f t="shared" ca="1" si="42"/>
        <v>157.04099324321095</v>
      </c>
      <c r="J112" s="306">
        <f t="shared" ca="1" si="43"/>
        <v>15.65047900680354</v>
      </c>
      <c r="K112" s="307">
        <f t="shared" ca="1" si="44"/>
        <v>82.836705930462742</v>
      </c>
      <c r="L112" s="304">
        <f t="shared" ca="1" si="29"/>
        <v>84.302178753294143</v>
      </c>
      <c r="M112" s="306">
        <f t="shared" ca="1" si="45"/>
        <v>1.3782726824402665</v>
      </c>
      <c r="N112" s="304">
        <f t="shared" ca="1" si="46"/>
        <v>78.969207722002039</v>
      </c>
      <c r="P112" s="310">
        <f t="shared" ca="1" si="47"/>
        <v>10</v>
      </c>
      <c r="Q112" s="304">
        <f t="shared" ca="1" si="48"/>
        <v>1225.9199999999998</v>
      </c>
      <c r="R112" s="306">
        <f t="shared" ca="1" si="49"/>
        <v>0.60245600772558727</v>
      </c>
      <c r="S112" s="307">
        <f t="shared" ca="1" si="50"/>
        <v>7.7492144556500078</v>
      </c>
      <c r="T112" s="304">
        <f t="shared" ca="1" si="30"/>
        <v>76.019793809926583</v>
      </c>
      <c r="U112" s="311">
        <f t="shared" ca="1" si="31"/>
        <v>0</v>
      </c>
      <c r="V112" s="306">
        <f t="shared" ca="1" si="32"/>
        <v>1.2148943594223569</v>
      </c>
      <c r="W112" s="304">
        <f t="shared" ca="1" si="33"/>
        <v>98.33958665271291</v>
      </c>
      <c r="Y112" s="314" t="str">
        <f t="shared" ca="1" si="51"/>
        <v/>
      </c>
      <c r="Z112" s="315" t="str">
        <f t="shared" ca="1" si="52"/>
        <v/>
      </c>
      <c r="AA112" s="316" t="str">
        <f t="shared" ca="1" si="53"/>
        <v/>
      </c>
      <c r="AC112" s="310" t="e">
        <f t="shared" ca="1" si="54"/>
        <v>#N/A</v>
      </c>
      <c r="AD112" s="323" t="e">
        <f t="shared" ca="1" si="55"/>
        <v>#N/A</v>
      </c>
      <c r="AE112" s="324">
        <f t="shared" ca="1" si="34"/>
        <v>82.836705930462742</v>
      </c>
      <c r="AG112" s="306">
        <f t="shared" ca="1" si="56"/>
        <v>136.09710556884875</v>
      </c>
      <c r="AH112" s="304">
        <f t="shared" ca="1" si="57"/>
        <v>145.72608501426498</v>
      </c>
    </row>
    <row r="113" spans="1:34" x14ac:dyDescent="0.2">
      <c r="A113" s="347">
        <f t="shared" ca="1" si="35"/>
        <v>0.01</v>
      </c>
      <c r="B113" s="304">
        <f t="shared" ca="1" si="36"/>
        <v>1.0900000000000007</v>
      </c>
      <c r="D113" s="306">
        <f t="shared" ca="1" si="37"/>
        <v>27.78391511065459</v>
      </c>
      <c r="E113" s="307">
        <f t="shared" ca="1" si="38"/>
        <v>132.71685904552965</v>
      </c>
      <c r="F113" s="304">
        <f t="shared" ca="1" si="39"/>
        <v>135.59391805603613</v>
      </c>
      <c r="G113" s="306">
        <f t="shared" ca="1" si="40"/>
        <v>30.325516356850841</v>
      </c>
      <c r="H113" s="307">
        <f t="shared" ca="1" si="41"/>
        <v>155.46675031219743</v>
      </c>
      <c r="I113" s="304">
        <f t="shared" ca="1" si="42"/>
        <v>158.39680361340871</v>
      </c>
      <c r="J113" s="306">
        <f t="shared" ca="1" si="43"/>
        <v>15.952344974616516</v>
      </c>
      <c r="K113" s="307">
        <f t="shared" ca="1" si="44"/>
        <v>84.38473759063244</v>
      </c>
      <c r="L113" s="304">
        <f t="shared" ca="1" si="29"/>
        <v>85.879341220278747</v>
      </c>
      <c r="M113" s="306">
        <f t="shared" ca="1" si="45"/>
        <v>1.3781541818628178</v>
      </c>
      <c r="N113" s="304">
        <f t="shared" ca="1" si="46"/>
        <v>78.96241813904436</v>
      </c>
      <c r="P113" s="310">
        <f t="shared" ca="1" si="47"/>
        <v>10</v>
      </c>
      <c r="Q113" s="304">
        <f t="shared" ca="1" si="48"/>
        <v>1222.7279999999998</v>
      </c>
      <c r="R113" s="306">
        <f t="shared" ca="1" si="49"/>
        <v>0.60088735758800893</v>
      </c>
      <c r="S113" s="307">
        <f t="shared" ca="1" si="50"/>
        <v>7.7432055820741281</v>
      </c>
      <c r="T113" s="304">
        <f t="shared" ca="1" si="30"/>
        <v>75.960846760147206</v>
      </c>
      <c r="U113" s="311">
        <f t="shared" ca="1" si="31"/>
        <v>0</v>
      </c>
      <c r="V113" s="306">
        <f t="shared" ca="1" si="32"/>
        <v>1.2147063011987564</v>
      </c>
      <c r="W113" s="304">
        <f t="shared" ca="1" si="33"/>
        <v>100.02945607265156</v>
      </c>
      <c r="Y113" s="314" t="str">
        <f t="shared" ca="1" si="51"/>
        <v/>
      </c>
      <c r="Z113" s="315" t="str">
        <f t="shared" ca="1" si="52"/>
        <v/>
      </c>
      <c r="AA113" s="316" t="str">
        <f t="shared" ca="1" si="53"/>
        <v/>
      </c>
      <c r="AC113" s="310" t="e">
        <f t="shared" ca="1" si="54"/>
        <v>#N/A</v>
      </c>
      <c r="AD113" s="323" t="e">
        <f t="shared" ca="1" si="55"/>
        <v>#N/A</v>
      </c>
      <c r="AE113" s="324">
        <f t="shared" ca="1" si="34"/>
        <v>84.38473759063244</v>
      </c>
      <c r="AG113" s="306">
        <f t="shared" ca="1" si="56"/>
        <v>135.58092580631691</v>
      </c>
      <c r="AH113" s="304">
        <f t="shared" ca="1" si="57"/>
        <v>145.20968111066264</v>
      </c>
    </row>
    <row r="114" spans="1:34" x14ac:dyDescent="0.2">
      <c r="A114" s="347">
        <f t="shared" ca="1" si="35"/>
        <v>0.01</v>
      </c>
      <c r="B114" s="304">
        <f t="shared" ca="1" si="36"/>
        <v>1.1000000000000008</v>
      </c>
      <c r="D114" s="306">
        <f t="shared" ca="1" si="37"/>
        <v>27.701539701113443</v>
      </c>
      <c r="E114" s="307">
        <f t="shared" ca="1" si="38"/>
        <v>132.20467520942992</v>
      </c>
      <c r="F114" s="304">
        <f t="shared" ca="1" si="39"/>
        <v>135.07572486958276</v>
      </c>
      <c r="G114" s="306">
        <f t="shared" ca="1" si="40"/>
        <v>30.602531753861975</v>
      </c>
      <c r="H114" s="307">
        <f t="shared" ca="1" si="41"/>
        <v>156.78879706429174</v>
      </c>
      <c r="I114" s="304">
        <f t="shared" ca="1" si="42"/>
        <v>159.74743138659159</v>
      </c>
      <c r="J114" s="306">
        <f t="shared" ca="1" si="43"/>
        <v>16.256985215170079</v>
      </c>
      <c r="K114" s="307">
        <f t="shared" ca="1" si="44"/>
        <v>85.946015327514885</v>
      </c>
      <c r="L114" s="304">
        <f t="shared" ca="1" si="29"/>
        <v>87.470035549116375</v>
      </c>
      <c r="M114" s="306">
        <f t="shared" ca="1" si="45"/>
        <v>1.3780366117552467</v>
      </c>
      <c r="N114" s="304">
        <f t="shared" ca="1" si="46"/>
        <v>78.955681868083644</v>
      </c>
      <c r="P114" s="310">
        <f t="shared" ca="1" si="47"/>
        <v>10</v>
      </c>
      <c r="Q114" s="304">
        <f t="shared" ca="1" si="48"/>
        <v>1219.5359999999998</v>
      </c>
      <c r="R114" s="306">
        <f t="shared" ca="1" si="49"/>
        <v>0.59931870745043059</v>
      </c>
      <c r="S114" s="307">
        <f t="shared" ca="1" si="50"/>
        <v>7.7372123949996237</v>
      </c>
      <c r="T114" s="304">
        <f t="shared" ca="1" si="30"/>
        <v>75.90205359494631</v>
      </c>
      <c r="U114" s="311">
        <f t="shared" ca="1" si="31"/>
        <v>0</v>
      </c>
      <c r="V114" s="306">
        <f t="shared" ca="1" si="32"/>
        <v>1.2145166631737572</v>
      </c>
      <c r="W114" s="304">
        <f t="shared" ca="1" si="33"/>
        <v>101.72671990485257</v>
      </c>
      <c r="Y114" s="314" t="str">
        <f t="shared" ca="1" si="51"/>
        <v/>
      </c>
      <c r="Z114" s="315" t="str">
        <f t="shared" ca="1" si="52"/>
        <v/>
      </c>
      <c r="AA114" s="316" t="str">
        <f t="shared" ca="1" si="53"/>
        <v/>
      </c>
      <c r="AC114" s="310" t="e">
        <f t="shared" ca="1" si="54"/>
        <v>#N/A</v>
      </c>
      <c r="AD114" s="323" t="e">
        <f t="shared" ca="1" si="55"/>
        <v>#N/A</v>
      </c>
      <c r="AE114" s="324">
        <f t="shared" ca="1" si="34"/>
        <v>85.946015327514885</v>
      </c>
      <c r="AG114" s="306">
        <f t="shared" ca="1" si="56"/>
        <v>135.06266691100481</v>
      </c>
      <c r="AH114" s="304">
        <f t="shared" ca="1" si="57"/>
        <v>144.69119972082694</v>
      </c>
    </row>
    <row r="115" spans="1:34" x14ac:dyDescent="0.2">
      <c r="A115" s="347">
        <f t="shared" ca="1" si="35"/>
        <v>0.01</v>
      </c>
      <c r="B115" s="304">
        <f t="shared" ca="1" si="36"/>
        <v>1.1100000000000008</v>
      </c>
      <c r="D115" s="306">
        <f t="shared" ca="1" si="37"/>
        <v>27.634970553992488</v>
      </c>
      <c r="E115" s="307">
        <f t="shared" ca="1" si="38"/>
        <v>131.77481477666666</v>
      </c>
      <c r="F115" s="304">
        <f t="shared" ca="1" si="39"/>
        <v>134.64135102911303</v>
      </c>
      <c r="G115" s="306">
        <f t="shared" ca="1" si="40"/>
        <v>30.878881459401899</v>
      </c>
      <c r="H115" s="307">
        <f t="shared" ca="1" si="41"/>
        <v>158.10654521205842</v>
      </c>
      <c r="I115" s="304">
        <f t="shared" ca="1" si="42"/>
        <v>161.09371483418113</v>
      </c>
      <c r="J115" s="306">
        <f t="shared" ca="1" si="43"/>
        <v>16.564392281236398</v>
      </c>
      <c r="K115" s="307">
        <f t="shared" ca="1" si="44"/>
        <v>87.520492038896634</v>
      </c>
      <c r="L115" s="304">
        <f t="shared" ca="1" si="29"/>
        <v>89.074214104741074</v>
      </c>
      <c r="M115" s="306">
        <f t="shared" ca="1" si="45"/>
        <v>1.3779199539274873</v>
      </c>
      <c r="N115" s="304">
        <f t="shared" ca="1" si="46"/>
        <v>78.94899786690587</v>
      </c>
      <c r="P115" s="310">
        <f t="shared" ca="1" si="47"/>
        <v>11</v>
      </c>
      <c r="Q115" s="304">
        <f t="shared" ca="1" si="48"/>
        <v>1217.0074999999999</v>
      </c>
      <c r="R115" s="306">
        <f t="shared" ca="1" si="49"/>
        <v>0.59807612227722673</v>
      </c>
      <c r="S115" s="307">
        <f t="shared" ca="1" si="50"/>
        <v>7.7312316337768516</v>
      </c>
      <c r="T115" s="304">
        <f t="shared" ca="1" si="30"/>
        <v>75.843382327350923</v>
      </c>
      <c r="U115" s="311">
        <f t="shared" ca="1" si="31"/>
        <v>0</v>
      </c>
      <c r="V115" s="306">
        <f t="shared" ca="1" si="32"/>
        <v>1.214325451810726</v>
      </c>
      <c r="W115" s="304">
        <f t="shared" ca="1" si="33"/>
        <v>103.43227729413199</v>
      </c>
      <c r="Y115" s="314" t="str">
        <f t="shared" ca="1" si="51"/>
        <v/>
      </c>
      <c r="Z115" s="315" t="str">
        <f t="shared" ca="1" si="52"/>
        <v/>
      </c>
      <c r="AA115" s="316" t="str">
        <f t="shared" ca="1" si="53"/>
        <v/>
      </c>
      <c r="AC115" s="310" t="e">
        <f t="shared" ca="1" si="54"/>
        <v>#N/A</v>
      </c>
      <c r="AD115" s="323" t="e">
        <f t="shared" ca="1" si="55"/>
        <v>#N/A</v>
      </c>
      <c r="AE115" s="324">
        <f t="shared" ca="1" si="34"/>
        <v>87.520492038896634</v>
      </c>
      <c r="AG115" s="306">
        <f t="shared" ca="1" si="56"/>
        <v>134.62823514234088</v>
      </c>
      <c r="AH115" s="304">
        <f t="shared" ca="1" si="57"/>
        <v>144.25654707105338</v>
      </c>
    </row>
    <row r="116" spans="1:34" x14ac:dyDescent="0.2">
      <c r="A116" s="347">
        <f t="shared" ca="1" si="35"/>
        <v>0.01</v>
      </c>
      <c r="B116" s="304">
        <f t="shared" ca="1" si="36"/>
        <v>1.1200000000000008</v>
      </c>
      <c r="D116" s="306">
        <f t="shared" ca="1" si="37"/>
        <v>27.584267516132719</v>
      </c>
      <c r="E116" s="307">
        <f t="shared" ca="1" si="38"/>
        <v>131.42740994034793</v>
      </c>
      <c r="F116" s="304">
        <f t="shared" ca="1" si="39"/>
        <v>134.29093751266254</v>
      </c>
      <c r="G116" s="306">
        <f t="shared" ca="1" si="40"/>
        <v>31.154724134563228</v>
      </c>
      <c r="H116" s="307">
        <f t="shared" ca="1" si="41"/>
        <v>159.42081931146191</v>
      </c>
      <c r="I116" s="304">
        <f t="shared" ca="1" si="42"/>
        <v>162.43649363932516</v>
      </c>
      <c r="J116" s="306">
        <f t="shared" ca="1" si="43"/>
        <v>16.874560309206224</v>
      </c>
      <c r="K116" s="307">
        <f t="shared" ca="1" si="44"/>
        <v>89.108128861514231</v>
      </c>
      <c r="L116" s="304">
        <f t="shared" ca="1" si="29"/>
        <v>90.691837641704353</v>
      </c>
      <c r="M116" s="306">
        <f t="shared" ca="1" si="45"/>
        <v>1.3778041913025501</v>
      </c>
      <c r="N116" s="304">
        <f t="shared" ca="1" si="46"/>
        <v>78.942365157071606</v>
      </c>
      <c r="P116" s="310">
        <f t="shared" ca="1" si="47"/>
        <v>11</v>
      </c>
      <c r="Q116" s="304">
        <f t="shared" ca="1" si="48"/>
        <v>1215.1424999999999</v>
      </c>
      <c r="R116" s="306">
        <f t="shared" ca="1" si="49"/>
        <v>0.59715960206839724</v>
      </c>
      <c r="S116" s="307">
        <f t="shared" ca="1" si="50"/>
        <v>7.7252600377561675</v>
      </c>
      <c r="T116" s="304">
        <f t="shared" ca="1" si="30"/>
        <v>75.784800970388005</v>
      </c>
      <c r="U116" s="311">
        <f t="shared" ca="1" si="31"/>
        <v>0</v>
      </c>
      <c r="V116" s="306">
        <f t="shared" ca="1" si="32"/>
        <v>1.2141326725750927</v>
      </c>
      <c r="W116" s="304">
        <f t="shared" ca="1" si="33"/>
        <v>105.14706501646454</v>
      </c>
      <c r="Y116" s="314" t="str">
        <f t="shared" ca="1" si="51"/>
        <v/>
      </c>
      <c r="Z116" s="315" t="str">
        <f t="shared" ca="1" si="52"/>
        <v/>
      </c>
      <c r="AA116" s="316" t="str">
        <f t="shared" ca="1" si="53"/>
        <v/>
      </c>
      <c r="AC116" s="310" t="e">
        <f t="shared" ca="1" si="54"/>
        <v>#N/A</v>
      </c>
      <c r="AD116" s="323" t="e">
        <f t="shared" ca="1" si="55"/>
        <v>#N/A</v>
      </c>
      <c r="AE116" s="324">
        <f t="shared" ca="1" si="34"/>
        <v>89.108128861514231</v>
      </c>
      <c r="AG116" s="306">
        <f t="shared" ca="1" si="56"/>
        <v>134.27777167394913</v>
      </c>
      <c r="AH116" s="304">
        <f t="shared" ca="1" si="57"/>
        <v>143.90586430392426</v>
      </c>
    </row>
    <row r="117" spans="1:34" x14ac:dyDescent="0.2">
      <c r="A117" s="347">
        <f t="shared" ca="1" si="35"/>
        <v>0.01</v>
      </c>
      <c r="B117" s="304">
        <f t="shared" ca="1" si="36"/>
        <v>1.1300000000000008</v>
      </c>
      <c r="D117" s="306">
        <f t="shared" ca="1" si="37"/>
        <v>27.532991581204524</v>
      </c>
      <c r="E117" s="307">
        <f t="shared" ca="1" si="38"/>
        <v>131.07817018609569</v>
      </c>
      <c r="F117" s="304">
        <f t="shared" ca="1" si="39"/>
        <v>133.93861401681647</v>
      </c>
      <c r="G117" s="306">
        <f t="shared" ca="1" si="40"/>
        <v>31.430054050375272</v>
      </c>
      <c r="H117" s="307">
        <f t="shared" ca="1" si="41"/>
        <v>160.73160101332286</v>
      </c>
      <c r="I117" s="304">
        <f t="shared" ca="1" si="42"/>
        <v>163.77574869899243</v>
      </c>
      <c r="J117" s="306">
        <f t="shared" ca="1" si="43"/>
        <v>17.187484200130918</v>
      </c>
      <c r="K117" s="307">
        <f t="shared" ca="1" si="44"/>
        <v>90.70889096313816</v>
      </c>
      <c r="L117" s="304">
        <f t="shared" ca="1" si="29"/>
        <v>92.322871017382454</v>
      </c>
      <c r="M117" s="306">
        <f t="shared" ca="1" si="45"/>
        <v>1.3776893072574772</v>
      </c>
      <c r="N117" s="304">
        <f t="shared" ca="1" si="46"/>
        <v>78.935782786155542</v>
      </c>
      <c r="P117" s="310">
        <f t="shared" ca="1" si="47"/>
        <v>11</v>
      </c>
      <c r="Q117" s="304">
        <f t="shared" ca="1" si="48"/>
        <v>1213.2774999999999</v>
      </c>
      <c r="R117" s="306">
        <f t="shared" ca="1" si="49"/>
        <v>0.59624308185956776</v>
      </c>
      <c r="S117" s="307">
        <f t="shared" ca="1" si="50"/>
        <v>7.7192976069375723</v>
      </c>
      <c r="T117" s="304">
        <f t="shared" ca="1" si="30"/>
        <v>75.726309524057584</v>
      </c>
      <c r="U117" s="311">
        <f t="shared" ca="1" si="31"/>
        <v>0</v>
      </c>
      <c r="V117" s="306">
        <f t="shared" ca="1" si="32"/>
        <v>1.2139383304458884</v>
      </c>
      <c r="W117" s="304">
        <f t="shared" ca="1" si="33"/>
        <v>106.87093465065115</v>
      </c>
      <c r="Y117" s="314" t="str">
        <f t="shared" ca="1" si="51"/>
        <v/>
      </c>
      <c r="Z117" s="315" t="str">
        <f t="shared" ca="1" si="52"/>
        <v/>
      </c>
      <c r="AA117" s="316" t="str">
        <f t="shared" ca="1" si="53"/>
        <v/>
      </c>
      <c r="AC117" s="310" t="e">
        <f t="shared" ca="1" si="54"/>
        <v>#N/A</v>
      </c>
      <c r="AD117" s="323" t="e">
        <f t="shared" ca="1" si="55"/>
        <v>#N/A</v>
      </c>
      <c r="AE117" s="324">
        <f t="shared" ca="1" si="34"/>
        <v>90.70889096313816</v>
      </c>
      <c r="AG117" s="306">
        <f t="shared" ca="1" si="56"/>
        <v>133.92539788829606</v>
      </c>
      <c r="AH117" s="304">
        <f t="shared" ca="1" si="57"/>
        <v>143.55327277285232</v>
      </c>
    </row>
    <row r="118" spans="1:34" x14ac:dyDescent="0.2">
      <c r="A118" s="347">
        <f t="shared" ca="1" si="35"/>
        <v>0.01</v>
      </c>
      <c r="B118" s="304">
        <f t="shared" ca="1" si="36"/>
        <v>1.1400000000000008</v>
      </c>
      <c r="D118" s="306">
        <f t="shared" ca="1" si="37"/>
        <v>27.48114845965215</v>
      </c>
      <c r="E118" s="307">
        <f t="shared" ca="1" si="38"/>
        <v>130.72711083427052</v>
      </c>
      <c r="F118" s="304">
        <f t="shared" ca="1" si="39"/>
        <v>133.58439664772638</v>
      </c>
      <c r="G118" s="306">
        <f t="shared" ca="1" si="40"/>
        <v>31.704865534971795</v>
      </c>
      <c r="H118" s="307">
        <f t="shared" ca="1" si="41"/>
        <v>162.03887212166558</v>
      </c>
      <c r="I118" s="304">
        <f t="shared" ca="1" si="42"/>
        <v>165.11146107115681</v>
      </c>
      <c r="J118" s="306">
        <f t="shared" ca="1" si="43"/>
        <v>17.503158798057655</v>
      </c>
      <c r="K118" s="307">
        <f t="shared" ca="1" si="44"/>
        <v>92.322743328813104</v>
      </c>
      <c r="L118" s="304">
        <f t="shared" ca="1" si="29"/>
        <v>93.967278898922729</v>
      </c>
      <c r="M118" s="306">
        <f t="shared" ca="1" si="45"/>
        <v>1.3775752856072501</v>
      </c>
      <c r="N118" s="304">
        <f t="shared" ca="1" si="46"/>
        <v>78.929249826824403</v>
      </c>
      <c r="P118" s="310">
        <f t="shared" ca="1" si="47"/>
        <v>11</v>
      </c>
      <c r="Q118" s="304">
        <f t="shared" ca="1" si="48"/>
        <v>1211.4124999999999</v>
      </c>
      <c r="R118" s="306">
        <f t="shared" ca="1" si="49"/>
        <v>0.59532656165073827</v>
      </c>
      <c r="S118" s="307">
        <f t="shared" ca="1" si="50"/>
        <v>7.7133443413210649</v>
      </c>
      <c r="T118" s="304">
        <f t="shared" ca="1" si="30"/>
        <v>75.667907988359644</v>
      </c>
      <c r="U118" s="311">
        <f t="shared" ca="1" si="31"/>
        <v>0</v>
      </c>
      <c r="V118" s="306">
        <f t="shared" ca="1" si="32"/>
        <v>1.2137424304275279</v>
      </c>
      <c r="W118" s="304">
        <f t="shared" ca="1" si="33"/>
        <v>108.6037375106033</v>
      </c>
      <c r="Y118" s="314" t="str">
        <f t="shared" ca="1" si="51"/>
        <v/>
      </c>
      <c r="Z118" s="315" t="str">
        <f t="shared" ca="1" si="52"/>
        <v/>
      </c>
      <c r="AA118" s="316" t="str">
        <f t="shared" ca="1" si="53"/>
        <v/>
      </c>
      <c r="AC118" s="310" t="e">
        <f t="shared" ca="1" si="54"/>
        <v>#N/A</v>
      </c>
      <c r="AD118" s="323" t="e">
        <f t="shared" ca="1" si="55"/>
        <v>#N/A</v>
      </c>
      <c r="AE118" s="324">
        <f t="shared" ca="1" si="34"/>
        <v>92.322743328813104</v>
      </c>
      <c r="AG118" s="306">
        <f t="shared" ca="1" si="56"/>
        <v>133.57112988625431</v>
      </c>
      <c r="AH118" s="304">
        <f t="shared" ca="1" si="57"/>
        <v>143.19878855041156</v>
      </c>
    </row>
    <row r="119" spans="1:34" x14ac:dyDescent="0.2">
      <c r="A119" s="347">
        <f t="shared" ca="1" si="35"/>
        <v>0.01</v>
      </c>
      <c r="B119" s="304">
        <f t="shared" ca="1" si="36"/>
        <v>1.1500000000000008</v>
      </c>
      <c r="D119" s="306">
        <f t="shared" ca="1" si="37"/>
        <v>27.428743812944781</v>
      </c>
      <c r="E119" s="307">
        <f t="shared" ca="1" si="38"/>
        <v>130.37424731248873</v>
      </c>
      <c r="F119" s="304">
        <f t="shared" ca="1" si="39"/>
        <v>133.22830160838248</v>
      </c>
      <c r="G119" s="306">
        <f t="shared" ca="1" si="40"/>
        <v>31.979152973101243</v>
      </c>
      <c r="H119" s="307">
        <f t="shared" ca="1" si="41"/>
        <v>163.34261459479046</v>
      </c>
      <c r="I119" s="304">
        <f t="shared" ca="1" si="42"/>
        <v>166.44361197576575</v>
      </c>
      <c r="J119" s="306">
        <f t="shared" ca="1" si="43"/>
        <v>17.821578890598019</v>
      </c>
      <c r="K119" s="307">
        <f t="shared" ca="1" si="44"/>
        <v>93.949650762395379</v>
      </c>
      <c r="L119" s="304">
        <f t="shared" ca="1" si="29"/>
        <v>95.625025764858577</v>
      </c>
      <c r="M119" s="306">
        <f t="shared" ca="1" si="45"/>
        <v>1.377462110589408</v>
      </c>
      <c r="N119" s="304">
        <f t="shared" ca="1" si="46"/>
        <v>78.922765375955748</v>
      </c>
      <c r="P119" s="310">
        <f t="shared" ca="1" si="47"/>
        <v>11</v>
      </c>
      <c r="Q119" s="304">
        <f t="shared" ca="1" si="48"/>
        <v>1209.5474999999999</v>
      </c>
      <c r="R119" s="306">
        <f t="shared" ca="1" si="49"/>
        <v>0.59441004144190879</v>
      </c>
      <c r="S119" s="307">
        <f t="shared" ca="1" si="50"/>
        <v>7.7074002409066455</v>
      </c>
      <c r="T119" s="304">
        <f t="shared" ca="1" si="30"/>
        <v>75.609596363294202</v>
      </c>
      <c r="U119" s="311">
        <f t="shared" ca="1" si="31"/>
        <v>0</v>
      </c>
      <c r="V119" s="306">
        <f t="shared" ca="1" si="32"/>
        <v>1.2135449775495415</v>
      </c>
      <c r="W119" s="304">
        <f t="shared" ca="1" si="33"/>
        <v>110.34532466312166</v>
      </c>
      <c r="Y119" s="314" t="str">
        <f t="shared" ca="1" si="51"/>
        <v/>
      </c>
      <c r="Z119" s="315" t="str">
        <f t="shared" ca="1" si="52"/>
        <v/>
      </c>
      <c r="AA119" s="316" t="str">
        <f t="shared" ca="1" si="53"/>
        <v/>
      </c>
      <c r="AC119" s="310" t="e">
        <f t="shared" ca="1" si="54"/>
        <v>#N/A</v>
      </c>
      <c r="AD119" s="323" t="e">
        <f t="shared" ca="1" si="55"/>
        <v>#N/A</v>
      </c>
      <c r="AE119" s="324">
        <f t="shared" ca="1" si="34"/>
        <v>93.949650762395379</v>
      </c>
      <c r="AG119" s="306">
        <f t="shared" ca="1" si="56"/>
        <v>133.21498386553682</v>
      </c>
      <c r="AH119" s="304">
        <f t="shared" ca="1" si="57"/>
        <v>142.84242780674501</v>
      </c>
    </row>
    <row r="120" spans="1:34" x14ac:dyDescent="0.2">
      <c r="A120" s="347">
        <f t="shared" ca="1" si="35"/>
        <v>0.01</v>
      </c>
      <c r="B120" s="304">
        <f t="shared" ca="1" si="36"/>
        <v>1.1600000000000008</v>
      </c>
      <c r="D120" s="306">
        <f t="shared" ca="1" si="37"/>
        <v>27.375783255710477</v>
      </c>
      <c r="E120" s="307">
        <f t="shared" ca="1" si="38"/>
        <v>130.0195951531073</v>
      </c>
      <c r="F120" s="304">
        <f t="shared" ca="1" si="39"/>
        <v>132.87034519651689</v>
      </c>
      <c r="G120" s="306">
        <f t="shared" ca="1" si="40"/>
        <v>32.252910805658345</v>
      </c>
      <c r="H120" s="307">
        <f t="shared" ca="1" si="41"/>
        <v>164.64281054632153</v>
      </c>
      <c r="I120" s="304">
        <f t="shared" ca="1" si="42"/>
        <v>167.77218279568777</v>
      </c>
      <c r="J120" s="306">
        <f t="shared" ca="1" si="43"/>
        <v>18.142739209491818</v>
      </c>
      <c r="K120" s="307">
        <f t="shared" ca="1" si="44"/>
        <v>95.589577888100933</v>
      </c>
      <c r="L120" s="304">
        <f t="shared" ca="1" si="29"/>
        <v>97.296075906734018</v>
      </c>
      <c r="M120" s="306">
        <f t="shared" ca="1" si="45"/>
        <v>1.3773497668493366</v>
      </c>
      <c r="N120" s="304">
        <f t="shared" ca="1" si="46"/>
        <v>78.916328553794941</v>
      </c>
      <c r="P120" s="310">
        <f t="shared" ca="1" si="47"/>
        <v>11</v>
      </c>
      <c r="Q120" s="304">
        <f t="shared" ca="1" si="48"/>
        <v>1207.6824999999999</v>
      </c>
      <c r="R120" s="306">
        <f t="shared" ca="1" si="49"/>
        <v>0.5934935212330793</v>
      </c>
      <c r="S120" s="307">
        <f t="shared" ca="1" si="50"/>
        <v>7.701465305694315</v>
      </c>
      <c r="T120" s="304">
        <f t="shared" ca="1" si="30"/>
        <v>75.551374648861227</v>
      </c>
      <c r="U120" s="311">
        <f t="shared" ca="1" si="31"/>
        <v>0</v>
      </c>
      <c r="V120" s="306">
        <f t="shared" ca="1" si="32"/>
        <v>1.21334597686631</v>
      </c>
      <c r="W120" s="304">
        <f t="shared" ca="1" si="33"/>
        <v>112.09554694564869</v>
      </c>
      <c r="Y120" s="314" t="str">
        <f t="shared" ca="1" si="51"/>
        <v/>
      </c>
      <c r="Z120" s="315" t="str">
        <f t="shared" ca="1" si="52"/>
        <v/>
      </c>
      <c r="AA120" s="316" t="str">
        <f t="shared" ca="1" si="53"/>
        <v/>
      </c>
      <c r="AC120" s="310" t="e">
        <f t="shared" ca="1" si="54"/>
        <v>#N/A</v>
      </c>
      <c r="AD120" s="323" t="e">
        <f t="shared" ca="1" si="55"/>
        <v>#N/A</v>
      </c>
      <c r="AE120" s="324">
        <f t="shared" ca="1" si="34"/>
        <v>95.589577888100933</v>
      </c>
      <c r="AG120" s="306">
        <f t="shared" ca="1" si="56"/>
        <v>132.85697611859814</v>
      </c>
      <c r="AH120" s="304">
        <f t="shared" ca="1" si="57"/>
        <v>142.4842068074407</v>
      </c>
    </row>
    <row r="121" spans="1:34" x14ac:dyDescent="0.2">
      <c r="A121" s="347">
        <f t="shared" ca="1" si="35"/>
        <v>0.01</v>
      </c>
      <c r="B121" s="304">
        <f t="shared" ca="1" si="36"/>
        <v>1.1700000000000008</v>
      </c>
      <c r="D121" s="306">
        <f t="shared" ca="1" si="37"/>
        <v>27.322272357756599</v>
      </c>
      <c r="E121" s="307">
        <f t="shared" ca="1" si="38"/>
        <v>129.66316999072004</v>
      </c>
      <c r="F121" s="304">
        <f t="shared" ca="1" si="39"/>
        <v>132.51054380249818</v>
      </c>
      <c r="G121" s="306">
        <f t="shared" ca="1" si="40"/>
        <v>32.526133529235913</v>
      </c>
      <c r="H121" s="307">
        <f t="shared" ca="1" si="41"/>
        <v>165.93944224622874</v>
      </c>
      <c r="I121" s="304">
        <f t="shared" ca="1" si="42"/>
        <v>169.09715507763923</v>
      </c>
      <c r="J121" s="306">
        <f t="shared" ca="1" si="43"/>
        <v>18.466634431166291</v>
      </c>
      <c r="K121" s="307">
        <f t="shared" ca="1" si="44"/>
        <v>97.242489152063683</v>
      </c>
      <c r="L121" s="304">
        <f t="shared" ca="1" si="29"/>
        <v>98.980393430737379</v>
      </c>
      <c r="M121" s="306">
        <f t="shared" ca="1" si="45"/>
        <v>1.3772382394261931</v>
      </c>
      <c r="N121" s="304">
        <f t="shared" ca="1" si="46"/>
        <v>78.909938503148837</v>
      </c>
      <c r="P121" s="310">
        <f t="shared" ca="1" si="47"/>
        <v>11</v>
      </c>
      <c r="Q121" s="304">
        <f t="shared" ca="1" si="48"/>
        <v>1205.8174999999999</v>
      </c>
      <c r="R121" s="306">
        <f t="shared" ca="1" si="49"/>
        <v>0.59257700102424982</v>
      </c>
      <c r="S121" s="307">
        <f t="shared" ca="1" si="50"/>
        <v>7.6955395356840723</v>
      </c>
      <c r="T121" s="304">
        <f t="shared" ca="1" si="30"/>
        <v>75.493242845060749</v>
      </c>
      <c r="U121" s="311">
        <f t="shared" ca="1" si="31"/>
        <v>0</v>
      </c>
      <c r="V121" s="306">
        <f t="shared" ca="1" si="32"/>
        <v>1.2131454334567962</v>
      </c>
      <c r="W121" s="304">
        <f t="shared" ca="1" si="33"/>
        <v>113.85425498399169</v>
      </c>
      <c r="Y121" s="314" t="str">
        <f t="shared" ca="1" si="51"/>
        <v/>
      </c>
      <c r="Z121" s="315" t="str">
        <f t="shared" ca="1" si="52"/>
        <v/>
      </c>
      <c r="AA121" s="316" t="str">
        <f t="shared" ca="1" si="53"/>
        <v/>
      </c>
      <c r="AC121" s="310" t="e">
        <f t="shared" ca="1" si="54"/>
        <v>#N/A</v>
      </c>
      <c r="AD121" s="323" t="e">
        <f t="shared" ca="1" si="55"/>
        <v>#N/A</v>
      </c>
      <c r="AE121" s="324">
        <f t="shared" ca="1" si="34"/>
        <v>97.242489152063683</v>
      </c>
      <c r="AG121" s="306">
        <f t="shared" ca="1" si="56"/>
        <v>132.49712303052655</v>
      </c>
      <c r="AH121" s="304">
        <f t="shared" ca="1" si="57"/>
        <v>142.12414191139985</v>
      </c>
    </row>
    <row r="122" spans="1:34" x14ac:dyDescent="0.2">
      <c r="A122" s="347">
        <f t="shared" ca="1" si="35"/>
        <v>0.01</v>
      </c>
      <c r="B122" s="304">
        <f t="shared" ca="1" si="36"/>
        <v>1.1800000000000008</v>
      </c>
      <c r="D122" s="306">
        <f t="shared" ca="1" si="37"/>
        <v>27.268216645982161</v>
      </c>
      <c r="E122" s="307">
        <f t="shared" ca="1" si="38"/>
        <v>129.30498755966354</v>
      </c>
      <c r="F122" s="304">
        <f t="shared" ca="1" si="39"/>
        <v>132.14891390721667</v>
      </c>
      <c r="G122" s="306">
        <f t="shared" ca="1" si="40"/>
        <v>32.798815695695737</v>
      </c>
      <c r="H122" s="307">
        <f t="shared" ca="1" si="41"/>
        <v>167.23249212182537</v>
      </c>
      <c r="I122" s="304">
        <f t="shared" ca="1" si="42"/>
        <v>170.41851053308912</v>
      </c>
      <c r="J122" s="306">
        <f t="shared" ca="1" si="43"/>
        <v>18.793259177290949</v>
      </c>
      <c r="K122" s="307">
        <f t="shared" ca="1" si="44"/>
        <v>98.90834882390395</v>
      </c>
      <c r="L122" s="304">
        <f t="shared" ca="1" si="29"/>
        <v>100.67794225934443</v>
      </c>
      <c r="M122" s="306">
        <f t="shared" ca="1" si="45"/>
        <v>1.3771275137394356</v>
      </c>
      <c r="N122" s="304">
        <f t="shared" ca="1" si="46"/>
        <v>78.903594388613953</v>
      </c>
      <c r="P122" s="310">
        <f t="shared" ca="1" si="47"/>
        <v>11</v>
      </c>
      <c r="Q122" s="304">
        <f t="shared" ca="1" si="48"/>
        <v>1203.9524999999999</v>
      </c>
      <c r="R122" s="306">
        <f t="shared" ca="1" si="49"/>
        <v>0.59166048081542044</v>
      </c>
      <c r="S122" s="307">
        <f t="shared" ca="1" si="50"/>
        <v>7.6896229308759185</v>
      </c>
      <c r="T122" s="304">
        <f t="shared" ca="1" si="30"/>
        <v>75.435200951892767</v>
      </c>
      <c r="U122" s="311">
        <f t="shared" ca="1" si="31"/>
        <v>0</v>
      </c>
      <c r="V122" s="306">
        <f t="shared" ca="1" si="32"/>
        <v>1.212943352424275</v>
      </c>
      <c r="W122" s="304">
        <f t="shared" ca="1" si="33"/>
        <v>115.62129921001122</v>
      </c>
      <c r="Y122" s="314" t="str">
        <f t="shared" ca="1" si="51"/>
        <v/>
      </c>
      <c r="Z122" s="315" t="str">
        <f t="shared" ca="1" si="52"/>
        <v/>
      </c>
      <c r="AA122" s="316" t="str">
        <f t="shared" ca="1" si="53"/>
        <v/>
      </c>
      <c r="AC122" s="310" t="e">
        <f t="shared" ca="1" si="54"/>
        <v>#N/A</v>
      </c>
      <c r="AD122" s="323" t="e">
        <f t="shared" ca="1" si="55"/>
        <v>#N/A</v>
      </c>
      <c r="AE122" s="324">
        <f t="shared" ca="1" si="34"/>
        <v>98.90834882390395</v>
      </c>
      <c r="AG122" s="306">
        <f t="shared" ca="1" si="56"/>
        <v>132.13544107692749</v>
      </c>
      <c r="AH122" s="304">
        <f t="shared" ca="1" si="57"/>
        <v>141.76224956869711</v>
      </c>
    </row>
    <row r="123" spans="1:34" x14ac:dyDescent="0.2">
      <c r="A123" s="347">
        <f t="shared" ca="1" si="35"/>
        <v>0.01</v>
      </c>
      <c r="B123" s="304">
        <f t="shared" ca="1" si="36"/>
        <v>1.1900000000000008</v>
      </c>
      <c r="D123" s="306">
        <f t="shared" ca="1" si="37"/>
        <v>27.213621606187772</v>
      </c>
      <c r="E123" s="307">
        <f t="shared" ca="1" si="38"/>
        <v>128.94506369153356</v>
      </c>
      <c r="F123" s="304">
        <f t="shared" ca="1" si="39"/>
        <v>131.78547207996189</v>
      </c>
      <c r="G123" s="306">
        <f t="shared" ca="1" si="40"/>
        <v>33.070951911757618</v>
      </c>
      <c r="H123" s="307">
        <f t="shared" ca="1" si="41"/>
        <v>168.52194275874072</v>
      </c>
      <c r="I123" s="304">
        <f t="shared" ca="1" si="42"/>
        <v>171.73623103914349</v>
      </c>
      <c r="J123" s="306">
        <f t="shared" ca="1" si="43"/>
        <v>19.122608015328215</v>
      </c>
      <c r="K123" s="307">
        <f t="shared" ca="1" si="44"/>
        <v>100.58712099830679</v>
      </c>
      <c r="L123" s="304">
        <f t="shared" ca="1" si="29"/>
        <v>102.38868613297029</v>
      </c>
      <c r="M123" s="306">
        <f t="shared" ca="1" si="45"/>
        <v>1.3770175755759257</v>
      </c>
      <c r="N123" s="304">
        <f t="shared" ca="1" si="46"/>
        <v>78.897295395837418</v>
      </c>
      <c r="P123" s="310">
        <f t="shared" ca="1" si="47"/>
        <v>11</v>
      </c>
      <c r="Q123" s="304">
        <f t="shared" ca="1" si="48"/>
        <v>1202.0874999999999</v>
      </c>
      <c r="R123" s="306">
        <f t="shared" ca="1" si="49"/>
        <v>0.59074396060659096</v>
      </c>
      <c r="S123" s="307">
        <f t="shared" ca="1" si="50"/>
        <v>7.6837154912698526</v>
      </c>
      <c r="T123" s="304">
        <f t="shared" ca="1" si="30"/>
        <v>75.377248969357254</v>
      </c>
      <c r="U123" s="311">
        <f t="shared" ca="1" si="31"/>
        <v>0</v>
      </c>
      <c r="V123" s="306">
        <f t="shared" ca="1" si="32"/>
        <v>1.2127397388960643</v>
      </c>
      <c r="W123" s="304">
        <f t="shared" ca="1" si="33"/>
        <v>117.3965298792735</v>
      </c>
      <c r="Y123" s="314" t="str">
        <f t="shared" ca="1" si="51"/>
        <v/>
      </c>
      <c r="Z123" s="315" t="str">
        <f t="shared" ca="1" si="52"/>
        <v/>
      </c>
      <c r="AA123" s="316" t="str">
        <f t="shared" ca="1" si="53"/>
        <v/>
      </c>
      <c r="AC123" s="310" t="e">
        <f t="shared" ca="1" si="54"/>
        <v>#N/A</v>
      </c>
      <c r="AD123" s="323" t="e">
        <f t="shared" ca="1" si="55"/>
        <v>#N/A</v>
      </c>
      <c r="AE123" s="324">
        <f t="shared" ca="1" si="34"/>
        <v>100.58712099830679</v>
      </c>
      <c r="AG123" s="306">
        <f t="shared" ca="1" si="56"/>
        <v>131.77194682179902</v>
      </c>
      <c r="AH123" s="304">
        <f t="shared" ca="1" si="57"/>
        <v>141.39854631843394</v>
      </c>
    </row>
    <row r="124" spans="1:34" x14ac:dyDescent="0.2">
      <c r="A124" s="347">
        <f t="shared" ca="1" si="35"/>
        <v>0.01</v>
      </c>
      <c r="B124" s="304">
        <f t="shared" ca="1" si="36"/>
        <v>1.2000000000000008</v>
      </c>
      <c r="D124" s="306">
        <f t="shared" ca="1" si="37"/>
        <v>27.158492684788445</v>
      </c>
      <c r="E124" s="307">
        <f t="shared" ca="1" si="38"/>
        <v>128.58341431271046</v>
      </c>
      <c r="F124" s="304">
        <f t="shared" ca="1" si="39"/>
        <v>131.42023497629222</v>
      </c>
      <c r="G124" s="306">
        <f t="shared" ca="1" si="40"/>
        <v>33.342536838605504</v>
      </c>
      <c r="H124" s="307">
        <f t="shared" ca="1" si="41"/>
        <v>169.80777690186784</v>
      </c>
      <c r="I124" s="304">
        <f t="shared" ca="1" si="42"/>
        <v>173.05029863940797</v>
      </c>
      <c r="J124" s="306">
        <f t="shared" ca="1" si="43"/>
        <v>19.454675459080029</v>
      </c>
      <c r="K124" s="307">
        <f t="shared" ca="1" si="44"/>
        <v>102.27876959660983</v>
      </c>
      <c r="L124" s="304">
        <f t="shared" ca="1" si="29"/>
        <v>104.11258861163012</v>
      </c>
      <c r="M124" s="306">
        <f t="shared" ca="1" si="45"/>
        <v>1.376908411077574</v>
      </c>
      <c r="N124" s="304">
        <f t="shared" ca="1" si="46"/>
        <v>78.891040730809195</v>
      </c>
      <c r="P124" s="310">
        <f t="shared" ca="1" si="47"/>
        <v>11</v>
      </c>
      <c r="Q124" s="304">
        <f t="shared" ca="1" si="48"/>
        <v>1200.2224999999999</v>
      </c>
      <c r="R124" s="306">
        <f t="shared" ca="1" si="49"/>
        <v>0.58982744039776147</v>
      </c>
      <c r="S124" s="307">
        <f t="shared" ca="1" si="50"/>
        <v>7.6778172168658747</v>
      </c>
      <c r="T124" s="304">
        <f t="shared" ca="1" si="30"/>
        <v>75.319386897454237</v>
      </c>
      <c r="U124" s="311">
        <f t="shared" ca="1" si="31"/>
        <v>0</v>
      </c>
      <c r="V124" s="306">
        <f t="shared" ca="1" si="32"/>
        <v>1.2125345980232507</v>
      </c>
      <c r="W124" s="304">
        <f t="shared" ca="1" si="33"/>
        <v>119.17979708866109</v>
      </c>
      <c r="Y124" s="314" t="str">
        <f t="shared" ca="1" si="51"/>
        <v/>
      </c>
      <c r="Z124" s="315" t="str">
        <f t="shared" ca="1" si="52"/>
        <v/>
      </c>
      <c r="AA124" s="316" t="str">
        <f t="shared" ca="1" si="53"/>
        <v/>
      </c>
      <c r="AC124" s="310" t="e">
        <f t="shared" ca="1" si="54"/>
        <v>#N/A</v>
      </c>
      <c r="AD124" s="323" t="e">
        <f t="shared" ca="1" si="55"/>
        <v>#N/A</v>
      </c>
      <c r="AE124" s="324">
        <f t="shared" ca="1" si="34"/>
        <v>102.27876959660983</v>
      </c>
      <c r="AG124" s="306">
        <f t="shared" ca="1" si="56"/>
        <v>131.40665691539942</v>
      </c>
      <c r="AH124" s="304">
        <f t="shared" ca="1" si="57"/>
        <v>141.03304878658491</v>
      </c>
    </row>
    <row r="125" spans="1:34" x14ac:dyDescent="0.2">
      <c r="A125" s="347">
        <f t="shared" ca="1" si="35"/>
        <v>0.01</v>
      </c>
      <c r="B125" s="304">
        <f t="shared" ca="1" si="36"/>
        <v>1.2100000000000009</v>
      </c>
      <c r="D125" s="306">
        <f t="shared" ca="1" si="37"/>
        <v>27.075353795165078</v>
      </c>
      <c r="E125" s="307">
        <f t="shared" ca="1" si="38"/>
        <v>128.08009693663195</v>
      </c>
      <c r="F125" s="304">
        <f t="shared" ca="1" si="39"/>
        <v>130.91060313981598</v>
      </c>
      <c r="G125" s="306">
        <f t="shared" ca="1" si="40"/>
        <v>33.613290376557153</v>
      </c>
      <c r="H125" s="307">
        <f t="shared" ca="1" si="41"/>
        <v>171.08857787123415</v>
      </c>
      <c r="I125" s="304">
        <f t="shared" ca="1" si="42"/>
        <v>174.35926923436017</v>
      </c>
      <c r="J125" s="306">
        <f t="shared" ca="1" si="43"/>
        <v>19.789454595155842</v>
      </c>
      <c r="K125" s="307">
        <f t="shared" ca="1" si="44"/>
        <v>103.98325137047534</v>
      </c>
      <c r="L125" s="304">
        <f t="shared" ca="1" si="29"/>
        <v>105.84960594517675</v>
      </c>
      <c r="M125" s="306">
        <f t="shared" ca="1" si="45"/>
        <v>1.3768000058427221</v>
      </c>
      <c r="N125" s="304">
        <f t="shared" ca="1" si="46"/>
        <v>78.884829568375054</v>
      </c>
      <c r="P125" s="310">
        <f t="shared" ca="1" si="47"/>
        <v>12</v>
      </c>
      <c r="Q125" s="304">
        <f t="shared" ca="1" si="48"/>
        <v>1197.2639999999997</v>
      </c>
      <c r="R125" s="306">
        <f t="shared" ca="1" si="49"/>
        <v>0.58837353957319194</v>
      </c>
      <c r="S125" s="307">
        <f t="shared" ca="1" si="50"/>
        <v>7.671933481470143</v>
      </c>
      <c r="T125" s="304">
        <f t="shared" ca="1" si="30"/>
        <v>75.261667453222103</v>
      </c>
      <c r="U125" s="311">
        <f t="shared" ca="1" si="31"/>
        <v>0</v>
      </c>
      <c r="V125" s="306">
        <f t="shared" ca="1" si="32"/>
        <v>1.2123279358288215</v>
      </c>
      <c r="W125" s="304">
        <f t="shared" ca="1" si="33"/>
        <v>120.96897174646006</v>
      </c>
      <c r="Y125" s="314" t="str">
        <f t="shared" ca="1" si="51"/>
        <v/>
      </c>
      <c r="Z125" s="315" t="str">
        <f t="shared" ca="1" si="52"/>
        <v/>
      </c>
      <c r="AA125" s="316" t="str">
        <f t="shared" ca="1" si="53"/>
        <v/>
      </c>
      <c r="AC125" s="310" t="e">
        <f t="shared" ca="1" si="54"/>
        <v>#N/A</v>
      </c>
      <c r="AD125" s="323" t="e">
        <f t="shared" ca="1" si="55"/>
        <v>#N/A</v>
      </c>
      <c r="AE125" s="324">
        <f t="shared" ca="1" si="34"/>
        <v>103.98325137047534</v>
      </c>
      <c r="AG125" s="306">
        <f t="shared" ca="1" si="56"/>
        <v>130.89695704437455</v>
      </c>
      <c r="AH125" s="304">
        <f t="shared" ca="1" si="57"/>
        <v>140.52314263610501</v>
      </c>
    </row>
    <row r="126" spans="1:34" x14ac:dyDescent="0.2">
      <c r="A126" s="347">
        <f t="shared" ca="1" si="35"/>
        <v>0.01</v>
      </c>
      <c r="B126" s="304">
        <f t="shared" ca="1" si="36"/>
        <v>1.2200000000000009</v>
      </c>
      <c r="D126" s="306">
        <f t="shared" ca="1" si="37"/>
        <v>26.964132776702488</v>
      </c>
      <c r="E126" s="307">
        <f t="shared" ca="1" si="38"/>
        <v>127.43497300373102</v>
      </c>
      <c r="F126" s="304">
        <f t="shared" ca="1" si="39"/>
        <v>130.25642710001412</v>
      </c>
      <c r="G126" s="306">
        <f t="shared" ca="1" si="40"/>
        <v>33.882931704324179</v>
      </c>
      <c r="H126" s="307">
        <f t="shared" ca="1" si="41"/>
        <v>172.36292760127145</v>
      </c>
      <c r="I126" s="304">
        <f t="shared" ca="1" si="42"/>
        <v>175.66169722555068</v>
      </c>
      <c r="J126" s="306">
        <f t="shared" ca="1" si="43"/>
        <v>20.12693570556025</v>
      </c>
      <c r="K126" s="307">
        <f t="shared" ca="1" si="44"/>
        <v>105.70050889783788</v>
      </c>
      <c r="L126" s="304">
        <f t="shared" ca="1" si="29"/>
        <v>107.59967993520083</v>
      </c>
      <c r="M126" s="306">
        <f t="shared" ca="1" si="45"/>
        <v>1.3766923449638502</v>
      </c>
      <c r="N126" s="304">
        <f t="shared" ca="1" si="46"/>
        <v>78.878661054397028</v>
      </c>
      <c r="P126" s="310">
        <f t="shared" ca="1" si="47"/>
        <v>12</v>
      </c>
      <c r="Q126" s="304">
        <f t="shared" ca="1" si="48"/>
        <v>1193.2119999999995</v>
      </c>
      <c r="R126" s="306">
        <f t="shared" ca="1" si="49"/>
        <v>0.58638225813288247</v>
      </c>
      <c r="S126" s="307">
        <f t="shared" ca="1" si="50"/>
        <v>7.666069658888814</v>
      </c>
      <c r="T126" s="304">
        <f t="shared" ca="1" si="30"/>
        <v>75.204143353699266</v>
      </c>
      <c r="U126" s="311">
        <f t="shared" ca="1" si="31"/>
        <v>0</v>
      </c>
      <c r="V126" s="306">
        <f t="shared" ca="1" si="32"/>
        <v>1.2121197600558562</v>
      </c>
      <c r="W126" s="304">
        <f t="shared" ca="1" si="33"/>
        <v>122.76186462196425</v>
      </c>
      <c r="Y126" s="314" t="str">
        <f t="shared" ca="1" si="51"/>
        <v/>
      </c>
      <c r="Z126" s="315" t="str">
        <f t="shared" ca="1" si="52"/>
        <v/>
      </c>
      <c r="AA126" s="316" t="str">
        <f t="shared" ca="1" si="53"/>
        <v/>
      </c>
      <c r="AC126" s="310" t="e">
        <f t="shared" ca="1" si="54"/>
        <v>#N/A</v>
      </c>
      <c r="AD126" s="323" t="e">
        <f t="shared" ca="1" si="55"/>
        <v>#N/A</v>
      </c>
      <c r="AE126" s="324">
        <f t="shared" ca="1" si="34"/>
        <v>105.70050889783788</v>
      </c>
      <c r="AG126" s="306">
        <f t="shared" ca="1" si="56"/>
        <v>130.24269731550146</v>
      </c>
      <c r="AH126" s="304">
        <f t="shared" ca="1" si="57"/>
        <v>139.86867794897648</v>
      </c>
    </row>
    <row r="127" spans="1:34" x14ac:dyDescent="0.2">
      <c r="A127" s="347">
        <f t="shared" ca="1" si="35"/>
        <v>0.01</v>
      </c>
      <c r="B127" s="304">
        <f t="shared" ca="1" si="36"/>
        <v>1.2300000000000009</v>
      </c>
      <c r="D127" s="306">
        <f t="shared" ca="1" si="37"/>
        <v>26.852313831732101</v>
      </c>
      <c r="E127" s="307">
        <f t="shared" ca="1" si="38"/>
        <v>126.78808027517246</v>
      </c>
      <c r="F127" s="304">
        <f t="shared" ca="1" si="39"/>
        <v>129.6004014576398</v>
      </c>
      <c r="G127" s="306">
        <f t="shared" ca="1" si="40"/>
        <v>34.151454842641499</v>
      </c>
      <c r="H127" s="307">
        <f t="shared" ca="1" si="41"/>
        <v>173.63080840402318</v>
      </c>
      <c r="I127" s="304">
        <f t="shared" ca="1" si="42"/>
        <v>176.95756410762326</v>
      </c>
      <c r="J127" s="306">
        <f t="shared" ca="1" si="43"/>
        <v>20.467107638295079</v>
      </c>
      <c r="K127" s="307">
        <f t="shared" ca="1" si="44"/>
        <v>107.43047757786435</v>
      </c>
      <c r="L127" s="304">
        <f t="shared" ca="1" si="29"/>
        <v>109.36274506286668</v>
      </c>
      <c r="M127" s="306">
        <f t="shared" ca="1" si="45"/>
        <v>1.376585413925846</v>
      </c>
      <c r="N127" s="304">
        <f t="shared" ca="1" si="46"/>
        <v>78.872534357220431</v>
      </c>
      <c r="P127" s="310">
        <f t="shared" ca="1" si="47"/>
        <v>12</v>
      </c>
      <c r="Q127" s="304">
        <f t="shared" ca="1" si="48"/>
        <v>1189.1599999999996</v>
      </c>
      <c r="R127" s="306">
        <f t="shared" ca="1" si="49"/>
        <v>0.58439097669257312</v>
      </c>
      <c r="S127" s="307">
        <f t="shared" ca="1" si="50"/>
        <v>7.6602257491218886</v>
      </c>
      <c r="T127" s="304">
        <f t="shared" ca="1" si="30"/>
        <v>75.146814598885726</v>
      </c>
      <c r="U127" s="311">
        <f t="shared" ca="1" si="31"/>
        <v>0</v>
      </c>
      <c r="V127" s="306">
        <f t="shared" ca="1" si="32"/>
        <v>1.2119100793182265</v>
      </c>
      <c r="W127" s="304">
        <f t="shared" ca="1" si="33"/>
        <v>124.55823807096951</v>
      </c>
      <c r="Y127" s="314" t="str">
        <f t="shared" ca="1" si="51"/>
        <v/>
      </c>
      <c r="Z127" s="315" t="str">
        <f t="shared" ca="1" si="52"/>
        <v/>
      </c>
      <c r="AA127" s="316" t="str">
        <f t="shared" ca="1" si="53"/>
        <v/>
      </c>
      <c r="AC127" s="310" t="e">
        <f t="shared" ca="1" si="54"/>
        <v>#N/A</v>
      </c>
      <c r="AD127" s="323" t="e">
        <f t="shared" ca="1" si="55"/>
        <v>#N/A</v>
      </c>
      <c r="AE127" s="324">
        <f t="shared" ca="1" si="34"/>
        <v>107.43047757786435</v>
      </c>
      <c r="AG127" s="306">
        <f t="shared" ca="1" si="56"/>
        <v>129.58658703843139</v>
      </c>
      <c r="AH127" s="304">
        <f t="shared" ca="1" si="57"/>
        <v>139.21236400902146</v>
      </c>
    </row>
    <row r="128" spans="1:34" x14ac:dyDescent="0.2">
      <c r="A128" s="347">
        <f t="shared" ca="1" si="35"/>
        <v>0.01</v>
      </c>
      <c r="B128" s="304">
        <f t="shared" ca="1" si="36"/>
        <v>1.2400000000000009</v>
      </c>
      <c r="D128" s="306">
        <f t="shared" ca="1" si="37"/>
        <v>26.739905959188125</v>
      </c>
      <c r="E128" s="307">
        <f t="shared" ca="1" si="38"/>
        <v>126.13944958374952</v>
      </c>
      <c r="F128" s="304">
        <f t="shared" ca="1" si="39"/>
        <v>128.94255818773533</v>
      </c>
      <c r="G128" s="306">
        <f t="shared" ca="1" si="40"/>
        <v>34.41885390223338</v>
      </c>
      <c r="H128" s="307">
        <f t="shared" ca="1" si="41"/>
        <v>174.89220289986068</v>
      </c>
      <c r="I128" s="304">
        <f t="shared" ca="1" si="42"/>
        <v>178.24685169480364</v>
      </c>
      <c r="J128" s="306">
        <f t="shared" ca="1" si="43"/>
        <v>20.809959182019455</v>
      </c>
      <c r="K128" s="307">
        <f t="shared" ca="1" si="44"/>
        <v>109.17309263438378</v>
      </c>
      <c r="L128" s="304">
        <f t="shared" ca="1" si="29"/>
        <v>111.13873562585215</v>
      </c>
      <c r="M128" s="306">
        <f t="shared" ca="1" si="45"/>
        <v>1.3764791985920701</v>
      </c>
      <c r="N128" s="304">
        <f t="shared" ca="1" si="46"/>
        <v>78.866448666875499</v>
      </c>
      <c r="P128" s="310">
        <f t="shared" ca="1" si="47"/>
        <v>12</v>
      </c>
      <c r="Q128" s="304">
        <f t="shared" ca="1" si="48"/>
        <v>1185.1079999999995</v>
      </c>
      <c r="R128" s="306">
        <f t="shared" ca="1" si="49"/>
        <v>0.58239969525226365</v>
      </c>
      <c r="S128" s="307">
        <f t="shared" ca="1" si="50"/>
        <v>7.6544017521693659</v>
      </c>
      <c r="T128" s="304">
        <f t="shared" ca="1" si="30"/>
        <v>75.089681188781483</v>
      </c>
      <c r="U128" s="311">
        <f t="shared" ca="1" si="31"/>
        <v>0</v>
      </c>
      <c r="V128" s="306">
        <f t="shared" ca="1" si="32"/>
        <v>1.2116989022511218</v>
      </c>
      <c r="W128" s="304">
        <f t="shared" ca="1" si="33"/>
        <v>126.35785534500927</v>
      </c>
      <c r="Y128" s="314" t="str">
        <f t="shared" ca="1" si="51"/>
        <v/>
      </c>
      <c r="Z128" s="315" t="str">
        <f t="shared" ca="1" si="52"/>
        <v/>
      </c>
      <c r="AA128" s="316" t="str">
        <f t="shared" ca="1" si="53"/>
        <v/>
      </c>
      <c r="AC128" s="310" t="e">
        <f t="shared" ca="1" si="54"/>
        <v>#N/A</v>
      </c>
      <c r="AD128" s="323" t="e">
        <f t="shared" ca="1" si="55"/>
        <v>#N/A</v>
      </c>
      <c r="AE128" s="324">
        <f t="shared" ca="1" si="34"/>
        <v>109.17309263438378</v>
      </c>
      <c r="AG128" s="306">
        <f t="shared" ca="1" si="56"/>
        <v>128.92865817168985</v>
      </c>
      <c r="AH128" s="304">
        <f t="shared" ca="1" si="57"/>
        <v>138.55423274960125</v>
      </c>
    </row>
    <row r="129" spans="1:34" x14ac:dyDescent="0.2">
      <c r="A129" s="347">
        <f t="shared" ca="1" si="35"/>
        <v>0.01</v>
      </c>
      <c r="B129" s="304">
        <f t="shared" ca="1" si="36"/>
        <v>1.2500000000000009</v>
      </c>
      <c r="D129" s="306">
        <f t="shared" ca="1" si="37"/>
        <v>26.626918091999062</v>
      </c>
      <c r="E129" s="307">
        <f t="shared" ca="1" si="38"/>
        <v>125.48911178250177</v>
      </c>
      <c r="F129" s="304">
        <f t="shared" ca="1" si="39"/>
        <v>128.28292927369273</v>
      </c>
      <c r="G129" s="306">
        <f t="shared" ca="1" si="40"/>
        <v>34.685123083153371</v>
      </c>
      <c r="H129" s="307">
        <f t="shared" ca="1" si="41"/>
        <v>176.1470940176857</v>
      </c>
      <c r="I129" s="304">
        <f t="shared" ca="1" si="42"/>
        <v>179.52954212098047</v>
      </c>
      <c r="J129" s="306">
        <f t="shared" ca="1" si="43"/>
        <v>21.155479066946388</v>
      </c>
      <c r="K129" s="307">
        <f t="shared" ca="1" si="44"/>
        <v>110.92828911897151</v>
      </c>
      <c r="L129" s="304">
        <f t="shared" ca="1" si="29"/>
        <v>112.92758574154563</v>
      </c>
      <c r="M129" s="306">
        <f t="shared" ca="1" si="45"/>
        <v>1.3763736851910311</v>
      </c>
      <c r="N129" s="304">
        <f t="shared" ca="1" si="46"/>
        <v>78.860403194313903</v>
      </c>
      <c r="P129" s="310">
        <f t="shared" ca="1" si="47"/>
        <v>12</v>
      </c>
      <c r="Q129" s="304">
        <f t="shared" ca="1" si="48"/>
        <v>1181.0559999999996</v>
      </c>
      <c r="R129" s="306">
        <f t="shared" ca="1" si="49"/>
        <v>0.5804084138119544</v>
      </c>
      <c r="S129" s="307">
        <f t="shared" ca="1" si="50"/>
        <v>7.648597668031246</v>
      </c>
      <c r="T129" s="304">
        <f t="shared" ca="1" si="30"/>
        <v>75.032743123386524</v>
      </c>
      <c r="U129" s="311">
        <f t="shared" ca="1" si="31"/>
        <v>0</v>
      </c>
      <c r="V129" s="306">
        <f t="shared" ca="1" si="32"/>
        <v>1.2114862375105517</v>
      </c>
      <c r="W129" s="304">
        <f t="shared" ca="1" si="33"/>
        <v>128.1604806200547</v>
      </c>
      <c r="Y129" s="314" t="str">
        <f t="shared" ca="1" si="51"/>
        <v/>
      </c>
      <c r="Z129" s="315" t="str">
        <f t="shared" ca="1" si="52"/>
        <v/>
      </c>
      <c r="AA129" s="316" t="str">
        <f t="shared" ca="1" si="53"/>
        <v/>
      </c>
      <c r="AC129" s="310" t="e">
        <f t="shared" ca="1" si="54"/>
        <v>#N/A</v>
      </c>
      <c r="AD129" s="323" t="e">
        <f t="shared" ca="1" si="55"/>
        <v>#N/A</v>
      </c>
      <c r="AE129" s="324">
        <f t="shared" ca="1" si="34"/>
        <v>110.92828911897151</v>
      </c>
      <c r="AG129" s="306">
        <f t="shared" ca="1" si="56"/>
        <v>128.26894268186606</v>
      </c>
      <c r="AH129" s="304">
        <f t="shared" ca="1" si="57"/>
        <v>137.89431611278232</v>
      </c>
    </row>
    <row r="130" spans="1:34" x14ac:dyDescent="0.2">
      <c r="A130" s="347">
        <f t="shared" ca="1" si="35"/>
        <v>0.01</v>
      </c>
      <c r="B130" s="304">
        <f t="shared" ca="1" si="36"/>
        <v>1.2600000000000009</v>
      </c>
      <c r="D130" s="306">
        <f t="shared" ca="1" si="37"/>
        <v>26.513359098763114</v>
      </c>
      <c r="E130" s="307">
        <f t="shared" ca="1" si="38"/>
        <v>124.83709773980419</v>
      </c>
      <c r="F130" s="304">
        <f t="shared" ca="1" si="39"/>
        <v>127.62154670273115</v>
      </c>
      <c r="G130" s="306">
        <f t="shared" ca="1" si="40"/>
        <v>34.950256674141002</v>
      </c>
      <c r="H130" s="307">
        <f t="shared" ca="1" si="41"/>
        <v>177.39546499508376</v>
      </c>
      <c r="I130" s="304">
        <f t="shared" ca="1" si="42"/>
        <v>180.80561783974059</v>
      </c>
      <c r="J130" s="306">
        <f t="shared" ca="1" si="43"/>
        <v>21.503655965732861</v>
      </c>
      <c r="K130" s="307">
        <f t="shared" ca="1" si="44"/>
        <v>112.69600191403535</v>
      </c>
      <c r="L130" s="304">
        <f t="shared" ca="1" si="29"/>
        <v>114.72922935024387</v>
      </c>
      <c r="M130" s="306">
        <f t="shared" ca="1" si="45"/>
        <v>1.3762688603036433</v>
      </c>
      <c r="N130" s="304">
        <f t="shared" ca="1" si="46"/>
        <v>78.854397170678638</v>
      </c>
      <c r="P130" s="310">
        <f t="shared" ca="1" si="47"/>
        <v>12</v>
      </c>
      <c r="Q130" s="304">
        <f t="shared" ca="1" si="48"/>
        <v>1177.0039999999997</v>
      </c>
      <c r="R130" s="306">
        <f t="shared" ca="1" si="49"/>
        <v>0.57841713237164505</v>
      </c>
      <c r="S130" s="307">
        <f t="shared" ca="1" si="50"/>
        <v>7.6428134967075296</v>
      </c>
      <c r="T130" s="304">
        <f t="shared" ca="1" si="30"/>
        <v>74.976000402700876</v>
      </c>
      <c r="U130" s="311">
        <f t="shared" ca="1" si="31"/>
        <v>0</v>
      </c>
      <c r="V130" s="306">
        <f t="shared" ca="1" si="32"/>
        <v>1.2112720937728534</v>
      </c>
      <c r="W130" s="304">
        <f t="shared" ca="1" si="33"/>
        <v>129.96587902485314</v>
      </c>
      <c r="Y130" s="314" t="str">
        <f t="shared" ca="1" si="51"/>
        <v/>
      </c>
      <c r="Z130" s="315" t="str">
        <f t="shared" ca="1" si="52"/>
        <v/>
      </c>
      <c r="AA130" s="316" t="str">
        <f t="shared" ca="1" si="53"/>
        <v/>
      </c>
      <c r="AC130" s="310" t="e">
        <f t="shared" ca="1" si="54"/>
        <v>#N/A</v>
      </c>
      <c r="AD130" s="323" t="e">
        <f t="shared" ca="1" si="55"/>
        <v>#N/A</v>
      </c>
      <c r="AE130" s="324">
        <f t="shared" ca="1" si="34"/>
        <v>112.69600191403535</v>
      </c>
      <c r="AG130" s="306">
        <f t="shared" ca="1" si="56"/>
        <v>127.60747253908072</v>
      </c>
      <c r="AH130" s="304">
        <f t="shared" ca="1" si="57"/>
        <v>137.23264604478175</v>
      </c>
    </row>
    <row r="131" spans="1:34" x14ac:dyDescent="0.2">
      <c r="A131" s="347">
        <f t="shared" ca="1" si="35"/>
        <v>0.01</v>
      </c>
      <c r="B131" s="304">
        <f t="shared" ca="1" si="36"/>
        <v>1.2700000000000009</v>
      </c>
      <c r="D131" s="306">
        <f t="shared" ca="1" si="37"/>
        <v>26.399237785313829</v>
      </c>
      <c r="E131" s="307">
        <f t="shared" ca="1" si="38"/>
        <v>124.18343833450214</v>
      </c>
      <c r="F131" s="304">
        <f t="shared" ca="1" si="39"/>
        <v>126.9584424614001</v>
      </c>
      <c r="G131" s="306">
        <f t="shared" ca="1" si="40"/>
        <v>35.214249051994138</v>
      </c>
      <c r="H131" s="307">
        <f t="shared" ca="1" si="41"/>
        <v>178.63729937842876</v>
      </c>
      <c r="I131" s="304">
        <f t="shared" ca="1" si="42"/>
        <v>182.07506162435936</v>
      </c>
      <c r="J131" s="306">
        <f t="shared" ca="1" si="43"/>
        <v>21.854478494363537</v>
      </c>
      <c r="K131" s="307">
        <f t="shared" ca="1" si="44"/>
        <v>114.47616573590291</v>
      </c>
      <c r="L131" s="304">
        <f t="shared" ca="1" si="29"/>
        <v>116.54360021834965</v>
      </c>
      <c r="M131" s="306">
        <f t="shared" ca="1" si="45"/>
        <v>1.3761647108510346</v>
      </c>
      <c r="N131" s="304">
        <f t="shared" ca="1" si="46"/>
        <v>78.848429846605569</v>
      </c>
      <c r="P131" s="310">
        <f t="shared" ca="1" si="47"/>
        <v>12</v>
      </c>
      <c r="Q131" s="304">
        <f t="shared" ca="1" si="48"/>
        <v>1172.9519999999995</v>
      </c>
      <c r="R131" s="306">
        <f t="shared" ca="1" si="49"/>
        <v>0.57642585093133558</v>
      </c>
      <c r="S131" s="307">
        <f t="shared" ca="1" si="50"/>
        <v>7.637049238198216</v>
      </c>
      <c r="T131" s="304">
        <f t="shared" ca="1" si="30"/>
        <v>74.919453026724497</v>
      </c>
      <c r="U131" s="311">
        <f t="shared" ca="1" si="31"/>
        <v>0</v>
      </c>
      <c r="V131" s="306">
        <f t="shared" ca="1" si="32"/>
        <v>1.2110564797341967</v>
      </c>
      <c r="W131" s="304">
        <f t="shared" ca="1" si="33"/>
        <v>131.77381666889937</v>
      </c>
      <c r="Y131" s="314" t="str">
        <f t="shared" ca="1" si="51"/>
        <v/>
      </c>
      <c r="Z131" s="315" t="str">
        <f t="shared" ca="1" si="52"/>
        <v/>
      </c>
      <c r="AA131" s="316" t="str">
        <f t="shared" ca="1" si="53"/>
        <v/>
      </c>
      <c r="AC131" s="310" t="e">
        <f t="shared" ca="1" si="54"/>
        <v>#N/A</v>
      </c>
      <c r="AD131" s="323" t="e">
        <f t="shared" ca="1" si="55"/>
        <v>#N/A</v>
      </c>
      <c r="AE131" s="324">
        <f t="shared" ca="1" si="34"/>
        <v>114.47616573590291</v>
      </c>
      <c r="AG131" s="306">
        <f t="shared" ca="1" si="56"/>
        <v>126.94427971247956</v>
      </c>
      <c r="AH131" s="304">
        <f t="shared" ca="1" si="57"/>
        <v>136.56925449143949</v>
      </c>
    </row>
    <row r="132" spans="1:34" x14ac:dyDescent="0.2">
      <c r="A132" s="347">
        <f t="shared" ca="1" si="35"/>
        <v>0.01</v>
      </c>
      <c r="B132" s="304">
        <f t="shared" ca="1" si="36"/>
        <v>1.2800000000000009</v>
      </c>
      <c r="D132" s="306">
        <f t="shared" ca="1" si="37"/>
        <v>26.284562896182564</v>
      </c>
      <c r="E132" s="307">
        <f t="shared" ca="1" si="38"/>
        <v>123.52816445109207</v>
      </c>
      <c r="F132" s="304">
        <f t="shared" ca="1" si="39"/>
        <v>126.29364853110953</v>
      </c>
      <c r="G132" s="306">
        <f t="shared" ca="1" si="40"/>
        <v>35.477094680955965</v>
      </c>
      <c r="H132" s="307">
        <f t="shared" ca="1" si="41"/>
        <v>179.8725810229397</v>
      </c>
      <c r="I132" s="304">
        <f t="shared" ca="1" si="42"/>
        <v>183.33785656774631</v>
      </c>
      <c r="J132" s="306">
        <f t="shared" ca="1" si="43"/>
        <v>22.207935213028289</v>
      </c>
      <c r="K132" s="307">
        <f t="shared" ca="1" si="44"/>
        <v>116.26871513790975</v>
      </c>
      <c r="L132" s="304">
        <f t="shared" ref="L132:L195" ca="1" si="58">SQRT(pos_x^2+pos_z^2)</f>
        <v>118.3706319415693</v>
      </c>
      <c r="M132" s="306">
        <f t="shared" ca="1" si="45"/>
        <v>1.3760612240828771</v>
      </c>
      <c r="N132" s="304">
        <f t="shared" ca="1" si="46"/>
        <v>78.842500491554688</v>
      </c>
      <c r="P132" s="310">
        <f t="shared" ca="1" si="47"/>
        <v>12</v>
      </c>
      <c r="Q132" s="304">
        <f t="shared" ca="1" si="48"/>
        <v>1168.8999999999996</v>
      </c>
      <c r="R132" s="306">
        <f t="shared" ca="1" si="49"/>
        <v>0.57443456949102623</v>
      </c>
      <c r="S132" s="307">
        <f t="shared" ca="1" si="50"/>
        <v>7.631304892503306</v>
      </c>
      <c r="T132" s="304">
        <f t="shared" ref="T132:T195" ca="1" si="59">m*g</f>
        <v>74.86310099545743</v>
      </c>
      <c r="U132" s="311">
        <f t="shared" ref="U132:U195" ca="1" si="60">IF(pos_xz&lt;L_rampe,Poids*COS(Beta),0)</f>
        <v>0</v>
      </c>
      <c r="V132" s="306">
        <f t="shared" ref="V132:V195" ca="1" si="61">Rho_moyen*(20000-Alt_rampe-pos_z)/(20000+Alt_rampe+pos_z)</f>
        <v>1.2108394041100914</v>
      </c>
      <c r="W132" s="304">
        <f t="shared" ref="W132:W195" ca="1" si="62">1/2*Rho*Sref*Cx*vit_xz^2</f>
        <v>133.58406067003583</v>
      </c>
      <c r="Y132" s="314" t="str">
        <f t="shared" ca="1" si="51"/>
        <v/>
      </c>
      <c r="Z132" s="315" t="str">
        <f t="shared" ca="1" si="52"/>
        <v/>
      </c>
      <c r="AA132" s="316" t="str">
        <f t="shared" ca="1" si="53"/>
        <v/>
      </c>
      <c r="AC132" s="310" t="e">
        <f t="shared" ca="1" si="54"/>
        <v>#N/A</v>
      </c>
      <c r="AD132" s="323" t="e">
        <f t="shared" ca="1" si="55"/>
        <v>#N/A</v>
      </c>
      <c r="AE132" s="324">
        <f t="shared" ref="AE132:AE195" ca="1" si="63">IF(t&lt;T_para, pos_z, NA())</f>
        <v>116.26871513790975</v>
      </c>
      <c r="AG132" s="306">
        <f t="shared" ca="1" si="56"/>
        <v>126.27939616575371</v>
      </c>
      <c r="AH132" s="304">
        <f t="shared" ca="1" si="57"/>
        <v>135.90417339371831</v>
      </c>
    </row>
    <row r="133" spans="1:34" x14ac:dyDescent="0.2">
      <c r="A133" s="347">
        <f t="shared" ref="A133:A196" ca="1" si="64">IF(B132+0.01&lt;=T_ini+ROUNDUP(Temps_fin_propu,0), 0.01, IF(K132&gt;0, 0.1, 0.0001))</f>
        <v>0.01</v>
      </c>
      <c r="B133" s="304">
        <f t="shared" ref="B133:B196" ca="1" si="65">B132+pas</f>
        <v>1.2900000000000009</v>
      </c>
      <c r="D133" s="306">
        <f t="shared" ref="D133:D196" ca="1" si="66">IF(AND(L132&lt;L_rampe,Poussee&lt;Poids*SIN(M132)),0,(-W132+Poussee)/m*COS(M132)-U132/m*SIN(M132))</f>
        <v>26.169343115963176</v>
      </c>
      <c r="E133" s="307">
        <f t="shared" ref="E133:E196" ca="1" si="67">IF(AND(L132&lt;L_rampe,Poussee&lt;Poids*SIN(M132)),0,(-W132+Poussee)/m*SIN(M132)+U132/m*COS(M132)-Poids/m)</f>
        <v>122.87130697494754</v>
      </c>
      <c r="F133" s="304">
        <f t="shared" ref="F133:F196" ca="1" si="68">SQRT(acc_x^2+acc_z^2)</f>
        <v>125.62719688368759</v>
      </c>
      <c r="G133" s="306">
        <f t="shared" ref="G133:G196" ca="1" si="69">G132+acc_x*pas</f>
        <v>35.7387881121156</v>
      </c>
      <c r="H133" s="307">
        <f t="shared" ref="H133:H196" ca="1" si="70">H132+acc_z*pas</f>
        <v>181.10129409268919</v>
      </c>
      <c r="I133" s="304">
        <f t="shared" ref="I133:I196" ca="1" si="71">SQRT(vit_x^2+vit_z^2)</f>
        <v>184.59398608234613</v>
      </c>
      <c r="J133" s="306">
        <f t="shared" ref="J133:J196" ca="1" si="72">J132+0.5*(vit_x+G132)*pas*(K132&gt;=0)</f>
        <v>22.564014626993647</v>
      </c>
      <c r="K133" s="307">
        <f t="shared" ref="K133:K196" ca="1" si="73">K132+0.5*(vit_z+H132)*pas</f>
        <v>118.0735845134879</v>
      </c>
      <c r="L133" s="304">
        <f t="shared" ca="1" si="58"/>
        <v>120.2102579481092</v>
      </c>
      <c r="M133" s="306">
        <f t="shared" ref="M133:M196" ca="1" si="74">IF(AND(L132&gt;L_rampe,G133&gt;0),ATAN2(G133,H133),$M$4)</f>
        <v>1.3759583875662122</v>
      </c>
      <c r="N133" s="304">
        <f t="shared" ref="N133:N196" ca="1" si="75">DEGREES(Beta)</f>
        <v>78.836608393169968</v>
      </c>
      <c r="P133" s="310">
        <f t="shared" ref="P133:P196" ca="1" si="76">MATCH(t-pas/2-T_ini,CdP_t)</f>
        <v>12</v>
      </c>
      <c r="Q133" s="304">
        <f t="shared" ref="Q133:Q196" ca="1" si="77">(INDEX(CdP,2,i_P+1)-INDEX(CdP,2,i_P+0))/(INDEX(CdP,1,i_P+1)-INDEX(CdP,1,i_P+0))*(t-pas/2-T_ini-INDEX(CdP,1,i_P+0))+INDEX(CdP,2,i_P+0)</f>
        <v>1164.8479999999995</v>
      </c>
      <c r="R133" s="306">
        <f t="shared" ref="R133:R196" ca="1" si="78">Poussee/(g*ISP)</f>
        <v>0.57244328805071676</v>
      </c>
      <c r="S133" s="307">
        <f t="shared" ref="S133:S196" ca="1" si="79">S132-Débit*pas</f>
        <v>7.6255804596227987</v>
      </c>
      <c r="T133" s="304">
        <f t="shared" ca="1" si="59"/>
        <v>74.806944308899659</v>
      </c>
      <c r="U133" s="311">
        <f t="shared" ca="1" si="60"/>
        <v>0</v>
      </c>
      <c r="V133" s="306">
        <f t="shared" ca="1" si="61"/>
        <v>1.2106208756348955</v>
      </c>
      <c r="W133" s="304">
        <f t="shared" ca="1" si="62"/>
        <v>135.39637918167665</v>
      </c>
      <c r="Y133" s="314" t="str">
        <f t="shared" ref="Y133:Y196" ca="1" si="80">IF(AND(pos_z&lt;=0,K132&gt;0),"Impact balistique","") &amp; IF(AND(H134&lt;0,vit_z&gt;=0),"Apogée","") &amp; IF(AND(Poussee=0,Q132&gt;0),"Fin de propulsion","") &amp; IF(AND(L134&gt;L_rampe,pos_xz&lt;=L_rampe),"Sortie de rampe","")</f>
        <v/>
      </c>
      <c r="Z133" s="315" t="str">
        <f t="shared" ref="Z133:Z196" ca="1" si="81">IF(ABS(t-T_para)&lt;pas/2,"Para","")</f>
        <v/>
      </c>
      <c r="AA133" s="316" t="str">
        <f t="shared" ref="AA133:AA196" ca="1" si="82">IF(ABS(t-T_satellite)&lt;pas/2,"Satellite","")</f>
        <v/>
      </c>
      <c r="AC133" s="310" t="e">
        <f t="shared" ref="AC133:AC196" ca="1" si="83">IF(ABS(t-ROUND(t,0))&lt;0.001,t,NA())</f>
        <v>#N/A</v>
      </c>
      <c r="AD133" s="323" t="e">
        <f t="shared" ref="AD133:AD196" ca="1" si="84">IF(ABS(t-ROUND(t,0))&lt;0.001,pos_x,NA())</f>
        <v>#N/A</v>
      </c>
      <c r="AE133" s="324">
        <f t="shared" ca="1" si="63"/>
        <v>118.0735845134879</v>
      </c>
      <c r="AG133" s="306">
        <f t="shared" ref="AG133:AG196" ca="1" si="85">IF(AND(L132&lt;L_rampe,Poussee&lt;Poids*SIN(M132)),0,(-W132+Poussee)/m-Poids*SIN(M132)/m)</f>
        <v>125.61285385268694</v>
      </c>
      <c r="AH133" s="304">
        <f t="shared" ref="AH133:AH196" ca="1" si="86">IF(AND(L132&lt;L_rampe,Poussee&lt;Poids*SIN(M132)), g*SIN(M132), (-W132+Poussee)/m)</f>
        <v>135.23743468323138</v>
      </c>
    </row>
    <row r="134" spans="1:34" x14ac:dyDescent="0.2">
      <c r="A134" s="347">
        <f t="shared" ca="1" si="64"/>
        <v>0.01</v>
      </c>
      <c r="B134" s="304">
        <f t="shared" ca="1" si="65"/>
        <v>1.3000000000000009</v>
      </c>
      <c r="D134" s="306">
        <f t="shared" ca="1" si="66"/>
        <v>26.053587070584616</v>
      </c>
      <c r="E134" s="307">
        <f t="shared" ca="1" si="67"/>
        <v>122.21289678759123</v>
      </c>
      <c r="F134" s="304">
        <f t="shared" ca="1" si="68"/>
        <v>124.95911947696719</v>
      </c>
      <c r="G134" s="306">
        <f t="shared" ca="1" si="69"/>
        <v>35.999323982821444</v>
      </c>
      <c r="H134" s="307">
        <f t="shared" ca="1" si="70"/>
        <v>182.32342306056509</v>
      </c>
      <c r="I134" s="304">
        <f t="shared" ca="1" si="71"/>
        <v>185.84343389999535</v>
      </c>
      <c r="J134" s="306">
        <f t="shared" ca="1" si="72"/>
        <v>22.922705187468331</v>
      </c>
      <c r="K134" s="307">
        <f t="shared" ca="1" si="73"/>
        <v>119.89070809925417</v>
      </c>
      <c r="L134" s="304">
        <f t="shared" ca="1" si="58"/>
        <v>122.06241150187128</v>
      </c>
      <c r="M134" s="306">
        <f t="shared" ca="1" si="74"/>
        <v>1.3758561891747474</v>
      </c>
      <c r="N134" s="304">
        <f t="shared" ca="1" si="75"/>
        <v>78.83075285666601</v>
      </c>
      <c r="P134" s="310">
        <f t="shared" ca="1" si="76"/>
        <v>12</v>
      </c>
      <c r="Q134" s="304">
        <f t="shared" ca="1" si="77"/>
        <v>1160.7959999999996</v>
      </c>
      <c r="R134" s="306">
        <f t="shared" ca="1" si="78"/>
        <v>0.5704520066104074</v>
      </c>
      <c r="S134" s="307">
        <f t="shared" ca="1" si="79"/>
        <v>7.6198759395566951</v>
      </c>
      <c r="T134" s="304">
        <f t="shared" ca="1" si="59"/>
        <v>74.750982967051186</v>
      </c>
      <c r="U134" s="311">
        <f t="shared" ca="1" si="60"/>
        <v>0</v>
      </c>
      <c r="V134" s="306">
        <f t="shared" ca="1" si="61"/>
        <v>1.2104009030613208</v>
      </c>
      <c r="W134" s="304">
        <f t="shared" ca="1" si="62"/>
        <v>137.21054141965104</v>
      </c>
      <c r="Y134" s="314" t="str">
        <f t="shared" ca="1" si="80"/>
        <v/>
      </c>
      <c r="Z134" s="315" t="str">
        <f t="shared" ca="1" si="81"/>
        <v/>
      </c>
      <c r="AA134" s="316" t="str">
        <f t="shared" ca="1" si="82"/>
        <v/>
      </c>
      <c r="AC134" s="310" t="e">
        <f t="shared" ca="1" si="83"/>
        <v>#N/A</v>
      </c>
      <c r="AD134" s="323" t="e">
        <f t="shared" ca="1" si="84"/>
        <v>#N/A</v>
      </c>
      <c r="AE134" s="324">
        <f t="shared" ca="1" si="63"/>
        <v>119.89070809925417</v>
      </c>
      <c r="AG134" s="306">
        <f t="shared" ca="1" si="85"/>
        <v>124.94468471273218</v>
      </c>
      <c r="AH134" s="304">
        <f t="shared" ca="1" si="86"/>
        <v>134.56907027780011</v>
      </c>
    </row>
    <row r="135" spans="1:34" x14ac:dyDescent="0.2">
      <c r="A135" s="347">
        <f t="shared" ca="1" si="64"/>
        <v>0.01</v>
      </c>
      <c r="B135" s="304">
        <f t="shared" ca="1" si="65"/>
        <v>1.3100000000000009</v>
      </c>
      <c r="D135" s="306">
        <f t="shared" ca="1" si="66"/>
        <v>25.930060783353923</v>
      </c>
      <c r="E135" s="307">
        <f t="shared" ca="1" si="67"/>
        <v>121.51628391704247</v>
      </c>
      <c r="F135" s="304">
        <f t="shared" ca="1" si="68"/>
        <v>124.25206360151812</v>
      </c>
      <c r="G135" s="306">
        <f t="shared" ca="1" si="69"/>
        <v>36.258624590654982</v>
      </c>
      <c r="H135" s="307">
        <f t="shared" ca="1" si="70"/>
        <v>183.53858589973552</v>
      </c>
      <c r="I135" s="304">
        <f t="shared" ca="1" si="71"/>
        <v>187.08581018153313</v>
      </c>
      <c r="J135" s="306">
        <f t="shared" ca="1" si="72"/>
        <v>23.283994930335712</v>
      </c>
      <c r="K135" s="307">
        <f t="shared" ca="1" si="73"/>
        <v>121.72001814405567</v>
      </c>
      <c r="L135" s="304">
        <f t="shared" ca="1" si="58"/>
        <v>123.92702383622847</v>
      </c>
      <c r="M135" s="306">
        <f t="shared" ca="1" si="74"/>
        <v>1.3757546168756078</v>
      </c>
      <c r="N135" s="304">
        <f t="shared" ca="1" si="75"/>
        <v>78.824933192609876</v>
      </c>
      <c r="P135" s="310">
        <f t="shared" ca="1" si="76"/>
        <v>13</v>
      </c>
      <c r="Q135" s="304">
        <f t="shared" ca="1" si="77"/>
        <v>1156.4594999999995</v>
      </c>
      <c r="R135" s="306">
        <f t="shared" ca="1" si="78"/>
        <v>0.56832091283797359</v>
      </c>
      <c r="S135" s="307">
        <f t="shared" ca="1" si="79"/>
        <v>7.6141927304283152</v>
      </c>
      <c r="T135" s="304">
        <f t="shared" ca="1" si="59"/>
        <v>74.69523068550177</v>
      </c>
      <c r="U135" s="311">
        <f t="shared" ca="1" si="60"/>
        <v>0</v>
      </c>
      <c r="V135" s="306">
        <f t="shared" ca="1" si="61"/>
        <v>1.2101794953819041</v>
      </c>
      <c r="W135" s="304">
        <f t="shared" ca="1" si="62"/>
        <v>139.02576202880937</v>
      </c>
      <c r="Y135" s="314" t="str">
        <f t="shared" ca="1" si="80"/>
        <v/>
      </c>
      <c r="Z135" s="315" t="str">
        <f t="shared" ca="1" si="81"/>
        <v/>
      </c>
      <c r="AA135" s="316" t="str">
        <f t="shared" ca="1" si="82"/>
        <v/>
      </c>
      <c r="AC135" s="310" t="e">
        <f t="shared" ca="1" si="83"/>
        <v>#N/A</v>
      </c>
      <c r="AD135" s="323" t="e">
        <f t="shared" ca="1" si="84"/>
        <v>#N/A</v>
      </c>
      <c r="AE135" s="324">
        <f t="shared" ca="1" si="63"/>
        <v>121.72001814405567</v>
      </c>
      <c r="AG135" s="306">
        <f t="shared" ca="1" si="85"/>
        <v>124.23753164619859</v>
      </c>
      <c r="AH135" s="304">
        <f t="shared" ca="1" si="86"/>
        <v>133.86172305662316</v>
      </c>
    </row>
    <row r="136" spans="1:34" x14ac:dyDescent="0.2">
      <c r="A136" s="347">
        <f t="shared" ca="1" si="64"/>
        <v>0.01</v>
      </c>
      <c r="B136" s="304">
        <f t="shared" ca="1" si="65"/>
        <v>1.320000000000001</v>
      </c>
      <c r="D136" s="306">
        <f t="shared" ca="1" si="66"/>
        <v>25.798754923767639</v>
      </c>
      <c r="E136" s="307">
        <f t="shared" ca="1" si="67"/>
        <v>120.7814675512135</v>
      </c>
      <c r="F136" s="304">
        <f t="shared" ca="1" si="68"/>
        <v>123.50602681424685</v>
      </c>
      <c r="G136" s="306">
        <f t="shared" ca="1" si="69"/>
        <v>36.516612139892658</v>
      </c>
      <c r="H136" s="307">
        <f t="shared" ca="1" si="70"/>
        <v>184.74640057524766</v>
      </c>
      <c r="I136" s="304">
        <f t="shared" ca="1" si="71"/>
        <v>188.32072506148978</v>
      </c>
      <c r="J136" s="306">
        <f t="shared" ca="1" si="72"/>
        <v>23.647871113988451</v>
      </c>
      <c r="K136" s="307">
        <f t="shared" ca="1" si="73"/>
        <v>123.56144307643059</v>
      </c>
      <c r="L136" s="304">
        <f t="shared" ca="1" si="58"/>
        <v>125.80402228606924</v>
      </c>
      <c r="M136" s="306">
        <f t="shared" ca="1" si="74"/>
        <v>1.3756536587294219</v>
      </c>
      <c r="N136" s="304">
        <f t="shared" ca="1" si="75"/>
        <v>78.819148716925952</v>
      </c>
      <c r="P136" s="310">
        <f t="shared" ca="1" si="76"/>
        <v>13</v>
      </c>
      <c r="Q136" s="304">
        <f t="shared" ca="1" si="77"/>
        <v>1151.8384999999994</v>
      </c>
      <c r="R136" s="306">
        <f t="shared" ca="1" si="78"/>
        <v>0.56605000673341543</v>
      </c>
      <c r="S136" s="307">
        <f t="shared" ca="1" si="79"/>
        <v>7.6085322303609813</v>
      </c>
      <c r="T136" s="304">
        <f t="shared" ca="1" si="59"/>
        <v>74.639701179841225</v>
      </c>
      <c r="U136" s="311">
        <f t="shared" ca="1" si="60"/>
        <v>0</v>
      </c>
      <c r="V136" s="306">
        <f t="shared" ca="1" si="61"/>
        <v>1.2099566620504243</v>
      </c>
      <c r="W136" s="304">
        <f t="shared" ca="1" si="62"/>
        <v>140.84124203897878</v>
      </c>
      <c r="Y136" s="314" t="str">
        <f t="shared" ca="1" si="80"/>
        <v/>
      </c>
      <c r="Z136" s="315" t="str">
        <f t="shared" ca="1" si="81"/>
        <v/>
      </c>
      <c r="AA136" s="316" t="str">
        <f t="shared" ca="1" si="82"/>
        <v/>
      </c>
      <c r="AC136" s="310" t="e">
        <f t="shared" ca="1" si="83"/>
        <v>#N/A</v>
      </c>
      <c r="AD136" s="323" t="e">
        <f t="shared" ca="1" si="84"/>
        <v>#N/A</v>
      </c>
      <c r="AE136" s="324">
        <f t="shared" ca="1" si="63"/>
        <v>123.56144307643059</v>
      </c>
      <c r="AG136" s="306">
        <f t="shared" ca="1" si="85"/>
        <v>123.49139202227011</v>
      </c>
      <c r="AH136" s="304">
        <f t="shared" ca="1" si="86"/>
        <v>133.11539036789199</v>
      </c>
    </row>
    <row r="137" spans="1:34" x14ac:dyDescent="0.2">
      <c r="A137" s="347">
        <f t="shared" ca="1" si="64"/>
        <v>0.01</v>
      </c>
      <c r="B137" s="304">
        <f t="shared" ca="1" si="65"/>
        <v>1.330000000000001</v>
      </c>
      <c r="D137" s="306">
        <f t="shared" ca="1" si="66"/>
        <v>25.666921534414215</v>
      </c>
      <c r="E137" s="307">
        <f t="shared" ca="1" si="67"/>
        <v>120.04518342075519</v>
      </c>
      <c r="F137" s="304">
        <f t="shared" ca="1" si="68"/>
        <v>122.758449499725</v>
      </c>
      <c r="G137" s="306">
        <f t="shared" ca="1" si="69"/>
        <v>36.773281355236797</v>
      </c>
      <c r="H137" s="307">
        <f t="shared" ca="1" si="70"/>
        <v>185.9468524094552</v>
      </c>
      <c r="I137" s="304">
        <f t="shared" ca="1" si="71"/>
        <v>189.54816312118439</v>
      </c>
      <c r="J137" s="306">
        <f t="shared" ca="1" si="72"/>
        <v>24.014320581464098</v>
      </c>
      <c r="K137" s="307">
        <f t="shared" ca="1" si="73"/>
        <v>125.4149093413541</v>
      </c>
      <c r="L137" s="304">
        <f t="shared" ca="1" si="58"/>
        <v>127.69333215986416</v>
      </c>
      <c r="M137" s="306">
        <f t="shared" ca="1" si="74"/>
        <v>1.3755533030884577</v>
      </c>
      <c r="N137" s="304">
        <f t="shared" ca="1" si="75"/>
        <v>78.813398762248369</v>
      </c>
      <c r="P137" s="310">
        <f t="shared" ca="1" si="76"/>
        <v>13</v>
      </c>
      <c r="Q137" s="304">
        <f t="shared" ca="1" si="77"/>
        <v>1147.2174999999995</v>
      </c>
      <c r="R137" s="306">
        <f t="shared" ca="1" si="78"/>
        <v>0.56377910062885728</v>
      </c>
      <c r="S137" s="307">
        <f t="shared" ca="1" si="79"/>
        <v>7.6028944393546931</v>
      </c>
      <c r="T137" s="304">
        <f t="shared" ca="1" si="59"/>
        <v>74.584394450069539</v>
      </c>
      <c r="U137" s="311">
        <f t="shared" ca="1" si="60"/>
        <v>0</v>
      </c>
      <c r="V137" s="306">
        <f t="shared" ca="1" si="61"/>
        <v>1.2097324127591678</v>
      </c>
      <c r="W137" s="304">
        <f t="shared" ca="1" si="62"/>
        <v>142.65673275577677</v>
      </c>
      <c r="Y137" s="314" t="str">
        <f t="shared" ca="1" si="80"/>
        <v/>
      </c>
      <c r="Z137" s="315" t="str">
        <f t="shared" ca="1" si="81"/>
        <v/>
      </c>
      <c r="AA137" s="316" t="str">
        <f t="shared" ca="1" si="82"/>
        <v/>
      </c>
      <c r="AC137" s="310" t="e">
        <f t="shared" ca="1" si="83"/>
        <v>#N/A</v>
      </c>
      <c r="AD137" s="323" t="e">
        <f t="shared" ca="1" si="84"/>
        <v>#N/A</v>
      </c>
      <c r="AE137" s="324">
        <f t="shared" ca="1" si="63"/>
        <v>125.4149093413541</v>
      </c>
      <c r="AG137" s="306">
        <f t="shared" ca="1" si="85"/>
        <v>122.74371052006994</v>
      </c>
      <c r="AH137" s="304">
        <f t="shared" ca="1" si="86"/>
        <v>132.36751686985653</v>
      </c>
    </row>
    <row r="138" spans="1:34" x14ac:dyDescent="0.2">
      <c r="A138" s="347">
        <f t="shared" ca="1" si="64"/>
        <v>0.01</v>
      </c>
      <c r="B138" s="304">
        <f t="shared" ca="1" si="65"/>
        <v>1.340000000000001</v>
      </c>
      <c r="D138" s="306">
        <f t="shared" ca="1" si="66"/>
        <v>25.534570008558632</v>
      </c>
      <c r="E138" s="307">
        <f t="shared" ca="1" si="67"/>
        <v>119.30746642495887</v>
      </c>
      <c r="F138" s="304">
        <f t="shared" ca="1" si="68"/>
        <v>122.0093677152073</v>
      </c>
      <c r="G138" s="306">
        <f t="shared" ca="1" si="69"/>
        <v>37.028627055322382</v>
      </c>
      <c r="H138" s="307">
        <f t="shared" ca="1" si="70"/>
        <v>187.1399270737048</v>
      </c>
      <c r="I138" s="304">
        <f t="shared" ca="1" si="71"/>
        <v>190.76810930224607</v>
      </c>
      <c r="J138" s="306">
        <f t="shared" ca="1" si="72"/>
        <v>24.383330123516895</v>
      </c>
      <c r="K138" s="307">
        <f t="shared" ca="1" si="73"/>
        <v>127.2803432387699</v>
      </c>
      <c r="L138" s="304">
        <f t="shared" ca="1" si="58"/>
        <v>129.59487861366856</v>
      </c>
      <c r="M138" s="306">
        <f t="shared" ca="1" si="74"/>
        <v>1.3754535385868876</v>
      </c>
      <c r="N138" s="304">
        <f t="shared" ca="1" si="75"/>
        <v>78.807682677363175</v>
      </c>
      <c r="P138" s="310">
        <f t="shared" ca="1" si="76"/>
        <v>13</v>
      </c>
      <c r="Q138" s="304">
        <f t="shared" ca="1" si="77"/>
        <v>1142.5964999999994</v>
      </c>
      <c r="R138" s="306">
        <f t="shared" ca="1" si="78"/>
        <v>0.56150819452429912</v>
      </c>
      <c r="S138" s="307">
        <f t="shared" ca="1" si="79"/>
        <v>7.5972793574094499</v>
      </c>
      <c r="T138" s="304">
        <f t="shared" ca="1" si="59"/>
        <v>74.52931049618671</v>
      </c>
      <c r="U138" s="311">
        <f t="shared" ca="1" si="60"/>
        <v>0</v>
      </c>
      <c r="V138" s="306">
        <f t="shared" ca="1" si="61"/>
        <v>1.2095067572162208</v>
      </c>
      <c r="W138" s="304">
        <f t="shared" ca="1" si="62"/>
        <v>144.47198699351665</v>
      </c>
      <c r="Y138" s="314" t="str">
        <f t="shared" ca="1" si="80"/>
        <v/>
      </c>
      <c r="Z138" s="315" t="str">
        <f t="shared" ca="1" si="81"/>
        <v/>
      </c>
      <c r="AA138" s="316" t="str">
        <f t="shared" ca="1" si="82"/>
        <v/>
      </c>
      <c r="AC138" s="310" t="e">
        <f t="shared" ca="1" si="83"/>
        <v>#N/A</v>
      </c>
      <c r="AD138" s="323" t="e">
        <f t="shared" ca="1" si="84"/>
        <v>#N/A</v>
      </c>
      <c r="AE138" s="324">
        <f t="shared" ca="1" si="63"/>
        <v>127.2803432387699</v>
      </c>
      <c r="AG138" s="306">
        <f t="shared" ca="1" si="85"/>
        <v>121.99452317084048</v>
      </c>
      <c r="AH138" s="304">
        <f t="shared" ca="1" si="86"/>
        <v>131.61813857338345</v>
      </c>
    </row>
    <row r="139" spans="1:34" x14ac:dyDescent="0.2">
      <c r="A139" s="347">
        <f t="shared" ca="1" si="64"/>
        <v>0.01</v>
      </c>
      <c r="B139" s="304">
        <f t="shared" ca="1" si="65"/>
        <v>1.350000000000001</v>
      </c>
      <c r="D139" s="306">
        <f t="shared" ca="1" si="66"/>
        <v>25.401709675780854</v>
      </c>
      <c r="E139" s="307">
        <f t="shared" ca="1" si="67"/>
        <v>118.56835140824569</v>
      </c>
      <c r="F139" s="304">
        <f t="shared" ca="1" si="68"/>
        <v>121.25881745309039</v>
      </c>
      <c r="G139" s="306">
        <f t="shared" ca="1" si="69"/>
        <v>37.282644152080188</v>
      </c>
      <c r="H139" s="307">
        <f t="shared" ca="1" si="70"/>
        <v>188.32561058778725</v>
      </c>
      <c r="I139" s="304">
        <f t="shared" ca="1" si="71"/>
        <v>191.98054890595952</v>
      </c>
      <c r="J139" s="306">
        <f t="shared" ca="1" si="72"/>
        <v>24.754886479553907</v>
      </c>
      <c r="K139" s="307">
        <f t="shared" ca="1" si="73"/>
        <v>129.15767092707736</v>
      </c>
      <c r="L139" s="304">
        <f t="shared" ca="1" si="58"/>
        <v>131.50858665472305</v>
      </c>
      <c r="M139" s="306">
        <f t="shared" ca="1" si="74"/>
        <v>1.375354354131455</v>
      </c>
      <c r="N139" s="304">
        <f t="shared" ca="1" si="75"/>
        <v>78.801999826673594</v>
      </c>
      <c r="P139" s="310">
        <f t="shared" ca="1" si="76"/>
        <v>13</v>
      </c>
      <c r="Q139" s="304">
        <f t="shared" ca="1" si="77"/>
        <v>1137.9754999999996</v>
      </c>
      <c r="R139" s="306">
        <f t="shared" ca="1" si="78"/>
        <v>0.55923728841974096</v>
      </c>
      <c r="S139" s="307">
        <f t="shared" ca="1" si="79"/>
        <v>7.5916869845252526</v>
      </c>
      <c r="T139" s="304">
        <f t="shared" ca="1" si="59"/>
        <v>74.474449318192725</v>
      </c>
      <c r="U139" s="311">
        <f t="shared" ca="1" si="60"/>
        <v>0</v>
      </c>
      <c r="V139" s="306">
        <f t="shared" ca="1" si="61"/>
        <v>1.2092797051449216</v>
      </c>
      <c r="W139" s="304">
        <f t="shared" ca="1" si="62"/>
        <v>146.28675910245795</v>
      </c>
      <c r="Y139" s="314" t="str">
        <f t="shared" ca="1" si="80"/>
        <v/>
      </c>
      <c r="Z139" s="315" t="str">
        <f t="shared" ca="1" si="81"/>
        <v/>
      </c>
      <c r="AA139" s="316" t="str">
        <f t="shared" ca="1" si="82"/>
        <v/>
      </c>
      <c r="AC139" s="310" t="e">
        <f t="shared" ca="1" si="83"/>
        <v>#N/A</v>
      </c>
      <c r="AD139" s="323" t="e">
        <f t="shared" ca="1" si="84"/>
        <v>#N/A</v>
      </c>
      <c r="AE139" s="324">
        <f t="shared" ca="1" si="63"/>
        <v>129.15767092707736</v>
      </c>
      <c r="AG139" s="306">
        <f t="shared" ca="1" si="85"/>
        <v>121.24386594037625</v>
      </c>
      <c r="AH139" s="304">
        <f t="shared" ca="1" si="86"/>
        <v>130.86729142437264</v>
      </c>
    </row>
    <row r="140" spans="1:34" x14ac:dyDescent="0.2">
      <c r="A140" s="347">
        <f t="shared" ca="1" si="64"/>
        <v>0.01</v>
      </c>
      <c r="B140" s="304">
        <f t="shared" ca="1" si="65"/>
        <v>1.360000000000001</v>
      </c>
      <c r="D140" s="306">
        <f t="shared" ca="1" si="66"/>
        <v>25.268349802849539</v>
      </c>
      <c r="E140" s="307">
        <f t="shared" ca="1" si="67"/>
        <v>117.82787315503268</v>
      </c>
      <c r="F140" s="304">
        <f t="shared" ca="1" si="68"/>
        <v>120.50683463603895</v>
      </c>
      <c r="G140" s="306">
        <f t="shared" ca="1" si="69"/>
        <v>37.535327650108684</v>
      </c>
      <c r="H140" s="307">
        <f t="shared" ca="1" si="70"/>
        <v>189.50388931933759</v>
      </c>
      <c r="I140" s="304">
        <f t="shared" ca="1" si="71"/>
        <v>193.18546759256185</v>
      </c>
      <c r="J140" s="306">
        <f t="shared" ca="1" si="72"/>
        <v>25.128976338564851</v>
      </c>
      <c r="K140" s="307">
        <f t="shared" ca="1" si="73"/>
        <v>131.04681842661299</v>
      </c>
      <c r="L140" s="304">
        <f t="shared" ca="1" si="58"/>
        <v>133.43438114504755</v>
      </c>
      <c r="M140" s="306">
        <f t="shared" ca="1" si="74"/>
        <v>1.3752557388925222</v>
      </c>
      <c r="N140" s="304">
        <f t="shared" ca="1" si="75"/>
        <v>78.796349589687068</v>
      </c>
      <c r="P140" s="310">
        <f t="shared" ca="1" si="76"/>
        <v>13</v>
      </c>
      <c r="Q140" s="304">
        <f t="shared" ca="1" si="77"/>
        <v>1133.3544999999995</v>
      </c>
      <c r="R140" s="306">
        <f t="shared" ca="1" si="78"/>
        <v>0.55696638231518281</v>
      </c>
      <c r="S140" s="307">
        <f t="shared" ca="1" si="79"/>
        <v>7.5861173207021011</v>
      </c>
      <c r="T140" s="304">
        <f t="shared" ca="1" si="59"/>
        <v>74.419810916087613</v>
      </c>
      <c r="U140" s="311">
        <f t="shared" ca="1" si="60"/>
        <v>0</v>
      </c>
      <c r="V140" s="306">
        <f t="shared" ca="1" si="61"/>
        <v>1.2090512662833151</v>
      </c>
      <c r="W140" s="304">
        <f t="shared" ca="1" si="62"/>
        <v>148.10080499554658</v>
      </c>
      <c r="Y140" s="314" t="str">
        <f t="shared" ca="1" si="80"/>
        <v/>
      </c>
      <c r="Z140" s="315" t="str">
        <f t="shared" ca="1" si="81"/>
        <v/>
      </c>
      <c r="AA140" s="316" t="str">
        <f t="shared" ca="1" si="82"/>
        <v/>
      </c>
      <c r="AC140" s="310" t="e">
        <f t="shared" ca="1" si="83"/>
        <v>#N/A</v>
      </c>
      <c r="AD140" s="323" t="e">
        <f t="shared" ca="1" si="84"/>
        <v>#N/A</v>
      </c>
      <c r="AE140" s="324">
        <f t="shared" ca="1" si="63"/>
        <v>131.04681842661299</v>
      </c>
      <c r="AG140" s="306">
        <f t="shared" ca="1" si="85"/>
        <v>120.49177472413054</v>
      </c>
      <c r="AH140" s="304">
        <f t="shared" ca="1" si="86"/>
        <v>130.11501129884815</v>
      </c>
    </row>
    <row r="141" spans="1:34" x14ac:dyDescent="0.2">
      <c r="A141" s="347">
        <f t="shared" ca="1" si="64"/>
        <v>0.01</v>
      </c>
      <c r="B141" s="304">
        <f t="shared" ca="1" si="65"/>
        <v>1.370000000000001</v>
      </c>
      <c r="D141" s="306">
        <f t="shared" ca="1" si="66"/>
        <v>25.134499594527107</v>
      </c>
      <c r="E141" s="307">
        <f t="shared" ca="1" si="67"/>
        <v>117.08606638466125</v>
      </c>
      <c r="F141" s="304">
        <f t="shared" ca="1" si="68"/>
        <v>119.75345511216193</v>
      </c>
      <c r="G141" s="306">
        <f t="shared" ca="1" si="69"/>
        <v>37.786672646053958</v>
      </c>
      <c r="H141" s="307">
        <f t="shared" ca="1" si="70"/>
        <v>190.6747499831842</v>
      </c>
      <c r="I141" s="304">
        <f t="shared" ca="1" si="71"/>
        <v>194.38285138049048</v>
      </c>
      <c r="J141" s="306">
        <f t="shared" ca="1" si="72"/>
        <v>25.505586340045664</v>
      </c>
      <c r="K141" s="307">
        <f t="shared" ca="1" si="73"/>
        <v>132.9477116231256</v>
      </c>
      <c r="L141" s="304">
        <f t="shared" ca="1" si="58"/>
        <v>135.37218680502761</v>
      </c>
      <c r="M141" s="306">
        <f t="shared" ca="1" si="74"/>
        <v>1.3751576822954796</v>
      </c>
      <c r="N141" s="304">
        <f t="shared" ca="1" si="75"/>
        <v>78.790731360523111</v>
      </c>
      <c r="P141" s="310">
        <f t="shared" ca="1" si="76"/>
        <v>13</v>
      </c>
      <c r="Q141" s="304">
        <f t="shared" ca="1" si="77"/>
        <v>1128.7334999999994</v>
      </c>
      <c r="R141" s="306">
        <f t="shared" ca="1" si="78"/>
        <v>0.55469547621062465</v>
      </c>
      <c r="S141" s="307">
        <f t="shared" ca="1" si="79"/>
        <v>7.5805703659399946</v>
      </c>
      <c r="T141" s="304">
        <f t="shared" ca="1" si="59"/>
        <v>74.365395289871344</v>
      </c>
      <c r="U141" s="311">
        <f t="shared" ca="1" si="60"/>
        <v>0</v>
      </c>
      <c r="V141" s="306">
        <f t="shared" ca="1" si="61"/>
        <v>1.2088214503836114</v>
      </c>
      <c r="W141" s="304">
        <f t="shared" ca="1" si="62"/>
        <v>149.91388217464063</v>
      </c>
      <c r="Y141" s="314" t="str">
        <f t="shared" ca="1" si="80"/>
        <v/>
      </c>
      <c r="Z141" s="315" t="str">
        <f t="shared" ca="1" si="81"/>
        <v/>
      </c>
      <c r="AA141" s="316" t="str">
        <f t="shared" ca="1" si="82"/>
        <v/>
      </c>
      <c r="AC141" s="310" t="e">
        <f t="shared" ca="1" si="83"/>
        <v>#N/A</v>
      </c>
      <c r="AD141" s="323" t="e">
        <f t="shared" ca="1" si="84"/>
        <v>#N/A</v>
      </c>
      <c r="AE141" s="324">
        <f t="shared" ca="1" si="63"/>
        <v>132.9477116231256</v>
      </c>
      <c r="AG141" s="306">
        <f t="shared" ca="1" si="85"/>
        <v>119.73828534237111</v>
      </c>
      <c r="AH141" s="304">
        <f t="shared" ca="1" si="86"/>
        <v>129.36133399809867</v>
      </c>
    </row>
    <row r="142" spans="1:34" x14ac:dyDescent="0.2">
      <c r="A142" s="347">
        <f t="shared" ca="1" si="64"/>
        <v>0.01</v>
      </c>
      <c r="B142" s="304">
        <f t="shared" ca="1" si="65"/>
        <v>1.380000000000001</v>
      </c>
      <c r="D142" s="306">
        <f t="shared" ca="1" si="66"/>
        <v>25.00016819430974</v>
      </c>
      <c r="E142" s="307">
        <f t="shared" ca="1" si="67"/>
        <v>116.34296574638647</v>
      </c>
      <c r="F142" s="304">
        <f t="shared" ca="1" si="68"/>
        <v>118.99871465023742</v>
      </c>
      <c r="G142" s="306">
        <f t="shared" ca="1" si="69"/>
        <v>38.036674327997055</v>
      </c>
      <c r="H142" s="307">
        <f t="shared" ca="1" si="70"/>
        <v>191.83817964064806</v>
      </c>
      <c r="I142" s="304">
        <f t="shared" ca="1" si="71"/>
        <v>195.57268664558367</v>
      </c>
      <c r="J142" s="306">
        <f t="shared" ca="1" si="72"/>
        <v>25.884703074915919</v>
      </c>
      <c r="K142" s="307">
        <f t="shared" ca="1" si="73"/>
        <v>134.86027627124477</v>
      </c>
      <c r="L142" s="304">
        <f t="shared" ca="1" si="58"/>
        <v>137.32192821699317</v>
      </c>
      <c r="M142" s="306">
        <f t="shared" ca="1" si="74"/>
        <v>1.3750601740125035</v>
      </c>
      <c r="N142" s="304">
        <f t="shared" ca="1" si="75"/>
        <v>78.785144547441007</v>
      </c>
      <c r="P142" s="310">
        <f t="shared" ca="1" si="76"/>
        <v>13</v>
      </c>
      <c r="Q142" s="304">
        <f t="shared" ca="1" si="77"/>
        <v>1124.1124999999995</v>
      </c>
      <c r="R142" s="306">
        <f t="shared" ca="1" si="78"/>
        <v>0.55242457010606649</v>
      </c>
      <c r="S142" s="307">
        <f t="shared" ca="1" si="79"/>
        <v>7.5750461202389339</v>
      </c>
      <c r="T142" s="304">
        <f t="shared" ca="1" si="59"/>
        <v>74.311202439543948</v>
      </c>
      <c r="U142" s="311">
        <f t="shared" ca="1" si="60"/>
        <v>0</v>
      </c>
      <c r="V142" s="306">
        <f t="shared" ca="1" si="61"/>
        <v>1.2085902672116415</v>
      </c>
      <c r="W142" s="304">
        <f t="shared" ca="1" si="62"/>
        <v>151.72574975622001</v>
      </c>
      <c r="Y142" s="314" t="str">
        <f t="shared" ca="1" si="80"/>
        <v/>
      </c>
      <c r="Z142" s="315" t="str">
        <f t="shared" ca="1" si="81"/>
        <v/>
      </c>
      <c r="AA142" s="316" t="str">
        <f t="shared" ca="1" si="82"/>
        <v/>
      </c>
      <c r="AC142" s="310" t="e">
        <f t="shared" ca="1" si="83"/>
        <v>#N/A</v>
      </c>
      <c r="AD142" s="323" t="e">
        <f t="shared" ca="1" si="84"/>
        <v>#N/A</v>
      </c>
      <c r="AE142" s="324">
        <f t="shared" ca="1" si="63"/>
        <v>134.86027627124477</v>
      </c>
      <c r="AG142" s="306">
        <f t="shared" ca="1" si="85"/>
        <v>118.98343353538431</v>
      </c>
      <c r="AH142" s="304">
        <f t="shared" ca="1" si="86"/>
        <v>128.60629524386718</v>
      </c>
    </row>
    <row r="143" spans="1:34" x14ac:dyDescent="0.2">
      <c r="A143" s="347">
        <f t="shared" ca="1" si="64"/>
        <v>0.01</v>
      </c>
      <c r="B143" s="304">
        <f t="shared" ca="1" si="65"/>
        <v>1.390000000000001</v>
      </c>
      <c r="D143" s="306">
        <f t="shared" ca="1" si="66"/>
        <v>24.865364685105952</v>
      </c>
      <c r="E143" s="307">
        <f t="shared" ca="1" si="67"/>
        <v>115.59860581442868</v>
      </c>
      <c r="F143" s="304">
        <f t="shared" ca="1" si="68"/>
        <v>118.24264893498868</v>
      </c>
      <c r="G143" s="306">
        <f t="shared" ca="1" si="69"/>
        <v>38.285327974848116</v>
      </c>
      <c r="H143" s="307">
        <f t="shared" ca="1" si="70"/>
        <v>192.99416569879236</v>
      </c>
      <c r="I143" s="304">
        <f t="shared" ca="1" si="71"/>
        <v>196.75496012023333</v>
      </c>
      <c r="J143" s="306">
        <f t="shared" ca="1" si="72"/>
        <v>26.266313086430145</v>
      </c>
      <c r="K143" s="307">
        <f t="shared" ca="1" si="73"/>
        <v>136.78443799794198</v>
      </c>
      <c r="L143" s="304">
        <f t="shared" ca="1" si="58"/>
        <v>139.28352982878917</v>
      </c>
      <c r="M143" s="306">
        <f t="shared" ca="1" si="74"/>
        <v>1.3749632039546384</v>
      </c>
      <c r="N143" s="304">
        <f t="shared" ca="1" si="75"/>
        <v>78.779588572386203</v>
      </c>
      <c r="P143" s="310">
        <f t="shared" ca="1" si="76"/>
        <v>13</v>
      </c>
      <c r="Q143" s="304">
        <f t="shared" ca="1" si="77"/>
        <v>1119.4914999999994</v>
      </c>
      <c r="R143" s="306">
        <f t="shared" ca="1" si="78"/>
        <v>0.55015366400150834</v>
      </c>
      <c r="S143" s="307">
        <f t="shared" ca="1" si="79"/>
        <v>7.569544583598919</v>
      </c>
      <c r="T143" s="304">
        <f t="shared" ca="1" si="59"/>
        <v>74.257232365105395</v>
      </c>
      <c r="U143" s="311">
        <f t="shared" ca="1" si="60"/>
        <v>0</v>
      </c>
      <c r="V143" s="306">
        <f t="shared" ca="1" si="61"/>
        <v>1.2083577265463206</v>
      </c>
      <c r="W143" s="304">
        <f t="shared" ca="1" si="62"/>
        <v>153.5361684965774</v>
      </c>
      <c r="Y143" s="314" t="str">
        <f t="shared" ca="1" si="80"/>
        <v/>
      </c>
      <c r="Z143" s="315" t="str">
        <f t="shared" ca="1" si="81"/>
        <v/>
      </c>
      <c r="AA143" s="316" t="str">
        <f t="shared" ca="1" si="82"/>
        <v/>
      </c>
      <c r="AC143" s="310" t="e">
        <f t="shared" ca="1" si="83"/>
        <v>#N/A</v>
      </c>
      <c r="AD143" s="323" t="e">
        <f t="shared" ca="1" si="84"/>
        <v>#N/A</v>
      </c>
      <c r="AE143" s="324">
        <f t="shared" ca="1" si="63"/>
        <v>136.78443799794198</v>
      </c>
      <c r="AG143" s="306">
        <f t="shared" ca="1" si="85"/>
        <v>118.22725495872926</v>
      </c>
      <c r="AH143" s="304">
        <f t="shared" ca="1" si="86"/>
        <v>127.84993067359117</v>
      </c>
    </row>
    <row r="144" spans="1:34" x14ac:dyDescent="0.2">
      <c r="A144" s="347">
        <f t="shared" ca="1" si="64"/>
        <v>0.01</v>
      </c>
      <c r="B144" s="304">
        <f t="shared" ca="1" si="65"/>
        <v>1.400000000000001</v>
      </c>
      <c r="D144" s="306">
        <f t="shared" ca="1" si="66"/>
        <v>24.73009808985789</v>
      </c>
      <c r="E144" s="307">
        <f t="shared" ca="1" si="67"/>
        <v>114.85302108308775</v>
      </c>
      <c r="F144" s="304">
        <f t="shared" ca="1" si="68"/>
        <v>117.48529356241228</v>
      </c>
      <c r="G144" s="306">
        <f t="shared" ca="1" si="69"/>
        <v>38.532628955746695</v>
      </c>
      <c r="H144" s="307">
        <f t="shared" ca="1" si="70"/>
        <v>194.14269590962323</v>
      </c>
      <c r="I144" s="304">
        <f t="shared" ca="1" si="71"/>
        <v>197.92965889249061</v>
      </c>
      <c r="J144" s="306">
        <f t="shared" ca="1" si="72"/>
        <v>26.65040287108312</v>
      </c>
      <c r="K144" s="307">
        <f t="shared" ca="1" si="73"/>
        <v>138.72012230598406</v>
      </c>
      <c r="L144" s="304">
        <f t="shared" ca="1" si="58"/>
        <v>141.25691595733716</v>
      </c>
      <c r="M144" s="306">
        <f t="shared" ca="1" si="74"/>
        <v>1.3748667622641961</v>
      </c>
      <c r="N144" s="304">
        <f t="shared" ca="1" si="75"/>
        <v>78.774062870554758</v>
      </c>
      <c r="P144" s="310">
        <f t="shared" ca="1" si="76"/>
        <v>13</v>
      </c>
      <c r="Q144" s="304">
        <f t="shared" ca="1" si="77"/>
        <v>1114.8704999999993</v>
      </c>
      <c r="R144" s="306">
        <f t="shared" ca="1" si="78"/>
        <v>0.54788275789695007</v>
      </c>
      <c r="S144" s="307">
        <f t="shared" ca="1" si="79"/>
        <v>7.5640657560199491</v>
      </c>
      <c r="T144" s="304">
        <f t="shared" ca="1" si="59"/>
        <v>74.2034850665557</v>
      </c>
      <c r="U144" s="311">
        <f t="shared" ca="1" si="60"/>
        <v>0</v>
      </c>
      <c r="V144" s="306">
        <f t="shared" ca="1" si="61"/>
        <v>1.2081238381791093</v>
      </c>
      <c r="W144" s="304">
        <f t="shared" ca="1" si="62"/>
        <v>155.34490081648696</v>
      </c>
      <c r="Y144" s="314" t="str">
        <f t="shared" ca="1" si="80"/>
        <v/>
      </c>
      <c r="Z144" s="315" t="str">
        <f t="shared" ca="1" si="81"/>
        <v/>
      </c>
      <c r="AA144" s="316" t="str">
        <f t="shared" ca="1" si="82"/>
        <v/>
      </c>
      <c r="AC144" s="310" t="e">
        <f t="shared" ca="1" si="83"/>
        <v>#N/A</v>
      </c>
      <c r="AD144" s="323" t="e">
        <f t="shared" ca="1" si="84"/>
        <v>#N/A</v>
      </c>
      <c r="AE144" s="324">
        <f t="shared" ca="1" si="63"/>
        <v>138.72012230598406</v>
      </c>
      <c r="AG144" s="306">
        <f t="shared" ca="1" si="85"/>
        <v>117.4697851785435</v>
      </c>
      <c r="AH144" s="304">
        <f t="shared" ca="1" si="86"/>
        <v>127.09227583569496</v>
      </c>
    </row>
    <row r="145" spans="1:34" x14ac:dyDescent="0.2">
      <c r="A145" s="347">
        <f t="shared" ca="1" si="64"/>
        <v>0.01</v>
      </c>
      <c r="B145" s="304">
        <f t="shared" ca="1" si="65"/>
        <v>1.410000000000001</v>
      </c>
      <c r="D145" s="306">
        <f t="shared" ca="1" si="66"/>
        <v>24.507238684203035</v>
      </c>
      <c r="E145" s="307">
        <f t="shared" ca="1" si="67"/>
        <v>113.66720662703958</v>
      </c>
      <c r="F145" s="304">
        <f t="shared" ca="1" si="68"/>
        <v>116.27914090806918</v>
      </c>
      <c r="G145" s="306">
        <f t="shared" ca="1" si="69"/>
        <v>38.777701342588728</v>
      </c>
      <c r="H145" s="307">
        <f t="shared" ca="1" si="70"/>
        <v>195.27936797589362</v>
      </c>
      <c r="I145" s="304">
        <f t="shared" ca="1" si="71"/>
        <v>199.09229437243289</v>
      </c>
      <c r="J145" s="306">
        <f t="shared" ca="1" si="72"/>
        <v>27.036954522574796</v>
      </c>
      <c r="K145" s="307">
        <f t="shared" ca="1" si="73"/>
        <v>140.66723262541166</v>
      </c>
      <c r="L145" s="304">
        <f t="shared" ca="1" si="58"/>
        <v>143.24198841243253</v>
      </c>
      <c r="M145" s="306">
        <f t="shared" ca="1" si="74"/>
        <v>1.3747708371508911</v>
      </c>
      <c r="N145" s="304">
        <f t="shared" ca="1" si="75"/>
        <v>78.768566766413059</v>
      </c>
      <c r="P145" s="310">
        <f t="shared" ca="1" si="76"/>
        <v>14</v>
      </c>
      <c r="Q145" s="304">
        <f t="shared" ca="1" si="77"/>
        <v>1106.868333333332</v>
      </c>
      <c r="R145" s="306">
        <f t="shared" ca="1" si="78"/>
        <v>0.54395023914927065</v>
      </c>
      <c r="S145" s="307">
        <f t="shared" ca="1" si="79"/>
        <v>7.5586262536284563</v>
      </c>
      <c r="T145" s="304">
        <f t="shared" ca="1" si="59"/>
        <v>74.150123548095166</v>
      </c>
      <c r="U145" s="311">
        <f t="shared" ca="1" si="60"/>
        <v>0</v>
      </c>
      <c r="V145" s="306">
        <f t="shared" ca="1" si="61"/>
        <v>1.2078886145651624</v>
      </c>
      <c r="W145" s="304">
        <f t="shared" ca="1" si="62"/>
        <v>157.14464517637276</v>
      </c>
      <c r="Y145" s="314" t="str">
        <f t="shared" ca="1" si="80"/>
        <v/>
      </c>
      <c r="Z145" s="315" t="str">
        <f t="shared" ca="1" si="81"/>
        <v/>
      </c>
      <c r="AA145" s="316" t="str">
        <f t="shared" ca="1" si="82"/>
        <v/>
      </c>
      <c r="AC145" s="310" t="e">
        <f t="shared" ca="1" si="83"/>
        <v>#N/A</v>
      </c>
      <c r="AD145" s="323" t="e">
        <f t="shared" ca="1" si="84"/>
        <v>#N/A</v>
      </c>
      <c r="AE145" s="324">
        <f t="shared" ca="1" si="63"/>
        <v>140.66723262541166</v>
      </c>
      <c r="AG145" s="306">
        <f t="shared" ca="1" si="85"/>
        <v>116.26345639557428</v>
      </c>
      <c r="AH145" s="304">
        <f t="shared" ca="1" si="86"/>
        <v>125.885762913608</v>
      </c>
    </row>
    <row r="146" spans="1:34" x14ac:dyDescent="0.2">
      <c r="A146" s="347">
        <f t="shared" ca="1" si="64"/>
        <v>0.01</v>
      </c>
      <c r="B146" s="304">
        <f t="shared" ca="1" si="65"/>
        <v>1.420000000000001</v>
      </c>
      <c r="D146" s="306">
        <f t="shared" ca="1" si="66"/>
        <v>24.196612252398836</v>
      </c>
      <c r="E146" s="307">
        <f t="shared" ca="1" si="67"/>
        <v>112.04093453738913</v>
      </c>
      <c r="F146" s="304">
        <f t="shared" ca="1" si="68"/>
        <v>114.62393753708017</v>
      </c>
      <c r="G146" s="306">
        <f t="shared" ca="1" si="69"/>
        <v>39.019667465112718</v>
      </c>
      <c r="H146" s="307">
        <f t="shared" ca="1" si="70"/>
        <v>196.39977732126752</v>
      </c>
      <c r="I146" s="304">
        <f t="shared" ca="1" si="71"/>
        <v>200.23837539525593</v>
      </c>
      <c r="J146" s="306">
        <f t="shared" ca="1" si="72"/>
        <v>27.425941366613301</v>
      </c>
      <c r="K146" s="307">
        <f t="shared" ca="1" si="73"/>
        <v>142.62562835189746</v>
      </c>
      <c r="L146" s="304">
        <f t="shared" ca="1" si="58"/>
        <v>145.23860410585914</v>
      </c>
      <c r="M146" s="306">
        <f t="shared" ca="1" si="74"/>
        <v>1.3746754149773026</v>
      </c>
      <c r="N146" s="304">
        <f t="shared" ca="1" si="75"/>
        <v>78.763099478594469</v>
      </c>
      <c r="P146" s="310">
        <f t="shared" ca="1" si="76"/>
        <v>14</v>
      </c>
      <c r="Q146" s="304">
        <f t="shared" ca="1" si="77"/>
        <v>1095.4849999999985</v>
      </c>
      <c r="R146" s="306">
        <f t="shared" ca="1" si="78"/>
        <v>0.53835610775847054</v>
      </c>
      <c r="S146" s="307">
        <f t="shared" ca="1" si="79"/>
        <v>7.5532426925508718</v>
      </c>
      <c r="T146" s="304">
        <f t="shared" ca="1" si="59"/>
        <v>74.097310813924054</v>
      </c>
      <c r="U146" s="311">
        <f t="shared" ca="1" si="60"/>
        <v>0</v>
      </c>
      <c r="V146" s="306">
        <f t="shared" ca="1" si="61"/>
        <v>1.207652073472969</v>
      </c>
      <c r="W146" s="304">
        <f t="shared" ca="1" si="62"/>
        <v>158.92793972683234</v>
      </c>
      <c r="Y146" s="314" t="str">
        <f t="shared" ca="1" si="80"/>
        <v/>
      </c>
      <c r="Z146" s="315" t="str">
        <f t="shared" ca="1" si="81"/>
        <v/>
      </c>
      <c r="AA146" s="316" t="str">
        <f t="shared" ca="1" si="82"/>
        <v/>
      </c>
      <c r="AC146" s="310" t="e">
        <f t="shared" ca="1" si="83"/>
        <v>#N/A</v>
      </c>
      <c r="AD146" s="323" t="e">
        <f t="shared" ca="1" si="84"/>
        <v>#N/A</v>
      </c>
      <c r="AE146" s="324">
        <f t="shared" ca="1" si="63"/>
        <v>142.62562835189746</v>
      </c>
      <c r="AG146" s="306">
        <f t="shared" ca="1" si="85"/>
        <v>114.60801111986771</v>
      </c>
      <c r="AH146" s="304">
        <f t="shared" ca="1" si="86"/>
        <v>124.2301343963212</v>
      </c>
    </row>
    <row r="147" spans="1:34" x14ac:dyDescent="0.2">
      <c r="A147" s="347">
        <f t="shared" ca="1" si="64"/>
        <v>0.01</v>
      </c>
      <c r="B147" s="304">
        <f t="shared" ca="1" si="65"/>
        <v>1.430000000000001</v>
      </c>
      <c r="D147" s="306">
        <f t="shared" ca="1" si="66"/>
        <v>23.885401016021302</v>
      </c>
      <c r="E147" s="307">
        <f t="shared" ca="1" si="67"/>
        <v>110.4136652828997</v>
      </c>
      <c r="F147" s="304">
        <f t="shared" ca="1" si="68"/>
        <v>112.96764962988459</v>
      </c>
      <c r="G147" s="306">
        <f t="shared" ca="1" si="69"/>
        <v>39.258521475272929</v>
      </c>
      <c r="H147" s="307">
        <f t="shared" ca="1" si="70"/>
        <v>197.50391397409652</v>
      </c>
      <c r="I147" s="304">
        <f t="shared" ca="1" si="71"/>
        <v>201.36789104400876</v>
      </c>
      <c r="J147" s="306">
        <f t="shared" ca="1" si="72"/>
        <v>27.81733231131523</v>
      </c>
      <c r="K147" s="307">
        <f t="shared" ca="1" si="73"/>
        <v>144.5951468083743</v>
      </c>
      <c r="L147" s="304">
        <f t="shared" ca="1" si="58"/>
        <v>147.24659743930744</v>
      </c>
      <c r="M147" s="306">
        <f t="shared" ca="1" si="74"/>
        <v>1.3745804824512238</v>
      </c>
      <c r="N147" s="304">
        <f t="shared" ca="1" si="75"/>
        <v>78.757660245511644</v>
      </c>
      <c r="P147" s="310">
        <f t="shared" ca="1" si="76"/>
        <v>14</v>
      </c>
      <c r="Q147" s="304">
        <f t="shared" ca="1" si="77"/>
        <v>1084.1016666666653</v>
      </c>
      <c r="R147" s="306">
        <f t="shared" ca="1" si="78"/>
        <v>0.53276197636767053</v>
      </c>
      <c r="S147" s="307">
        <f t="shared" ca="1" si="79"/>
        <v>7.5479150727871946</v>
      </c>
      <c r="T147" s="304">
        <f t="shared" ca="1" si="59"/>
        <v>74.045046864042376</v>
      </c>
      <c r="U147" s="311">
        <f t="shared" ca="1" si="60"/>
        <v>0</v>
      </c>
      <c r="V147" s="306">
        <f t="shared" ca="1" si="61"/>
        <v>1.2074142353272044</v>
      </c>
      <c r="W147" s="304">
        <f t="shared" ca="1" si="62"/>
        <v>160.69432184071587</v>
      </c>
      <c r="Y147" s="314" t="str">
        <f t="shared" ca="1" si="80"/>
        <v/>
      </c>
      <c r="Z147" s="315" t="str">
        <f t="shared" ca="1" si="81"/>
        <v/>
      </c>
      <c r="AA147" s="316" t="str">
        <f t="shared" ca="1" si="82"/>
        <v/>
      </c>
      <c r="AC147" s="310" t="e">
        <f t="shared" ca="1" si="83"/>
        <v>#N/A</v>
      </c>
      <c r="AD147" s="323" t="e">
        <f t="shared" ca="1" si="84"/>
        <v>#N/A</v>
      </c>
      <c r="AE147" s="324">
        <f t="shared" ca="1" si="63"/>
        <v>144.5951468083743</v>
      </c>
      <c r="AG147" s="306">
        <f t="shared" ca="1" si="85"/>
        <v>112.9514741370516</v>
      </c>
      <c r="AH147" s="304">
        <f t="shared" ca="1" si="86"/>
        <v>122.57341504482469</v>
      </c>
    </row>
    <row r="148" spans="1:34" x14ac:dyDescent="0.2">
      <c r="A148" s="347">
        <f t="shared" ca="1" si="64"/>
        <v>0.01</v>
      </c>
      <c r="B148" s="304">
        <f t="shared" ca="1" si="65"/>
        <v>1.4400000000000011</v>
      </c>
      <c r="D148" s="306">
        <f t="shared" ca="1" si="66"/>
        <v>23.573627402893294</v>
      </c>
      <c r="E148" s="307">
        <f t="shared" ca="1" si="67"/>
        <v>108.78549223143723</v>
      </c>
      <c r="F148" s="304">
        <f t="shared" ca="1" si="68"/>
        <v>111.31037341131568</v>
      </c>
      <c r="G148" s="306">
        <f t="shared" ca="1" si="69"/>
        <v>39.494257749301859</v>
      </c>
      <c r="H148" s="307">
        <f t="shared" ca="1" si="70"/>
        <v>198.59176889641088</v>
      </c>
      <c r="I148" s="304">
        <f t="shared" ca="1" si="71"/>
        <v>202.48083136083218</v>
      </c>
      <c r="J148" s="306">
        <f t="shared" ca="1" si="72"/>
        <v>28.211096207438104</v>
      </c>
      <c r="K148" s="307">
        <f t="shared" ca="1" si="73"/>
        <v>146.57562522272684</v>
      </c>
      <c r="L148" s="304">
        <f t="shared" ca="1" si="58"/>
        <v>149.26580270999318</v>
      </c>
      <c r="M148" s="306">
        <f t="shared" ca="1" si="74"/>
        <v>1.3744860266120977</v>
      </c>
      <c r="N148" s="304">
        <f t="shared" ca="1" si="75"/>
        <v>78.752248324579355</v>
      </c>
      <c r="P148" s="310">
        <f t="shared" ca="1" si="76"/>
        <v>14</v>
      </c>
      <c r="Q148" s="304">
        <f t="shared" ca="1" si="77"/>
        <v>1072.7183333333319</v>
      </c>
      <c r="R148" s="306">
        <f t="shared" ca="1" si="78"/>
        <v>0.52716784497687041</v>
      </c>
      <c r="S148" s="307">
        <f t="shared" ca="1" si="79"/>
        <v>7.5426433943374258</v>
      </c>
      <c r="T148" s="304">
        <f t="shared" ca="1" si="59"/>
        <v>73.993331698450149</v>
      </c>
      <c r="U148" s="311">
        <f t="shared" ca="1" si="60"/>
        <v>0</v>
      </c>
      <c r="V148" s="306">
        <f t="shared" ca="1" si="61"/>
        <v>1.2071751205526917</v>
      </c>
      <c r="W148" s="304">
        <f t="shared" ca="1" si="62"/>
        <v>162.44333715332974</v>
      </c>
      <c r="Y148" s="314" t="str">
        <f t="shared" ca="1" si="80"/>
        <v/>
      </c>
      <c r="Z148" s="315" t="str">
        <f t="shared" ca="1" si="81"/>
        <v/>
      </c>
      <c r="AA148" s="316" t="str">
        <f t="shared" ca="1" si="82"/>
        <v/>
      </c>
      <c r="AC148" s="310" t="e">
        <f t="shared" ca="1" si="83"/>
        <v>#N/A</v>
      </c>
      <c r="AD148" s="323" t="e">
        <f t="shared" ca="1" si="84"/>
        <v>#N/A</v>
      </c>
      <c r="AE148" s="324">
        <f t="shared" ca="1" si="63"/>
        <v>146.57562522272684</v>
      </c>
      <c r="AG148" s="306">
        <f t="shared" ca="1" si="85"/>
        <v>111.29394135659982</v>
      </c>
      <c r="AH148" s="304">
        <f t="shared" ca="1" si="86"/>
        <v>120.91570074455728</v>
      </c>
    </row>
    <row r="149" spans="1:34" x14ac:dyDescent="0.2">
      <c r="A149" s="347">
        <f t="shared" ca="1" si="64"/>
        <v>0.01</v>
      </c>
      <c r="B149" s="304">
        <f t="shared" ca="1" si="65"/>
        <v>1.4500000000000011</v>
      </c>
      <c r="D149" s="306">
        <f t="shared" ca="1" si="66"/>
        <v>23.261313601425563</v>
      </c>
      <c r="E149" s="307">
        <f t="shared" ca="1" si="67"/>
        <v>107.15650799932813</v>
      </c>
      <c r="F149" s="304">
        <f t="shared" ca="1" si="68"/>
        <v>109.65220434206482</v>
      </c>
      <c r="G149" s="306">
        <f t="shared" ca="1" si="69"/>
        <v>39.726870885316117</v>
      </c>
      <c r="H149" s="307">
        <f t="shared" ca="1" si="70"/>
        <v>199.66333397640418</v>
      </c>
      <c r="I149" s="304">
        <f t="shared" ca="1" si="71"/>
        <v>203.57718733913111</v>
      </c>
      <c r="J149" s="306">
        <f t="shared" ca="1" si="72"/>
        <v>28.607201850611194</v>
      </c>
      <c r="K149" s="307">
        <f t="shared" ca="1" si="73"/>
        <v>148.56690073709092</v>
      </c>
      <c r="L149" s="304">
        <f t="shared" ca="1" si="58"/>
        <v>151.2960541202124</v>
      </c>
      <c r="M149" s="306">
        <f t="shared" ca="1" si="74"/>
        <v>1.3743920348180703</v>
      </c>
      <c r="N149" s="304">
        <f t="shared" ca="1" si="75"/>
        <v>78.74686299147271</v>
      </c>
      <c r="P149" s="310">
        <f t="shared" ca="1" si="76"/>
        <v>14</v>
      </c>
      <c r="Q149" s="304">
        <f t="shared" ca="1" si="77"/>
        <v>1061.3349999999984</v>
      </c>
      <c r="R149" s="306">
        <f t="shared" ca="1" si="78"/>
        <v>0.5215737135860703</v>
      </c>
      <c r="S149" s="307">
        <f t="shared" ca="1" si="79"/>
        <v>7.5374276572015653</v>
      </c>
      <c r="T149" s="304">
        <f t="shared" ca="1" si="59"/>
        <v>73.942165317147357</v>
      </c>
      <c r="U149" s="311">
        <f t="shared" ca="1" si="60"/>
        <v>0</v>
      </c>
      <c r="V149" s="306">
        <f t="shared" ca="1" si="61"/>
        <v>1.2069347495730547</v>
      </c>
      <c r="W149" s="304">
        <f t="shared" ca="1" si="62"/>
        <v>164.17453960022345</v>
      </c>
      <c r="Y149" s="314" t="str">
        <f t="shared" ca="1" si="80"/>
        <v/>
      </c>
      <c r="Z149" s="315" t="str">
        <f t="shared" ca="1" si="81"/>
        <v/>
      </c>
      <c r="AA149" s="316" t="str">
        <f t="shared" ca="1" si="82"/>
        <v/>
      </c>
      <c r="AC149" s="310" t="e">
        <f t="shared" ca="1" si="83"/>
        <v>#N/A</v>
      </c>
      <c r="AD149" s="323" t="e">
        <f t="shared" ca="1" si="84"/>
        <v>#N/A</v>
      </c>
      <c r="AE149" s="324">
        <f t="shared" ca="1" si="63"/>
        <v>148.56690073709092</v>
      </c>
      <c r="AG149" s="306">
        <f t="shared" ca="1" si="85"/>
        <v>109.63550790519523</v>
      </c>
      <c r="AH149" s="304">
        <f t="shared" ca="1" si="86"/>
        <v>119.2570865987458</v>
      </c>
    </row>
    <row r="150" spans="1:34" x14ac:dyDescent="0.2">
      <c r="A150" s="347">
        <f t="shared" ca="1" si="64"/>
        <v>0.01</v>
      </c>
      <c r="B150" s="304">
        <f t="shared" ca="1" si="65"/>
        <v>1.4600000000000011</v>
      </c>
      <c r="D150" s="306">
        <f t="shared" ca="1" si="66"/>
        <v>22.948481560991262</v>
      </c>
      <c r="E150" s="307">
        <f t="shared" ca="1" si="67"/>
        <v>105.52680443624222</v>
      </c>
      <c r="F150" s="304">
        <f t="shared" ca="1" si="68"/>
        <v>107.99323710529315</v>
      </c>
      <c r="G150" s="306">
        <f t="shared" ca="1" si="69"/>
        <v>39.956355700926032</v>
      </c>
      <c r="H150" s="307">
        <f t="shared" ca="1" si="70"/>
        <v>200.71860202076661</v>
      </c>
      <c r="I150" s="304">
        <f t="shared" ca="1" si="71"/>
        <v>204.6569509155988</v>
      </c>
      <c r="J150" s="306">
        <f t="shared" ca="1" si="72"/>
        <v>29.005617983542404</v>
      </c>
      <c r="K150" s="307">
        <f t="shared" ca="1" si="73"/>
        <v>150.56881041707678</v>
      </c>
      <c r="L150" s="304">
        <f t="shared" ca="1" si="58"/>
        <v>153.33718578681692</v>
      </c>
      <c r="M150" s="306">
        <f t="shared" ca="1" si="74"/>
        <v>1.3742984947336263</v>
      </c>
      <c r="N150" s="304">
        <f t="shared" ca="1" si="75"/>
        <v>78.741503539418787</v>
      </c>
      <c r="P150" s="310">
        <f t="shared" ca="1" si="76"/>
        <v>14</v>
      </c>
      <c r="Q150" s="304">
        <f t="shared" ca="1" si="77"/>
        <v>1049.9516666666652</v>
      </c>
      <c r="R150" s="306">
        <f t="shared" ca="1" si="78"/>
        <v>0.51597958219527029</v>
      </c>
      <c r="S150" s="307">
        <f t="shared" ca="1" si="79"/>
        <v>7.5322678613796121</v>
      </c>
      <c r="T150" s="304">
        <f t="shared" ca="1" si="59"/>
        <v>73.891547720134</v>
      </c>
      <c r="U150" s="311">
        <f t="shared" ca="1" si="60"/>
        <v>0</v>
      </c>
      <c r="V150" s="306">
        <f t="shared" ca="1" si="61"/>
        <v>1.2066931428093914</v>
      </c>
      <c r="W150" s="304">
        <f t="shared" ca="1" si="62"/>
        <v>165.88749145211617</v>
      </c>
      <c r="Y150" s="314" t="str">
        <f t="shared" ca="1" si="80"/>
        <v/>
      </c>
      <c r="Z150" s="315" t="str">
        <f t="shared" ca="1" si="81"/>
        <v/>
      </c>
      <c r="AA150" s="316" t="str">
        <f t="shared" ca="1" si="82"/>
        <v/>
      </c>
      <c r="AC150" s="310" t="e">
        <f t="shared" ca="1" si="83"/>
        <v>#N/A</v>
      </c>
      <c r="AD150" s="323" t="e">
        <f t="shared" ca="1" si="84"/>
        <v>#N/A</v>
      </c>
      <c r="AE150" s="324">
        <f t="shared" ca="1" si="63"/>
        <v>150.56881041707678</v>
      </c>
      <c r="AG150" s="306">
        <f t="shared" ca="1" si="85"/>
        <v>107.97626811193518</v>
      </c>
      <c r="AH150" s="304">
        <f t="shared" ca="1" si="86"/>
        <v>117.59766691358779</v>
      </c>
    </row>
    <row r="151" spans="1:34" x14ac:dyDescent="0.2">
      <c r="A151" s="347">
        <f t="shared" ca="1" si="64"/>
        <v>0.01</v>
      </c>
      <c r="B151" s="304">
        <f t="shared" ca="1" si="65"/>
        <v>1.4700000000000011</v>
      </c>
      <c r="D151" s="306">
        <f t="shared" ca="1" si="66"/>
        <v>22.635152992211928</v>
      </c>
      <c r="E151" s="307">
        <f t="shared" ca="1" si="67"/>
        <v>103.89647261050526</v>
      </c>
      <c r="F151" s="304">
        <f t="shared" ca="1" si="68"/>
        <v>106.3335655937781</v>
      </c>
      <c r="G151" s="306">
        <f t="shared" ca="1" si="69"/>
        <v>40.182707230848152</v>
      </c>
      <c r="H151" s="307">
        <f t="shared" ca="1" si="70"/>
        <v>201.75756674687167</v>
      </c>
      <c r="I151" s="304">
        <f t="shared" ca="1" si="71"/>
        <v>205.72011496209706</v>
      </c>
      <c r="J151" s="306">
        <f t="shared" ca="1" si="72"/>
        <v>29.406313298201276</v>
      </c>
      <c r="K151" s="307">
        <f t="shared" ca="1" si="73"/>
        <v>152.58119126091498</v>
      </c>
      <c r="L151" s="304">
        <f t="shared" ca="1" si="58"/>
        <v>155.38903175060938</v>
      </c>
      <c r="M151" s="306">
        <f t="shared" ca="1" si="74"/>
        <v>1.3742053943177783</v>
      </c>
      <c r="N151" s="304">
        <f t="shared" ca="1" si="75"/>
        <v>78.736169278519782</v>
      </c>
      <c r="P151" s="310">
        <f t="shared" ca="1" si="76"/>
        <v>14</v>
      </c>
      <c r="Q151" s="304">
        <f t="shared" ca="1" si="77"/>
        <v>1038.5683333333318</v>
      </c>
      <c r="R151" s="306">
        <f t="shared" ca="1" si="78"/>
        <v>0.51038545080447029</v>
      </c>
      <c r="S151" s="307">
        <f t="shared" ca="1" si="79"/>
        <v>7.5271640068715673</v>
      </c>
      <c r="T151" s="304">
        <f t="shared" ca="1" si="59"/>
        <v>73.841478907410078</v>
      </c>
      <c r="U151" s="311">
        <f t="shared" ca="1" si="60"/>
        <v>0</v>
      </c>
      <c r="V151" s="306">
        <f t="shared" ca="1" si="61"/>
        <v>1.2064503206789539</v>
      </c>
      <c r="W151" s="304">
        <f t="shared" ca="1" si="62"/>
        <v>167.58176334698479</v>
      </c>
      <c r="Y151" s="314" t="str">
        <f t="shared" ca="1" si="80"/>
        <v/>
      </c>
      <c r="Z151" s="315" t="str">
        <f t="shared" ca="1" si="81"/>
        <v/>
      </c>
      <c r="AA151" s="316" t="str">
        <f t="shared" ca="1" si="82"/>
        <v/>
      </c>
      <c r="AC151" s="310" t="e">
        <f t="shared" ca="1" si="83"/>
        <v>#N/A</v>
      </c>
      <c r="AD151" s="323" t="e">
        <f t="shared" ca="1" si="84"/>
        <v>#N/A</v>
      </c>
      <c r="AE151" s="324">
        <f t="shared" ca="1" si="63"/>
        <v>152.58119126091498</v>
      </c>
      <c r="AG151" s="306">
        <f t="shared" ca="1" si="85"/>
        <v>106.31631549394288</v>
      </c>
      <c r="AH151" s="304">
        <f t="shared" ca="1" si="86"/>
        <v>115.93753518384123</v>
      </c>
    </row>
    <row r="152" spans="1:34" x14ac:dyDescent="0.2">
      <c r="A152" s="347">
        <f t="shared" ca="1" si="64"/>
        <v>0.01</v>
      </c>
      <c r="B152" s="304">
        <f t="shared" ca="1" si="65"/>
        <v>1.4800000000000011</v>
      </c>
      <c r="D152" s="306">
        <f t="shared" ca="1" si="66"/>
        <v>22.321349367164363</v>
      </c>
      <c r="E152" s="307">
        <f t="shared" ca="1" si="67"/>
        <v>102.2656027948406</v>
      </c>
      <c r="F152" s="304">
        <f t="shared" ca="1" si="68"/>
        <v>104.67328289761012</v>
      </c>
      <c r="G152" s="306">
        <f t="shared" ca="1" si="69"/>
        <v>40.405920724519795</v>
      </c>
      <c r="H152" s="307">
        <f t="shared" ca="1" si="70"/>
        <v>202.78022277482009</v>
      </c>
      <c r="I152" s="304">
        <f t="shared" ca="1" si="71"/>
        <v>206.76667327739699</v>
      </c>
      <c r="J152" s="306">
        <f t="shared" ca="1" si="72"/>
        <v>29.809256437978117</v>
      </c>
      <c r="K152" s="307">
        <f t="shared" ca="1" si="73"/>
        <v>154.60388020852344</v>
      </c>
      <c r="L152" s="304">
        <f t="shared" ca="1" si="58"/>
        <v>157.4514259856563</v>
      </c>
      <c r="M152" s="306">
        <f t="shared" ca="1" si="74"/>
        <v>1.3741127218127762</v>
      </c>
      <c r="N152" s="304">
        <f t="shared" ca="1" si="75"/>
        <v>78.730859535106248</v>
      </c>
      <c r="P152" s="310">
        <f t="shared" ca="1" si="76"/>
        <v>14</v>
      </c>
      <c r="Q152" s="304">
        <f t="shared" ca="1" si="77"/>
        <v>1027.1849999999986</v>
      </c>
      <c r="R152" s="306">
        <f t="shared" ca="1" si="78"/>
        <v>0.50479131941367028</v>
      </c>
      <c r="S152" s="307">
        <f t="shared" ca="1" si="79"/>
        <v>7.5221160936774307</v>
      </c>
      <c r="T152" s="304">
        <f t="shared" ca="1" si="59"/>
        <v>73.791958878975606</v>
      </c>
      <c r="U152" s="311">
        <f t="shared" ca="1" si="60"/>
        <v>0</v>
      </c>
      <c r="V152" s="306">
        <f t="shared" ca="1" si="61"/>
        <v>1.2062063035938484</v>
      </c>
      <c r="W152" s="304">
        <f t="shared" ca="1" si="62"/>
        <v>169.25693431934357</v>
      </c>
      <c r="Y152" s="314" t="str">
        <f t="shared" ca="1" si="80"/>
        <v/>
      </c>
      <c r="Z152" s="315" t="str">
        <f t="shared" ca="1" si="81"/>
        <v/>
      </c>
      <c r="AA152" s="316" t="str">
        <f t="shared" ca="1" si="82"/>
        <v/>
      </c>
      <c r="AC152" s="310" t="e">
        <f t="shared" ca="1" si="83"/>
        <v>#N/A</v>
      </c>
      <c r="AD152" s="323" t="e">
        <f t="shared" ca="1" si="84"/>
        <v>#N/A</v>
      </c>
      <c r="AE152" s="324">
        <f t="shared" ca="1" si="63"/>
        <v>154.60388020852344</v>
      </c>
      <c r="AG152" s="306">
        <f t="shared" ca="1" si="85"/>
        <v>104.65574274238628</v>
      </c>
      <c r="AH152" s="304">
        <f t="shared" ca="1" si="86"/>
        <v>114.27678407882281</v>
      </c>
    </row>
    <row r="153" spans="1:34" x14ac:dyDescent="0.2">
      <c r="A153" s="347">
        <f t="shared" ca="1" si="64"/>
        <v>0.01</v>
      </c>
      <c r="B153" s="304">
        <f t="shared" ca="1" si="65"/>
        <v>1.4900000000000011</v>
      </c>
      <c r="D153" s="306">
        <f t="shared" ca="1" si="66"/>
        <v>22.007091919516874</v>
      </c>
      <c r="E153" s="307">
        <f t="shared" ca="1" si="67"/>
        <v>100.63428445253821</v>
      </c>
      <c r="F153" s="304">
        <f t="shared" ca="1" si="68"/>
        <v>103.01248129245523</v>
      </c>
      <c r="G153" s="306">
        <f t="shared" ca="1" si="69"/>
        <v>40.625991643714961</v>
      </c>
      <c r="H153" s="307">
        <f t="shared" ca="1" si="70"/>
        <v>203.78656561934548</v>
      </c>
      <c r="I153" s="304">
        <f t="shared" ca="1" si="71"/>
        <v>207.79662057878372</v>
      </c>
      <c r="J153" s="306">
        <f t="shared" ca="1" si="72"/>
        <v>30.214415999819291</v>
      </c>
      <c r="K153" s="307">
        <f t="shared" ca="1" si="73"/>
        <v>156.63671415049427</v>
      </c>
      <c r="L153" s="304">
        <f t="shared" ca="1" si="58"/>
        <v>159.52420240851791</v>
      </c>
      <c r="M153" s="306">
        <f t="shared" ca="1" si="74"/>
        <v>1.3740204657333097</v>
      </c>
      <c r="N153" s="304">
        <f t="shared" ca="1" si="75"/>
        <v>78.725573651118395</v>
      </c>
      <c r="P153" s="310">
        <f t="shared" ca="1" si="76"/>
        <v>14</v>
      </c>
      <c r="Q153" s="304">
        <f t="shared" ca="1" si="77"/>
        <v>1015.8016666666653</v>
      </c>
      <c r="R153" s="306">
        <f t="shared" ca="1" si="78"/>
        <v>0.49919718802287016</v>
      </c>
      <c r="S153" s="307">
        <f t="shared" ca="1" si="79"/>
        <v>7.5171241217972025</v>
      </c>
      <c r="T153" s="304">
        <f t="shared" ca="1" si="59"/>
        <v>73.742987634830556</v>
      </c>
      <c r="U153" s="311">
        <f t="shared" ca="1" si="60"/>
        <v>0</v>
      </c>
      <c r="V153" s="306">
        <f t="shared" ca="1" si="61"/>
        <v>1.20596111195975</v>
      </c>
      <c r="W153" s="304">
        <f t="shared" ca="1" si="62"/>
        <v>170.91259182673983</v>
      </c>
      <c r="Y153" s="314" t="str">
        <f t="shared" ca="1" si="80"/>
        <v/>
      </c>
      <c r="Z153" s="315" t="str">
        <f t="shared" ca="1" si="81"/>
        <v/>
      </c>
      <c r="AA153" s="316" t="str">
        <f t="shared" ca="1" si="82"/>
        <v/>
      </c>
      <c r="AC153" s="310" t="e">
        <f t="shared" ca="1" si="83"/>
        <v>#N/A</v>
      </c>
      <c r="AD153" s="323" t="e">
        <f t="shared" ca="1" si="84"/>
        <v>#N/A</v>
      </c>
      <c r="AE153" s="324">
        <f t="shared" ca="1" si="63"/>
        <v>156.63671415049427</v>
      </c>
      <c r="AG153" s="306">
        <f t="shared" ca="1" si="85"/>
        <v>102.99464170890406</v>
      </c>
      <c r="AH153" s="304">
        <f t="shared" ca="1" si="86"/>
        <v>112.61550542881402</v>
      </c>
    </row>
    <row r="154" spans="1:34" x14ac:dyDescent="0.2">
      <c r="A154" s="347">
        <f t="shared" ca="1" si="64"/>
        <v>0.01</v>
      </c>
      <c r="B154" s="304">
        <f t="shared" ca="1" si="65"/>
        <v>1.5000000000000011</v>
      </c>
      <c r="D154" s="306">
        <f t="shared" ca="1" si="66"/>
        <v>21.692401644603301</v>
      </c>
      <c r="E154" s="307">
        <f t="shared" ca="1" si="67"/>
        <v>99.00260622405122</v>
      </c>
      <c r="F154" s="304">
        <f t="shared" ca="1" si="68"/>
        <v>101.35125222840284</v>
      </c>
      <c r="G154" s="306">
        <f t="shared" ca="1" si="69"/>
        <v>40.842915660160998</v>
      </c>
      <c r="H154" s="307">
        <f t="shared" ca="1" si="70"/>
        <v>204.77659168158598</v>
      </c>
      <c r="I154" s="304">
        <f t="shared" ca="1" si="71"/>
        <v>208.80995249352944</v>
      </c>
      <c r="J154" s="306">
        <f t="shared" ca="1" si="72"/>
        <v>30.62176053633867</v>
      </c>
      <c r="K154" s="307">
        <f t="shared" ca="1" si="73"/>
        <v>158.67952993699893</v>
      </c>
      <c r="L154" s="304">
        <f t="shared" ca="1" si="58"/>
        <v>161.60719488739295</v>
      </c>
      <c r="M154" s="306">
        <f t="shared" ca="1" si="74"/>
        <v>1.3739286148561753</v>
      </c>
      <c r="N154" s="304">
        <f t="shared" ca="1" si="75"/>
        <v>78.720310983514025</v>
      </c>
      <c r="P154" s="310">
        <f t="shared" ca="1" si="76"/>
        <v>14</v>
      </c>
      <c r="Q154" s="304">
        <f t="shared" ca="1" si="77"/>
        <v>1004.4183333333319</v>
      </c>
      <c r="R154" s="306">
        <f t="shared" ca="1" si="78"/>
        <v>0.49360305663207016</v>
      </c>
      <c r="S154" s="307">
        <f t="shared" ca="1" si="79"/>
        <v>7.5121880912308816</v>
      </c>
      <c r="T154" s="304">
        <f t="shared" ca="1" si="59"/>
        <v>73.694565174974954</v>
      </c>
      <c r="U154" s="311">
        <f t="shared" ca="1" si="60"/>
        <v>0</v>
      </c>
      <c r="V154" s="306">
        <f t="shared" ca="1" si="61"/>
        <v>1.2057147661746246</v>
      </c>
      <c r="W154" s="304">
        <f t="shared" ca="1" si="62"/>
        <v>172.54833177349363</v>
      </c>
      <c r="Y154" s="314" t="str">
        <f t="shared" ca="1" si="80"/>
        <v/>
      </c>
      <c r="Z154" s="315" t="str">
        <f t="shared" ca="1" si="81"/>
        <v/>
      </c>
      <c r="AA154" s="316" t="str">
        <f t="shared" ca="1" si="82"/>
        <v/>
      </c>
      <c r="AC154" s="310" t="e">
        <f t="shared" ca="1" si="83"/>
        <v>#N/A</v>
      </c>
      <c r="AD154" s="323" t="e">
        <f t="shared" ca="1" si="84"/>
        <v>#N/A</v>
      </c>
      <c r="AE154" s="324">
        <f t="shared" ca="1" si="63"/>
        <v>158.67952993699893</v>
      </c>
      <c r="AG154" s="306">
        <f t="shared" ca="1" si="85"/>
        <v>101.33310339244039</v>
      </c>
      <c r="AH154" s="304">
        <f t="shared" ca="1" si="86"/>
        <v>110.95379021187702</v>
      </c>
    </row>
    <row r="155" spans="1:34" x14ac:dyDescent="0.2">
      <c r="A155" s="347">
        <f t="shared" ca="1" si="64"/>
        <v>0.01</v>
      </c>
      <c r="B155" s="304">
        <f t="shared" ca="1" si="65"/>
        <v>1.5100000000000011</v>
      </c>
      <c r="D155" s="306">
        <f t="shared" ca="1" si="66"/>
        <v>21.377299299442374</v>
      </c>
      <c r="E155" s="307">
        <f t="shared" ca="1" si="67"/>
        <v>97.370655914017789</v>
      </c>
      <c r="F155" s="304">
        <f t="shared" ca="1" si="68"/>
        <v>99.689686319418158</v>
      </c>
      <c r="G155" s="306">
        <f t="shared" ca="1" si="69"/>
        <v>41.056688653155419</v>
      </c>
      <c r="H155" s="307">
        <f t="shared" ca="1" si="70"/>
        <v>205.75029824072615</v>
      </c>
      <c r="I155" s="304">
        <f t="shared" ca="1" si="71"/>
        <v>209.80666555023913</v>
      </c>
      <c r="J155" s="306">
        <f t="shared" ca="1" si="72"/>
        <v>31.03125855790525</v>
      </c>
      <c r="K155" s="307">
        <f t="shared" ca="1" si="73"/>
        <v>160.73216438661049</v>
      </c>
      <c r="L155" s="304">
        <f t="shared" ca="1" si="58"/>
        <v>163.70023725117795</v>
      </c>
      <c r="M155" s="306">
        <f t="shared" ca="1" si="74"/>
        <v>1.3738371582103883</v>
      </c>
      <c r="N155" s="304">
        <f t="shared" ca="1" si="75"/>
        <v>78.715070903701999</v>
      </c>
      <c r="P155" s="310">
        <f t="shared" ca="1" si="76"/>
        <v>14</v>
      </c>
      <c r="Q155" s="304">
        <f t="shared" ca="1" si="77"/>
        <v>993.03499999999849</v>
      </c>
      <c r="R155" s="306">
        <f t="shared" ca="1" si="78"/>
        <v>0.48800892524127004</v>
      </c>
      <c r="S155" s="307">
        <f t="shared" ca="1" si="79"/>
        <v>7.507308001978469</v>
      </c>
      <c r="T155" s="304">
        <f t="shared" ca="1" si="59"/>
        <v>73.646691499408789</v>
      </c>
      <c r="U155" s="311">
        <f t="shared" ca="1" si="60"/>
        <v>0</v>
      </c>
      <c r="V155" s="306">
        <f t="shared" ca="1" si="61"/>
        <v>1.2054672866274758</v>
      </c>
      <c r="W155" s="304">
        <f t="shared" ca="1" si="62"/>
        <v>174.16375853171462</v>
      </c>
      <c r="Y155" s="314" t="str">
        <f t="shared" ca="1" si="80"/>
        <v/>
      </c>
      <c r="Z155" s="315" t="str">
        <f t="shared" ca="1" si="81"/>
        <v/>
      </c>
      <c r="AA155" s="316" t="str">
        <f t="shared" ca="1" si="82"/>
        <v/>
      </c>
      <c r="AC155" s="310" t="e">
        <f t="shared" ca="1" si="83"/>
        <v>#N/A</v>
      </c>
      <c r="AD155" s="323" t="e">
        <f t="shared" ca="1" si="84"/>
        <v>#N/A</v>
      </c>
      <c r="AE155" s="324">
        <f t="shared" ca="1" si="63"/>
        <v>160.73216438661049</v>
      </c>
      <c r="AG155" s="306">
        <f t="shared" ca="1" si="85"/>
        <v>99.671217926487969</v>
      </c>
      <c r="AH155" s="304">
        <f t="shared" ca="1" si="86"/>
        <v>109.29172854107952</v>
      </c>
    </row>
    <row r="156" spans="1:34" x14ac:dyDescent="0.2">
      <c r="A156" s="347">
        <f t="shared" ca="1" si="64"/>
        <v>0.01</v>
      </c>
      <c r="B156" s="304">
        <f t="shared" ca="1" si="65"/>
        <v>1.5200000000000011</v>
      </c>
      <c r="D156" s="306">
        <f t="shared" ca="1" si="66"/>
        <v>21.061805402708966</v>
      </c>
      <c r="E156" s="307">
        <f t="shared" ca="1" si="67"/>
        <v>95.738520478707841</v>
      </c>
      <c r="F156" s="304">
        <f t="shared" ca="1" si="68"/>
        <v>98.027873333422576</v>
      </c>
      <c r="G156" s="306">
        <f t="shared" ca="1" si="69"/>
        <v>41.267306707182506</v>
      </c>
      <c r="H156" s="307">
        <f t="shared" ca="1" si="70"/>
        <v>206.70768344551323</v>
      </c>
      <c r="I156" s="304">
        <f t="shared" ca="1" si="71"/>
        <v>210.78675717007266</v>
      </c>
      <c r="J156" s="306">
        <f t="shared" ca="1" si="72"/>
        <v>31.442878534706939</v>
      </c>
      <c r="K156" s="307">
        <f t="shared" ca="1" si="73"/>
        <v>162.7944542950417</v>
      </c>
      <c r="L156" s="304">
        <f t="shared" ca="1" si="58"/>
        <v>165.80316329843879</v>
      </c>
      <c r="M156" s="306">
        <f t="shared" ca="1" si="74"/>
        <v>1.3737460850677081</v>
      </c>
      <c r="N156" s="304">
        <f t="shared" ca="1" si="75"/>
        <v>78.709852796999442</v>
      </c>
      <c r="P156" s="310">
        <f t="shared" ca="1" si="76"/>
        <v>14</v>
      </c>
      <c r="Q156" s="304">
        <f t="shared" ca="1" si="77"/>
        <v>981.65166666666528</v>
      </c>
      <c r="R156" s="306">
        <f t="shared" ca="1" si="78"/>
        <v>0.48241479385047004</v>
      </c>
      <c r="S156" s="307">
        <f t="shared" ca="1" si="79"/>
        <v>7.5024838540399648</v>
      </c>
      <c r="T156" s="304">
        <f t="shared" ca="1" si="59"/>
        <v>73.599366608132058</v>
      </c>
      <c r="U156" s="311">
        <f t="shared" ca="1" si="60"/>
        <v>0</v>
      </c>
      <c r="V156" s="306">
        <f t="shared" ca="1" si="61"/>
        <v>1.2052186936970986</v>
      </c>
      <c r="W156" s="304">
        <f t="shared" ca="1" si="62"/>
        <v>175.7584849596218</v>
      </c>
      <c r="Y156" s="314" t="str">
        <f t="shared" ca="1" si="80"/>
        <v/>
      </c>
      <c r="Z156" s="315" t="str">
        <f t="shared" ca="1" si="81"/>
        <v/>
      </c>
      <c r="AA156" s="316" t="str">
        <f t="shared" ca="1" si="82"/>
        <v/>
      </c>
      <c r="AC156" s="310" t="e">
        <f t="shared" ca="1" si="83"/>
        <v>#N/A</v>
      </c>
      <c r="AD156" s="323" t="e">
        <f t="shared" ca="1" si="84"/>
        <v>#N/A</v>
      </c>
      <c r="AE156" s="324">
        <f t="shared" ca="1" si="63"/>
        <v>162.7944542950417</v>
      </c>
      <c r="AG156" s="306">
        <f t="shared" ca="1" si="85"/>
        <v>98.009074566739571</v>
      </c>
      <c r="AH156" s="304">
        <f t="shared" ca="1" si="86"/>
        <v>107.62940965212896</v>
      </c>
    </row>
    <row r="157" spans="1:34" x14ac:dyDescent="0.2">
      <c r="A157" s="347">
        <f t="shared" ca="1" si="64"/>
        <v>0.01</v>
      </c>
      <c r="B157" s="304">
        <f t="shared" ca="1" si="65"/>
        <v>1.5300000000000011</v>
      </c>
      <c r="D157" s="306">
        <f t="shared" ca="1" si="66"/>
        <v>20.745940234664701</v>
      </c>
      <c r="E157" s="307">
        <f t="shared" ca="1" si="67"/>
        <v>94.1062860138926</v>
      </c>
      <c r="F157" s="304">
        <f t="shared" ca="1" si="68"/>
        <v>96.365902183027572</v>
      </c>
      <c r="G157" s="306">
        <f t="shared" ca="1" si="69"/>
        <v>41.474766109529156</v>
      </c>
      <c r="H157" s="307">
        <f t="shared" ca="1" si="70"/>
        <v>207.64874630565214</v>
      </c>
      <c r="I157" s="304">
        <f t="shared" ca="1" si="71"/>
        <v>211.75022565784724</v>
      </c>
      <c r="J157" s="306">
        <f t="shared" ca="1" si="72"/>
        <v>31.856588898790498</v>
      </c>
      <c r="K157" s="307">
        <f t="shared" ca="1" si="73"/>
        <v>164.86623644379753</v>
      </c>
      <c r="L157" s="304">
        <f t="shared" ca="1" si="58"/>
        <v>167.91580680629414</v>
      </c>
      <c r="M157" s="306">
        <f t="shared" ca="1" si="74"/>
        <v>1.3736553849335627</v>
      </c>
      <c r="N157" s="304">
        <f t="shared" ca="1" si="75"/>
        <v>78.704656062111624</v>
      </c>
      <c r="P157" s="310">
        <f t="shared" ca="1" si="76"/>
        <v>14</v>
      </c>
      <c r="Q157" s="304">
        <f t="shared" ca="1" si="77"/>
        <v>970.26833333333184</v>
      </c>
      <c r="R157" s="306">
        <f t="shared" ca="1" si="78"/>
        <v>0.47682066245966992</v>
      </c>
      <c r="S157" s="307">
        <f t="shared" ca="1" si="79"/>
        <v>7.4977156474153679</v>
      </c>
      <c r="T157" s="304">
        <f t="shared" ca="1" si="59"/>
        <v>73.552590501144763</v>
      </c>
      <c r="U157" s="311">
        <f t="shared" ca="1" si="60"/>
        <v>0</v>
      </c>
      <c r="V157" s="306">
        <f t="shared" ca="1" si="61"/>
        <v>1.2049690077508524</v>
      </c>
      <c r="W157" s="304">
        <f t="shared" ca="1" si="62"/>
        <v>177.33213241720134</v>
      </c>
      <c r="Y157" s="314" t="str">
        <f t="shared" ca="1" si="80"/>
        <v/>
      </c>
      <c r="Z157" s="315" t="str">
        <f t="shared" ca="1" si="81"/>
        <v/>
      </c>
      <c r="AA157" s="316" t="str">
        <f t="shared" ca="1" si="82"/>
        <v/>
      </c>
      <c r="AC157" s="310" t="e">
        <f t="shared" ca="1" si="83"/>
        <v>#N/A</v>
      </c>
      <c r="AD157" s="323" t="e">
        <f t="shared" ca="1" si="84"/>
        <v>#N/A</v>
      </c>
      <c r="AE157" s="324">
        <f t="shared" ca="1" si="63"/>
        <v>164.86623644379753</v>
      </c>
      <c r="AG157" s="306">
        <f t="shared" ca="1" si="85"/>
        <v>96.346761679147974</v>
      </c>
      <c r="AH157" s="304">
        <f t="shared" ca="1" si="86"/>
        <v>105.96692189141577</v>
      </c>
    </row>
    <row r="158" spans="1:34" x14ac:dyDescent="0.2">
      <c r="A158" s="347">
        <f t="shared" ca="1" si="64"/>
        <v>0.01</v>
      </c>
      <c r="B158" s="304">
        <f t="shared" ca="1" si="65"/>
        <v>1.5400000000000011</v>
      </c>
      <c r="D158" s="306">
        <f t="shared" ca="1" si="66"/>
        <v>20.42972383705327</v>
      </c>
      <c r="E158" s="307">
        <f t="shared" ca="1" si="67"/>
        <v>92.474037743135725</v>
      </c>
      <c r="F158" s="304">
        <f t="shared" ca="1" si="68"/>
        <v>94.703860916950759</v>
      </c>
      <c r="G158" s="306">
        <f t="shared" ca="1" si="69"/>
        <v>41.679063347899692</v>
      </c>
      <c r="H158" s="307">
        <f t="shared" ca="1" si="70"/>
        <v>208.5734866830835</v>
      </c>
      <c r="I158" s="304">
        <f t="shared" ca="1" si="71"/>
        <v>212.6970701930251</v>
      </c>
      <c r="J158" s="306">
        <f t="shared" ca="1" si="72"/>
        <v>32.272358046077642</v>
      </c>
      <c r="K158" s="307">
        <f t="shared" ca="1" si="73"/>
        <v>166.94734760874121</v>
      </c>
      <c r="L158" s="304">
        <f t="shared" ca="1" si="58"/>
        <v>170.03800153920918</v>
      </c>
      <c r="M158" s="306">
        <f t="shared" ca="1" si="74"/>
        <v>1.3735650475383459</v>
      </c>
      <c r="N158" s="304">
        <f t="shared" ca="1" si="75"/>
        <v>78.699480110633502</v>
      </c>
      <c r="P158" s="310">
        <f t="shared" ca="1" si="76"/>
        <v>14</v>
      </c>
      <c r="Q158" s="304">
        <f t="shared" ca="1" si="77"/>
        <v>958.88499999999851</v>
      </c>
      <c r="R158" s="306">
        <f t="shared" ca="1" si="78"/>
        <v>0.47122653106886986</v>
      </c>
      <c r="S158" s="307">
        <f t="shared" ca="1" si="79"/>
        <v>7.4930033821046793</v>
      </c>
      <c r="T158" s="304">
        <f t="shared" ca="1" si="59"/>
        <v>73.506363178446904</v>
      </c>
      <c r="U158" s="311">
        <f t="shared" ca="1" si="60"/>
        <v>0</v>
      </c>
      <c r="V158" s="306">
        <f t="shared" ca="1" si="61"/>
        <v>1.2047182491434474</v>
      </c>
      <c r="W158" s="304">
        <f t="shared" ca="1" si="62"/>
        <v>178.88433077923361</v>
      </c>
      <c r="Y158" s="314" t="str">
        <f t="shared" ca="1" si="80"/>
        <v/>
      </c>
      <c r="Z158" s="315" t="str">
        <f t="shared" ca="1" si="81"/>
        <v/>
      </c>
      <c r="AA158" s="316" t="str">
        <f t="shared" ca="1" si="82"/>
        <v/>
      </c>
      <c r="AC158" s="310" t="e">
        <f t="shared" ca="1" si="83"/>
        <v>#N/A</v>
      </c>
      <c r="AD158" s="323" t="e">
        <f t="shared" ca="1" si="84"/>
        <v>#N/A</v>
      </c>
      <c r="AE158" s="324">
        <f t="shared" ca="1" si="63"/>
        <v>166.94734760874121</v>
      </c>
      <c r="AG158" s="306">
        <f t="shared" ca="1" si="85"/>
        <v>94.684366728393798</v>
      </c>
      <c r="AH158" s="304">
        <f t="shared" ca="1" si="86"/>
        <v>104.3043527044652</v>
      </c>
    </row>
    <row r="159" spans="1:34" x14ac:dyDescent="0.2">
      <c r="A159" s="347">
        <f t="shared" ca="1" si="64"/>
        <v>0.01</v>
      </c>
      <c r="B159" s="304">
        <f t="shared" ca="1" si="65"/>
        <v>1.5500000000000012</v>
      </c>
      <c r="D159" s="306">
        <f t="shared" ca="1" si="66"/>
        <v>20.11317601296669</v>
      </c>
      <c r="E159" s="307">
        <f t="shared" ca="1" si="67"/>
        <v>90.841860006504263</v>
      </c>
      <c r="F159" s="304">
        <f t="shared" ca="1" si="68"/>
        <v>93.041836712147386</v>
      </c>
      <c r="G159" s="306">
        <f t="shared" ca="1" si="69"/>
        <v>41.880195108029362</v>
      </c>
      <c r="H159" s="307">
        <f t="shared" ca="1" si="70"/>
        <v>209.48190528314854</v>
      </c>
      <c r="I159" s="304">
        <f t="shared" ca="1" si="71"/>
        <v>213.62729082058928</v>
      </c>
      <c r="J159" s="306">
        <f t="shared" ca="1" si="72"/>
        <v>32.690154338357289</v>
      </c>
      <c r="K159" s="307">
        <f t="shared" ca="1" si="73"/>
        <v>169.03762456857237</v>
      </c>
      <c r="L159" s="304">
        <f t="shared" ca="1" si="58"/>
        <v>172.16958125769847</v>
      </c>
      <c r="M159" s="306">
        <f t="shared" ca="1" si="74"/>
        <v>1.3734750628290711</v>
      </c>
      <c r="N159" s="304">
        <f t="shared" ca="1" si="75"/>
        <v>78.694324366571351</v>
      </c>
      <c r="P159" s="310">
        <f t="shared" ca="1" si="76"/>
        <v>14</v>
      </c>
      <c r="Q159" s="304">
        <f t="shared" ca="1" si="77"/>
        <v>947.50166666666519</v>
      </c>
      <c r="R159" s="306">
        <f t="shared" ca="1" si="78"/>
        <v>0.46563239967806985</v>
      </c>
      <c r="S159" s="307">
        <f t="shared" ca="1" si="79"/>
        <v>7.488347058107899</v>
      </c>
      <c r="T159" s="304">
        <f t="shared" ca="1" si="59"/>
        <v>73.460684640038494</v>
      </c>
      <c r="U159" s="311">
        <f t="shared" ca="1" si="60"/>
        <v>0</v>
      </c>
      <c r="V159" s="306">
        <f t="shared" ca="1" si="61"/>
        <v>1.2044664382157471</v>
      </c>
      <c r="W159" s="304">
        <f t="shared" ca="1" si="62"/>
        <v>180.41471844572271</v>
      </c>
      <c r="Y159" s="314" t="str">
        <f t="shared" ca="1" si="80"/>
        <v/>
      </c>
      <c r="Z159" s="315" t="str">
        <f t="shared" ca="1" si="81"/>
        <v/>
      </c>
      <c r="AA159" s="316" t="str">
        <f t="shared" ca="1" si="82"/>
        <v/>
      </c>
      <c r="AC159" s="310" t="e">
        <f t="shared" ca="1" si="83"/>
        <v>#N/A</v>
      </c>
      <c r="AD159" s="323" t="e">
        <f t="shared" ca="1" si="84"/>
        <v>#N/A</v>
      </c>
      <c r="AE159" s="324">
        <f t="shared" ca="1" si="63"/>
        <v>169.03762456857237</v>
      </c>
      <c r="AG159" s="306">
        <f t="shared" ca="1" si="85"/>
        <v>93.02197626676039</v>
      </c>
      <c r="AH159" s="304">
        <f t="shared" ca="1" si="86"/>
        <v>102.64178862479703</v>
      </c>
    </row>
    <row r="160" spans="1:34" x14ac:dyDescent="0.2">
      <c r="A160" s="347">
        <f t="shared" ca="1" si="64"/>
        <v>0.01</v>
      </c>
      <c r="B160" s="304">
        <f t="shared" ca="1" si="65"/>
        <v>1.5600000000000012</v>
      </c>
      <c r="D160" s="306">
        <f t="shared" ca="1" si="66"/>
        <v>19.380062609210405</v>
      </c>
      <c r="E160" s="307">
        <f t="shared" ca="1" si="67"/>
        <v>87.127763289115023</v>
      </c>
      <c r="F160" s="304">
        <f t="shared" ca="1" si="68"/>
        <v>89.257122754999088</v>
      </c>
      <c r="G160" s="306">
        <f t="shared" ca="1" si="69"/>
        <v>42.073995734121468</v>
      </c>
      <c r="H160" s="307">
        <f t="shared" ca="1" si="70"/>
        <v>210.35318291603969</v>
      </c>
      <c r="I160" s="304">
        <f t="shared" ca="1" si="71"/>
        <v>214.51965569603109</v>
      </c>
      <c r="J160" s="306">
        <f t="shared" ca="1" si="72"/>
        <v>33.109925292568043</v>
      </c>
      <c r="K160" s="307">
        <f t="shared" ca="1" si="73"/>
        <v>171.1368000095683</v>
      </c>
      <c r="L160" s="304">
        <f t="shared" ca="1" si="58"/>
        <v>174.3102735652561</v>
      </c>
      <c r="M160" s="306">
        <f t="shared" ca="1" si="74"/>
        <v>1.3733854120887814</v>
      </c>
      <c r="N160" s="304">
        <f t="shared" ca="1" si="75"/>
        <v>78.689187757522518</v>
      </c>
      <c r="P160" s="310">
        <f t="shared" ca="1" si="76"/>
        <v>15</v>
      </c>
      <c r="Q160" s="304">
        <f t="shared" ca="1" si="77"/>
        <v>920.23599999999465</v>
      </c>
      <c r="R160" s="306">
        <f t="shared" ca="1" si="78"/>
        <v>0.45223318546508778</v>
      </c>
      <c r="S160" s="307">
        <f t="shared" ca="1" si="79"/>
        <v>7.483824726253248</v>
      </c>
      <c r="T160" s="304">
        <f t="shared" ca="1" si="59"/>
        <v>73.416320564544364</v>
      </c>
      <c r="U160" s="311">
        <f t="shared" ca="1" si="60"/>
        <v>0</v>
      </c>
      <c r="V160" s="306">
        <f t="shared" ca="1" si="61"/>
        <v>1.204213607830807</v>
      </c>
      <c r="W160" s="304">
        <f t="shared" ca="1" si="62"/>
        <v>181.88693681870845</v>
      </c>
      <c r="Y160" s="314" t="str">
        <f t="shared" ca="1" si="80"/>
        <v/>
      </c>
      <c r="Z160" s="315" t="str">
        <f t="shared" ca="1" si="81"/>
        <v/>
      </c>
      <c r="AA160" s="316" t="str">
        <f t="shared" ca="1" si="82"/>
        <v/>
      </c>
      <c r="AC160" s="310" t="e">
        <f t="shared" ca="1" si="83"/>
        <v>#N/A</v>
      </c>
      <c r="AD160" s="323" t="e">
        <f t="shared" ca="1" si="84"/>
        <v>#N/A</v>
      </c>
      <c r="AE160" s="324">
        <f t="shared" ca="1" si="63"/>
        <v>171.1368000095683</v>
      </c>
      <c r="AG160" s="306">
        <f t="shared" ca="1" si="85"/>
        <v>89.236401336721087</v>
      </c>
      <c r="AH160" s="304">
        <f t="shared" ca="1" si="86"/>
        <v>98.856040676497926</v>
      </c>
    </row>
    <row r="161" spans="1:34" x14ac:dyDescent="0.2">
      <c r="A161" s="347">
        <f t="shared" ca="1" si="64"/>
        <v>0.01</v>
      </c>
      <c r="B161" s="304">
        <f t="shared" ca="1" si="65"/>
        <v>1.5700000000000012</v>
      </c>
      <c r="D161" s="306">
        <f t="shared" ca="1" si="66"/>
        <v>18.229874973493427</v>
      </c>
      <c r="E161" s="307">
        <f t="shared" ca="1" si="67"/>
        <v>81.332097581330828</v>
      </c>
      <c r="F161" s="304">
        <f t="shared" ca="1" si="68"/>
        <v>83.350095611992685</v>
      </c>
      <c r="G161" s="306">
        <f t="shared" ca="1" si="69"/>
        <v>42.256294483856401</v>
      </c>
      <c r="H161" s="307">
        <f t="shared" ca="1" si="70"/>
        <v>211.16650389185298</v>
      </c>
      <c r="I161" s="304">
        <f t="shared" ca="1" si="71"/>
        <v>215.35293540932835</v>
      </c>
      <c r="J161" s="306">
        <f t="shared" ca="1" si="72"/>
        <v>33.531576743657929</v>
      </c>
      <c r="K161" s="307">
        <f t="shared" ca="1" si="73"/>
        <v>173.24439844360776</v>
      </c>
      <c r="L161" s="304">
        <f t="shared" ca="1" si="58"/>
        <v>176.45959376300101</v>
      </c>
      <c r="M161" s="306">
        <f t="shared" ca="1" si="74"/>
        <v>1.3732960681942872</v>
      </c>
      <c r="N161" s="304">
        <f t="shared" ca="1" si="75"/>
        <v>78.684068729442743</v>
      </c>
      <c r="P161" s="310">
        <f t="shared" ca="1" si="76"/>
        <v>15</v>
      </c>
      <c r="Q161" s="304">
        <f t="shared" ca="1" si="77"/>
        <v>877.08799999999474</v>
      </c>
      <c r="R161" s="306">
        <f t="shared" ca="1" si="78"/>
        <v>0.43102888842992759</v>
      </c>
      <c r="S161" s="307">
        <f t="shared" ca="1" si="79"/>
        <v>7.4795144373689491</v>
      </c>
      <c r="T161" s="304">
        <f t="shared" ca="1" si="59"/>
        <v>73.374036630589387</v>
      </c>
      <c r="U161" s="311">
        <f t="shared" ca="1" si="60"/>
        <v>0</v>
      </c>
      <c r="V161" s="306">
        <f t="shared" ca="1" si="61"/>
        <v>1.2039598158925997</v>
      </c>
      <c r="W161" s="304">
        <f t="shared" ca="1" si="62"/>
        <v>183.26409207584715</v>
      </c>
      <c r="Y161" s="314" t="str">
        <f t="shared" ca="1" si="80"/>
        <v/>
      </c>
      <c r="Z161" s="315" t="str">
        <f t="shared" ca="1" si="81"/>
        <v/>
      </c>
      <c r="AA161" s="316" t="str">
        <f t="shared" ca="1" si="82"/>
        <v/>
      </c>
      <c r="AC161" s="310" t="e">
        <f t="shared" ca="1" si="83"/>
        <v>#N/A</v>
      </c>
      <c r="AD161" s="323" t="e">
        <f t="shared" ca="1" si="84"/>
        <v>#N/A</v>
      </c>
      <c r="AE161" s="324">
        <f t="shared" ca="1" si="63"/>
        <v>173.24439844360776</v>
      </c>
      <c r="AG161" s="306">
        <f t="shared" ca="1" si="85"/>
        <v>83.327885378803188</v>
      </c>
      <c r="AH161" s="304">
        <f t="shared" ca="1" si="86"/>
        <v>92.947352265000177</v>
      </c>
    </row>
    <row r="162" spans="1:34" x14ac:dyDescent="0.2">
      <c r="A162" s="347">
        <f t="shared" ca="1" si="64"/>
        <v>0.01</v>
      </c>
      <c r="B162" s="304">
        <f t="shared" ca="1" si="65"/>
        <v>1.5800000000000012</v>
      </c>
      <c r="D162" s="306">
        <f t="shared" ca="1" si="66"/>
        <v>17.079295966173063</v>
      </c>
      <c r="E162" s="307">
        <f t="shared" ca="1" si="67"/>
        <v>75.540011451876097</v>
      </c>
      <c r="F162" s="304">
        <f t="shared" ca="1" si="68"/>
        <v>77.446728019004837</v>
      </c>
      <c r="G162" s="306">
        <f t="shared" ca="1" si="69"/>
        <v>42.427087443518133</v>
      </c>
      <c r="H162" s="307">
        <f t="shared" ca="1" si="70"/>
        <v>211.92190400637173</v>
      </c>
      <c r="I162" s="304">
        <f t="shared" ca="1" si="71"/>
        <v>216.12716429598981</v>
      </c>
      <c r="J162" s="306">
        <f t="shared" ca="1" si="72"/>
        <v>33.9549936532948</v>
      </c>
      <c r="K162" s="307">
        <f t="shared" ca="1" si="73"/>
        <v>175.35984048309888</v>
      </c>
      <c r="L162" s="304">
        <f t="shared" ca="1" si="58"/>
        <v>178.61695117836149</v>
      </c>
      <c r="M162" s="306">
        <f t="shared" ca="1" si="74"/>
        <v>1.373207004589847</v>
      </c>
      <c r="N162" s="304">
        <f t="shared" ca="1" si="75"/>
        <v>78.678965760800097</v>
      </c>
      <c r="P162" s="310">
        <f t="shared" ca="1" si="76"/>
        <v>15</v>
      </c>
      <c r="Q162" s="304">
        <f t="shared" ca="1" si="77"/>
        <v>833.93999999999471</v>
      </c>
      <c r="R162" s="306">
        <f t="shared" ca="1" si="78"/>
        <v>0.40982459139476735</v>
      </c>
      <c r="S162" s="307">
        <f t="shared" ca="1" si="79"/>
        <v>7.4754161914550012</v>
      </c>
      <c r="T162" s="304">
        <f t="shared" ca="1" si="59"/>
        <v>73.333832838173564</v>
      </c>
      <c r="U162" s="311">
        <f t="shared" ca="1" si="60"/>
        <v>0</v>
      </c>
      <c r="V162" s="306">
        <f t="shared" ca="1" si="61"/>
        <v>1.203705132766876</v>
      </c>
      <c r="W162" s="304">
        <f t="shared" ca="1" si="62"/>
        <v>184.54514278362475</v>
      </c>
      <c r="Y162" s="314" t="str">
        <f t="shared" ca="1" si="80"/>
        <v/>
      </c>
      <c r="Z162" s="315" t="str">
        <f t="shared" ca="1" si="81"/>
        <v/>
      </c>
      <c r="AA162" s="316" t="str">
        <f t="shared" ca="1" si="82"/>
        <v/>
      </c>
      <c r="AC162" s="310" t="e">
        <f t="shared" ca="1" si="83"/>
        <v>#N/A</v>
      </c>
      <c r="AD162" s="323" t="e">
        <f t="shared" ca="1" si="84"/>
        <v>#N/A</v>
      </c>
      <c r="AE162" s="324">
        <f t="shared" ca="1" si="63"/>
        <v>175.35984048309888</v>
      </c>
      <c r="AG162" s="306">
        <f t="shared" ca="1" si="85"/>
        <v>77.422802946592824</v>
      </c>
      <c r="AH162" s="304">
        <f t="shared" ca="1" si="86"/>
        <v>87.04209789254574</v>
      </c>
    </row>
    <row r="163" spans="1:34" x14ac:dyDescent="0.2">
      <c r="A163" s="347">
        <f t="shared" ca="1" si="64"/>
        <v>0.01</v>
      </c>
      <c r="B163" s="304">
        <f t="shared" ca="1" si="65"/>
        <v>1.5900000000000012</v>
      </c>
      <c r="D163" s="306">
        <f t="shared" ca="1" si="66"/>
        <v>15.928461131860976</v>
      </c>
      <c r="E163" s="307">
        <f t="shared" ca="1" si="67"/>
        <v>69.752138585385609</v>
      </c>
      <c r="F163" s="304">
        <f t="shared" ca="1" si="68"/>
        <v>71.547723312933201</v>
      </c>
      <c r="G163" s="306">
        <f t="shared" ca="1" si="69"/>
        <v>42.586372054836744</v>
      </c>
      <c r="H163" s="307">
        <f t="shared" ca="1" si="70"/>
        <v>212.61942539222559</v>
      </c>
      <c r="I163" s="304">
        <f t="shared" ca="1" si="71"/>
        <v>216.84238317015695</v>
      </c>
      <c r="J163" s="306">
        <f t="shared" ca="1" si="72"/>
        <v>34.380060950786572</v>
      </c>
      <c r="K163" s="307">
        <f t="shared" ca="1" si="73"/>
        <v>177.48254713009186</v>
      </c>
      <c r="L163" s="304">
        <f t="shared" ca="1" si="58"/>
        <v>180.78175551411454</v>
      </c>
      <c r="M163" s="306">
        <f t="shared" ca="1" si="74"/>
        <v>1.3731181952380849</v>
      </c>
      <c r="N163" s="304">
        <f t="shared" ca="1" si="75"/>
        <v>78.673877359762841</v>
      </c>
      <c r="P163" s="310">
        <f t="shared" ca="1" si="76"/>
        <v>15</v>
      </c>
      <c r="Q163" s="304">
        <f t="shared" ca="1" si="77"/>
        <v>790.7919999999948</v>
      </c>
      <c r="R163" s="306">
        <f t="shared" ca="1" si="78"/>
        <v>0.3886202943596071</v>
      </c>
      <c r="S163" s="307">
        <f t="shared" ca="1" si="79"/>
        <v>7.4715299885114055</v>
      </c>
      <c r="T163" s="304">
        <f t="shared" ca="1" si="59"/>
        <v>73.295709187296893</v>
      </c>
      <c r="U163" s="311">
        <f t="shared" ca="1" si="60"/>
        <v>0</v>
      </c>
      <c r="V163" s="306">
        <f t="shared" ca="1" si="61"/>
        <v>1.2034496287159189</v>
      </c>
      <c r="W163" s="304">
        <f t="shared" ca="1" si="62"/>
        <v>185.72914378339763</v>
      </c>
      <c r="Y163" s="314" t="str">
        <f t="shared" ca="1" si="80"/>
        <v/>
      </c>
      <c r="Z163" s="315" t="str">
        <f t="shared" ca="1" si="81"/>
        <v/>
      </c>
      <c r="AA163" s="316" t="str">
        <f t="shared" ca="1" si="82"/>
        <v/>
      </c>
      <c r="AC163" s="310" t="e">
        <f t="shared" ca="1" si="83"/>
        <v>#N/A</v>
      </c>
      <c r="AD163" s="323" t="e">
        <f t="shared" ca="1" si="84"/>
        <v>#N/A</v>
      </c>
      <c r="AE163" s="324">
        <f t="shared" ca="1" si="63"/>
        <v>177.48254713009186</v>
      </c>
      <c r="AG163" s="306">
        <f t="shared" ca="1" si="85"/>
        <v>71.521801903825704</v>
      </c>
      <c r="AH163" s="304">
        <f t="shared" ca="1" si="86"/>
        <v>81.140925372522787</v>
      </c>
    </row>
    <row r="164" spans="1:34" x14ac:dyDescent="0.2">
      <c r="A164" s="347">
        <f t="shared" ca="1" si="64"/>
        <v>0.01</v>
      </c>
      <c r="B164" s="304">
        <f t="shared" ca="1" si="65"/>
        <v>1.6000000000000012</v>
      </c>
      <c r="D164" s="306">
        <f t="shared" ca="1" si="66"/>
        <v>14.777503185081427</v>
      </c>
      <c r="E164" s="307">
        <f t="shared" ca="1" si="67"/>
        <v>63.969100785997753</v>
      </c>
      <c r="F164" s="304">
        <f t="shared" ca="1" si="68"/>
        <v>65.65379239430294</v>
      </c>
      <c r="G164" s="306">
        <f t="shared" ca="1" si="69"/>
        <v>42.734147086687557</v>
      </c>
      <c r="H164" s="307">
        <f t="shared" ca="1" si="70"/>
        <v>213.25911640008556</v>
      </c>
      <c r="I164" s="304">
        <f t="shared" ca="1" si="71"/>
        <v>217.49863920257499</v>
      </c>
      <c r="J164" s="306">
        <f t="shared" ca="1" si="72"/>
        <v>34.806663546494192</v>
      </c>
      <c r="K164" s="307">
        <f t="shared" ca="1" si="73"/>
        <v>179.61193983905341</v>
      </c>
      <c r="L164" s="304">
        <f t="shared" ca="1" si="58"/>
        <v>182.95341691257528</v>
      </c>
      <c r="M164" s="306">
        <f t="shared" ca="1" si="74"/>
        <v>1.373029614573122</v>
      </c>
      <c r="N164" s="304">
        <f t="shared" ca="1" si="75"/>
        <v>78.668802061514</v>
      </c>
      <c r="P164" s="310">
        <f t="shared" ca="1" si="76"/>
        <v>15</v>
      </c>
      <c r="Q164" s="304">
        <f t="shared" ca="1" si="77"/>
        <v>747.64399999999478</v>
      </c>
      <c r="R164" s="306">
        <f t="shared" ca="1" si="78"/>
        <v>0.36741599732444685</v>
      </c>
      <c r="S164" s="307">
        <f t="shared" ca="1" si="79"/>
        <v>7.4678558285381609</v>
      </c>
      <c r="T164" s="304">
        <f t="shared" ca="1" si="59"/>
        <v>73.259665677959362</v>
      </c>
      <c r="U164" s="311">
        <f t="shared" ca="1" si="60"/>
        <v>0</v>
      </c>
      <c r="V164" s="306">
        <f t="shared" ca="1" si="61"/>
        <v>1.2031933738905591</v>
      </c>
      <c r="W164" s="304">
        <f t="shared" ca="1" si="62"/>
        <v>186.81524583892488</v>
      </c>
      <c r="Y164" s="314" t="str">
        <f t="shared" ca="1" si="80"/>
        <v/>
      </c>
      <c r="Z164" s="315" t="str">
        <f t="shared" ca="1" si="81"/>
        <v/>
      </c>
      <c r="AA164" s="316" t="str">
        <f t="shared" ca="1" si="82"/>
        <v/>
      </c>
      <c r="AC164" s="310" t="e">
        <f t="shared" ca="1" si="83"/>
        <v>#N/A</v>
      </c>
      <c r="AD164" s="323" t="e">
        <f t="shared" ca="1" si="84"/>
        <v>#N/A</v>
      </c>
      <c r="AE164" s="324">
        <f t="shared" ca="1" si="63"/>
        <v>179.61193983905341</v>
      </c>
      <c r="AG164" s="306">
        <f t="shared" ca="1" si="85"/>
        <v>65.625517911279289</v>
      </c>
      <c r="AH164" s="304">
        <f t="shared" ca="1" si="86"/>
        <v>75.244470316266472</v>
      </c>
    </row>
    <row r="165" spans="1:34" x14ac:dyDescent="0.2">
      <c r="A165" s="347">
        <f t="shared" ca="1" si="64"/>
        <v>0.01</v>
      </c>
      <c r="B165" s="304">
        <f t="shared" ca="1" si="65"/>
        <v>1.6100000000000012</v>
      </c>
      <c r="D165" s="306">
        <f t="shared" ca="1" si="66"/>
        <v>13.09595743097349</v>
      </c>
      <c r="E165" s="307">
        <f t="shared" ca="1" si="67"/>
        <v>55.543645750251969</v>
      </c>
      <c r="F165" s="304">
        <f t="shared" ca="1" si="68"/>
        <v>57.066633721145259</v>
      </c>
      <c r="G165" s="306">
        <f t="shared" ca="1" si="69"/>
        <v>42.865106660997291</v>
      </c>
      <c r="H165" s="307">
        <f t="shared" ca="1" si="70"/>
        <v>213.81455285758807</v>
      </c>
      <c r="I165" s="304">
        <f t="shared" ca="1" si="71"/>
        <v>218.06898078990739</v>
      </c>
      <c r="J165" s="306">
        <f t="shared" ca="1" si="72"/>
        <v>35.234659815232618</v>
      </c>
      <c r="K165" s="307">
        <f t="shared" ca="1" si="73"/>
        <v>181.74730818534178</v>
      </c>
      <c r="L165" s="304">
        <f t="shared" ca="1" si="58"/>
        <v>185.13121099618178</v>
      </c>
      <c r="M165" s="306">
        <f t="shared" ca="1" si="74"/>
        <v>1.3729412265113465</v>
      </c>
      <c r="N165" s="304">
        <f t="shared" ca="1" si="75"/>
        <v>78.663737798614932</v>
      </c>
      <c r="P165" s="310">
        <f t="shared" ca="1" si="76"/>
        <v>16</v>
      </c>
      <c r="Q165" s="304">
        <f t="shared" ca="1" si="77"/>
        <v>684.3449999999898</v>
      </c>
      <c r="R165" s="306">
        <f t="shared" ca="1" si="78"/>
        <v>0.33630885914819969</v>
      </c>
      <c r="S165" s="307">
        <f t="shared" ca="1" si="79"/>
        <v>7.4644927399466789</v>
      </c>
      <c r="T165" s="304">
        <f t="shared" ca="1" si="59"/>
        <v>73.226673778876929</v>
      </c>
      <c r="U165" s="311">
        <f t="shared" ca="1" si="60"/>
        <v>0</v>
      </c>
      <c r="V165" s="306">
        <f t="shared" ca="1" si="61"/>
        <v>1.2029364542497523</v>
      </c>
      <c r="W165" s="304">
        <f t="shared" ca="1" si="62"/>
        <v>187.75619251311429</v>
      </c>
      <c r="Y165" s="314" t="str">
        <f t="shared" ca="1" si="80"/>
        <v/>
      </c>
      <c r="Z165" s="315" t="str">
        <f t="shared" ca="1" si="81"/>
        <v/>
      </c>
      <c r="AA165" s="316" t="str">
        <f t="shared" ca="1" si="82"/>
        <v/>
      </c>
      <c r="AC165" s="310" t="e">
        <f t="shared" ca="1" si="83"/>
        <v>#N/A</v>
      </c>
      <c r="AD165" s="323" t="e">
        <f t="shared" ca="1" si="84"/>
        <v>#N/A</v>
      </c>
      <c r="AE165" s="324">
        <f t="shared" ca="1" si="63"/>
        <v>181.74730818534178</v>
      </c>
      <c r="AG165" s="306">
        <f t="shared" ca="1" si="85"/>
        <v>57.034073550596545</v>
      </c>
      <c r="AH165" s="304">
        <f t="shared" ca="1" si="86"/>
        <v>66.652855256795249</v>
      </c>
    </row>
    <row r="166" spans="1:34" x14ac:dyDescent="0.2">
      <c r="A166" s="347">
        <f t="shared" ca="1" si="64"/>
        <v>0.01</v>
      </c>
      <c r="B166" s="304">
        <f t="shared" ca="1" si="65"/>
        <v>1.6200000000000012</v>
      </c>
      <c r="D166" s="306">
        <f t="shared" ca="1" si="66"/>
        <v>10.883724740105833</v>
      </c>
      <c r="E166" s="307">
        <f t="shared" ca="1" si="67"/>
        <v>44.478882496779391</v>
      </c>
      <c r="F166" s="304">
        <f t="shared" ca="1" si="68"/>
        <v>45.791117614453348</v>
      </c>
      <c r="G166" s="306">
        <f t="shared" ca="1" si="69"/>
        <v>42.973943908398347</v>
      </c>
      <c r="H166" s="307">
        <f t="shared" ca="1" si="70"/>
        <v>214.25934168255586</v>
      </c>
      <c r="I166" s="304">
        <f t="shared" ca="1" si="71"/>
        <v>218.52648661726201</v>
      </c>
      <c r="J166" s="306">
        <f t="shared" ca="1" si="72"/>
        <v>35.663855068079599</v>
      </c>
      <c r="K166" s="307">
        <f t="shared" ca="1" si="73"/>
        <v>183.88767765804249</v>
      </c>
      <c r="L166" s="304">
        <f t="shared" ca="1" si="58"/>
        <v>187.3141440275804</v>
      </c>
      <c r="M166" s="306">
        <f t="shared" ca="1" si="74"/>
        <v>1.3728529845932926</v>
      </c>
      <c r="N166" s="304">
        <f t="shared" ca="1" si="75"/>
        <v>78.658681909134302</v>
      </c>
      <c r="P166" s="310">
        <f t="shared" ca="1" si="76"/>
        <v>16</v>
      </c>
      <c r="Q166" s="304">
        <f t="shared" ca="1" si="77"/>
        <v>600.89499999998975</v>
      </c>
      <c r="R166" s="306">
        <f t="shared" ca="1" si="78"/>
        <v>0.29529887983087039</v>
      </c>
      <c r="S166" s="307">
        <f t="shared" ca="1" si="79"/>
        <v>7.4615397511483703</v>
      </c>
      <c r="T166" s="304">
        <f t="shared" ca="1" si="59"/>
        <v>73.197704958765513</v>
      </c>
      <c r="U166" s="311">
        <f t="shared" ca="1" si="60"/>
        <v>0</v>
      </c>
      <c r="V166" s="306">
        <f t="shared" ca="1" si="61"/>
        <v>1.2026789874449757</v>
      </c>
      <c r="W166" s="304">
        <f t="shared" ca="1" si="62"/>
        <v>188.50448431602766</v>
      </c>
      <c r="Y166" s="314" t="str">
        <f t="shared" ca="1" si="80"/>
        <v/>
      </c>
      <c r="Z166" s="315" t="str">
        <f t="shared" ca="1" si="81"/>
        <v/>
      </c>
      <c r="AA166" s="316" t="str">
        <f t="shared" ca="1" si="82"/>
        <v/>
      </c>
      <c r="AC166" s="310" t="e">
        <f t="shared" ca="1" si="83"/>
        <v>#N/A</v>
      </c>
      <c r="AD166" s="323" t="e">
        <f t="shared" ca="1" si="84"/>
        <v>#N/A</v>
      </c>
      <c r="AE166" s="324">
        <f t="shared" ca="1" si="63"/>
        <v>183.88767765804249</v>
      </c>
      <c r="AG166" s="306">
        <f t="shared" ca="1" si="85"/>
        <v>45.750497656149911</v>
      </c>
      <c r="AH166" s="304">
        <f t="shared" ca="1" si="86"/>
        <v>55.369108959486709</v>
      </c>
    </row>
    <row r="167" spans="1:34" x14ac:dyDescent="0.2">
      <c r="A167" s="347">
        <f t="shared" ca="1" si="64"/>
        <v>0.01</v>
      </c>
      <c r="B167" s="304">
        <f t="shared" ca="1" si="65"/>
        <v>1.6300000000000012</v>
      </c>
      <c r="D167" s="306">
        <f t="shared" ca="1" si="66"/>
        <v>8.7230065076845591</v>
      </c>
      <c r="E167" s="307">
        <f t="shared" ca="1" si="67"/>
        <v>33.681135833681097</v>
      </c>
      <c r="F167" s="304">
        <f t="shared" ca="1" si="68"/>
        <v>34.792380682844687</v>
      </c>
      <c r="G167" s="306">
        <f t="shared" ca="1" si="69"/>
        <v>43.061173973475192</v>
      </c>
      <c r="H167" s="307">
        <f t="shared" ca="1" si="70"/>
        <v>214.59615304089266</v>
      </c>
      <c r="I167" s="304">
        <f t="shared" ca="1" si="71"/>
        <v>218.87387601978477</v>
      </c>
      <c r="J167" s="306">
        <f t="shared" ca="1" si="72"/>
        <v>36.094030657488965</v>
      </c>
      <c r="K167" s="307">
        <f t="shared" ca="1" si="73"/>
        <v>186.03195513165974</v>
      </c>
      <c r="L167" s="304">
        <f t="shared" ca="1" si="58"/>
        <v>189.50110126121066</v>
      </c>
      <c r="M167" s="306">
        <f t="shared" ca="1" si="74"/>
        <v>1.3727648439515334</v>
      </c>
      <c r="N167" s="304">
        <f t="shared" ca="1" si="75"/>
        <v>78.653631822357923</v>
      </c>
      <c r="P167" s="310">
        <f t="shared" ca="1" si="76"/>
        <v>17</v>
      </c>
      <c r="Q167" s="304">
        <f t="shared" ca="1" si="77"/>
        <v>519.36499999998978</v>
      </c>
      <c r="R167" s="306">
        <f t="shared" ca="1" si="78"/>
        <v>0.25523244946847556</v>
      </c>
      <c r="S167" s="307">
        <f t="shared" ca="1" si="79"/>
        <v>7.4589874266536853</v>
      </c>
      <c r="T167" s="304">
        <f t="shared" ca="1" si="59"/>
        <v>73.172666655472653</v>
      </c>
      <c r="U167" s="311">
        <f t="shared" ca="1" si="60"/>
        <v>0</v>
      </c>
      <c r="V167" s="306">
        <f t="shared" ca="1" si="61"/>
        <v>1.2024211052927269</v>
      </c>
      <c r="W167" s="304">
        <f t="shared" ca="1" si="62"/>
        <v>189.06373980409589</v>
      </c>
      <c r="Y167" s="314" t="str">
        <f t="shared" ca="1" si="80"/>
        <v/>
      </c>
      <c r="Z167" s="315" t="str">
        <f t="shared" ca="1" si="81"/>
        <v/>
      </c>
      <c r="AA167" s="316" t="str">
        <f t="shared" ca="1" si="82"/>
        <v/>
      </c>
      <c r="AC167" s="310" t="e">
        <f t="shared" ca="1" si="83"/>
        <v>#N/A</v>
      </c>
      <c r="AD167" s="323" t="e">
        <f t="shared" ca="1" si="84"/>
        <v>#N/A</v>
      </c>
      <c r="AE167" s="324">
        <f t="shared" ca="1" si="63"/>
        <v>186.03195513165974</v>
      </c>
      <c r="AG167" s="306">
        <f t="shared" ca="1" si="85"/>
        <v>34.738855233210082</v>
      </c>
      <c r="AH167" s="304">
        <f t="shared" ca="1" si="86"/>
        <v>44.357296340476019</v>
      </c>
    </row>
    <row r="168" spans="1:34" x14ac:dyDescent="0.2">
      <c r="A168" s="347">
        <f t="shared" ca="1" si="64"/>
        <v>0.01</v>
      </c>
      <c r="B168" s="304">
        <f t="shared" ca="1" si="65"/>
        <v>1.6400000000000012</v>
      </c>
      <c r="D168" s="306">
        <f t="shared" ca="1" si="66"/>
        <v>6.6141966331591133</v>
      </c>
      <c r="E168" s="307">
        <f t="shared" ca="1" si="67"/>
        <v>23.151970656124689</v>
      </c>
      <c r="F168" s="304">
        <f t="shared" ca="1" si="68"/>
        <v>24.078233788302498</v>
      </c>
      <c r="G168" s="306">
        <f t="shared" ca="1" si="69"/>
        <v>43.127315939806785</v>
      </c>
      <c r="H168" s="307">
        <f t="shared" ca="1" si="70"/>
        <v>214.8276727474539</v>
      </c>
      <c r="I168" s="304">
        <f t="shared" ca="1" si="71"/>
        <v>219.11388444883875</v>
      </c>
      <c r="J168" s="306">
        <f t="shared" ca="1" si="72"/>
        <v>36.524973107055374</v>
      </c>
      <c r="K168" s="307">
        <f t="shared" ca="1" si="73"/>
        <v>188.17907426060148</v>
      </c>
      <c r="L168" s="304">
        <f t="shared" ca="1" si="58"/>
        <v>191.69099522420996</v>
      </c>
      <c r="M168" s="306">
        <f t="shared" ca="1" si="74"/>
        <v>1.3726767611646942</v>
      </c>
      <c r="N168" s="304">
        <f t="shared" ca="1" si="75"/>
        <v>78.648585050424288</v>
      </c>
      <c r="P168" s="310">
        <f t="shared" ca="1" si="76"/>
        <v>17</v>
      </c>
      <c r="Q168" s="304">
        <f t="shared" ca="1" si="77"/>
        <v>439.75499999998891</v>
      </c>
      <c r="R168" s="306">
        <f t="shared" ca="1" si="78"/>
        <v>0.21610956806101458</v>
      </c>
      <c r="S168" s="307">
        <f t="shared" ca="1" si="79"/>
        <v>7.4568263309730751</v>
      </c>
      <c r="T168" s="304">
        <f t="shared" ca="1" si="59"/>
        <v>73.151466306845876</v>
      </c>
      <c r="U168" s="311">
        <f t="shared" ca="1" si="60"/>
        <v>0</v>
      </c>
      <c r="V168" s="306">
        <f t="shared" ca="1" si="61"/>
        <v>1.2021629362785726</v>
      </c>
      <c r="W168" s="304">
        <f t="shared" ca="1" si="62"/>
        <v>189.43792426295929</v>
      </c>
      <c r="Y168" s="314" t="str">
        <f t="shared" ca="1" si="80"/>
        <v/>
      </c>
      <c r="Z168" s="315" t="str">
        <f t="shared" ca="1" si="81"/>
        <v/>
      </c>
      <c r="AA168" s="316" t="str">
        <f t="shared" ca="1" si="82"/>
        <v/>
      </c>
      <c r="AC168" s="310" t="e">
        <f t="shared" ca="1" si="83"/>
        <v>#N/A</v>
      </c>
      <c r="AD168" s="323" t="e">
        <f t="shared" ca="1" si="84"/>
        <v>#N/A</v>
      </c>
      <c r="AE168" s="324">
        <f t="shared" ca="1" si="63"/>
        <v>188.17907426060148</v>
      </c>
      <c r="AG168" s="306">
        <f t="shared" ca="1" si="85"/>
        <v>24.000757904796181</v>
      </c>
      <c r="AH168" s="304">
        <f t="shared" ca="1" si="86"/>
        <v>33.619028936560895</v>
      </c>
    </row>
    <row r="169" spans="1:34" x14ac:dyDescent="0.2">
      <c r="A169" s="347">
        <f t="shared" ca="1" si="64"/>
        <v>0.01</v>
      </c>
      <c r="B169" s="304">
        <f t="shared" ca="1" si="65"/>
        <v>1.6500000000000012</v>
      </c>
      <c r="D169" s="306">
        <f t="shared" ca="1" si="66"/>
        <v>5.0147878471472227</v>
      </c>
      <c r="E169" s="307">
        <f t="shared" ca="1" si="67"/>
        <v>15.169880594203255</v>
      </c>
      <c r="F169" s="304">
        <f t="shared" ca="1" si="68"/>
        <v>15.97727681409695</v>
      </c>
      <c r="G169" s="306">
        <f t="shared" ca="1" si="69"/>
        <v>43.177463818278255</v>
      </c>
      <c r="H169" s="307">
        <f t="shared" ca="1" si="70"/>
        <v>214.97937155339594</v>
      </c>
      <c r="I169" s="304">
        <f t="shared" ca="1" si="71"/>
        <v>219.27248704584846</v>
      </c>
      <c r="J169" s="306">
        <f t="shared" ca="1" si="72"/>
        <v>36.956497005845797</v>
      </c>
      <c r="K169" s="307">
        <f t="shared" ca="1" si="73"/>
        <v>190.32810948210573</v>
      </c>
      <c r="L169" s="304">
        <f t="shared" ca="1" si="58"/>
        <v>193.88288199316492</v>
      </c>
      <c r="M169" s="306">
        <f t="shared" ca="1" si="74"/>
        <v>1.3725887034525579</v>
      </c>
      <c r="N169" s="304">
        <f t="shared" ca="1" si="75"/>
        <v>78.643539715165289</v>
      </c>
      <c r="P169" s="310">
        <f t="shared" ca="1" si="76"/>
        <v>18</v>
      </c>
      <c r="Q169" s="304">
        <f t="shared" ca="1" si="77"/>
        <v>379.37749999999403</v>
      </c>
      <c r="R169" s="306">
        <f t="shared" ca="1" si="78"/>
        <v>0.18643814773468939</v>
      </c>
      <c r="S169" s="307">
        <f t="shared" ca="1" si="79"/>
        <v>7.4549619494957282</v>
      </c>
      <c r="T169" s="304">
        <f t="shared" ca="1" si="59"/>
        <v>73.133176724553095</v>
      </c>
      <c r="U169" s="311">
        <f t="shared" ca="1" si="60"/>
        <v>0</v>
      </c>
      <c r="V169" s="306">
        <f t="shared" ca="1" si="61"/>
        <v>1.2019045918569216</v>
      </c>
      <c r="W169" s="304">
        <f t="shared" ca="1" si="62"/>
        <v>189.67149852854428</v>
      </c>
      <c r="Y169" s="314" t="str">
        <f t="shared" ca="1" si="80"/>
        <v/>
      </c>
      <c r="Z169" s="315" t="str">
        <f t="shared" ca="1" si="81"/>
        <v/>
      </c>
      <c r="AA169" s="316" t="str">
        <f t="shared" ca="1" si="82"/>
        <v/>
      </c>
      <c r="AC169" s="310" t="e">
        <f t="shared" ca="1" si="83"/>
        <v>#N/A</v>
      </c>
      <c r="AD169" s="323" t="e">
        <f t="shared" ca="1" si="84"/>
        <v>#N/A</v>
      </c>
      <c r="AE169" s="324">
        <f t="shared" ca="1" si="63"/>
        <v>190.32810948210573</v>
      </c>
      <c r="AG169" s="306">
        <f t="shared" ca="1" si="85"/>
        <v>15.860174687268149</v>
      </c>
      <c r="AH169" s="304">
        <f t="shared" ca="1" si="86"/>
        <v>25.478275680519431</v>
      </c>
    </row>
    <row r="170" spans="1:34" x14ac:dyDescent="0.2">
      <c r="A170" s="347">
        <f t="shared" ca="1" si="64"/>
        <v>0.01</v>
      </c>
      <c r="B170" s="304">
        <f t="shared" ca="1" si="65"/>
        <v>1.6600000000000013</v>
      </c>
      <c r="D170" s="306">
        <f t="shared" ca="1" si="66"/>
        <v>3.9249056032949383</v>
      </c>
      <c r="E170" s="307">
        <f t="shared" ca="1" si="67"/>
        <v>9.7319940261881488</v>
      </c>
      <c r="F170" s="304">
        <f t="shared" ca="1" si="68"/>
        <v>10.49364530182614</v>
      </c>
      <c r="G170" s="306">
        <f t="shared" ca="1" si="69"/>
        <v>43.216712874311206</v>
      </c>
      <c r="H170" s="307">
        <f t="shared" ca="1" si="70"/>
        <v>215.07669149365782</v>
      </c>
      <c r="I170" s="304">
        <f t="shared" ca="1" si="71"/>
        <v>219.37563104300969</v>
      </c>
      <c r="J170" s="306">
        <f t="shared" ca="1" si="72"/>
        <v>37.388467889308743</v>
      </c>
      <c r="K170" s="307">
        <f t="shared" ca="1" si="73"/>
        <v>192.47838979734101</v>
      </c>
      <c r="L170" s="304">
        <f t="shared" ca="1" si="58"/>
        <v>196.07607725086459</v>
      </c>
      <c r="M170" s="306">
        <f t="shared" ca="1" si="74"/>
        <v>1.3725006485357163</v>
      </c>
      <c r="N170" s="304">
        <f t="shared" ca="1" si="75"/>
        <v>78.638494540064897</v>
      </c>
      <c r="P170" s="310">
        <f t="shared" ca="1" si="76"/>
        <v>18</v>
      </c>
      <c r="Q170" s="304">
        <f t="shared" ca="1" si="77"/>
        <v>338.23249999999405</v>
      </c>
      <c r="R170" s="306">
        <f t="shared" ca="1" si="78"/>
        <v>0.16621818848949454</v>
      </c>
      <c r="S170" s="307">
        <f t="shared" ca="1" si="79"/>
        <v>7.453299767610833</v>
      </c>
      <c r="T170" s="304">
        <f t="shared" ca="1" si="59"/>
        <v>73.11687072026227</v>
      </c>
      <c r="U170" s="311">
        <f t="shared" ca="1" si="60"/>
        <v>0</v>
      </c>
      <c r="V170" s="306">
        <f t="shared" ca="1" si="61"/>
        <v>1.2016461527951046</v>
      </c>
      <c r="W170" s="304">
        <f t="shared" ca="1" si="62"/>
        <v>189.80915794468362</v>
      </c>
      <c r="Y170" s="314" t="str">
        <f t="shared" ca="1" si="80"/>
        <v/>
      </c>
      <c r="Z170" s="315" t="str">
        <f t="shared" ca="1" si="81"/>
        <v/>
      </c>
      <c r="AA170" s="316" t="str">
        <f t="shared" ca="1" si="82"/>
        <v/>
      </c>
      <c r="AC170" s="310" t="e">
        <f t="shared" ca="1" si="83"/>
        <v>#N/A</v>
      </c>
      <c r="AD170" s="323" t="e">
        <f t="shared" ca="1" si="84"/>
        <v>#N/A</v>
      </c>
      <c r="AE170" s="324">
        <f t="shared" ca="1" si="63"/>
        <v>192.47838979734101</v>
      </c>
      <c r="AG170" s="306">
        <f t="shared" ca="1" si="85"/>
        <v>10.314314667826341</v>
      </c>
      <c r="AH170" s="304">
        <f t="shared" ca="1" si="86"/>
        <v>19.932245596378479</v>
      </c>
    </row>
    <row r="171" spans="1:34" x14ac:dyDescent="0.2">
      <c r="A171" s="347">
        <f t="shared" ca="1" si="64"/>
        <v>0.01</v>
      </c>
      <c r="B171" s="304">
        <f t="shared" ca="1" si="65"/>
        <v>1.6700000000000013</v>
      </c>
      <c r="D171" s="306">
        <f t="shared" ca="1" si="66"/>
        <v>2.4495815069466338</v>
      </c>
      <c r="E171" s="307">
        <f t="shared" ca="1" si="67"/>
        <v>2.3808366235623222</v>
      </c>
      <c r="F171" s="304">
        <f t="shared" ca="1" si="68"/>
        <v>3.4159672989170402</v>
      </c>
      <c r="G171" s="306">
        <f t="shared" ca="1" si="69"/>
        <v>43.24120868938067</v>
      </c>
      <c r="H171" s="307">
        <f t="shared" ca="1" si="70"/>
        <v>215.10049985989343</v>
      </c>
      <c r="I171" s="304">
        <f t="shared" ca="1" si="71"/>
        <v>219.40379934926966</v>
      </c>
      <c r="J171" s="306">
        <f t="shared" ca="1" si="72"/>
        <v>37.820757497127204</v>
      </c>
      <c r="K171" s="307">
        <f t="shared" ca="1" si="73"/>
        <v>194.62927575410876</v>
      </c>
      <c r="L171" s="304">
        <f t="shared" ca="1" si="58"/>
        <v>198.26992882992977</v>
      </c>
      <c r="M171" s="306">
        <f t="shared" ca="1" si="74"/>
        <v>1.3724125663238673</v>
      </c>
      <c r="N171" s="304">
        <f t="shared" ca="1" si="75"/>
        <v>78.633447801075775</v>
      </c>
      <c r="P171" s="310">
        <f t="shared" ca="1" si="76"/>
        <v>19</v>
      </c>
      <c r="Q171" s="304">
        <f t="shared" ca="1" si="77"/>
        <v>282.46999999998985</v>
      </c>
      <c r="R171" s="306">
        <f t="shared" ca="1" si="78"/>
        <v>0.13881472567723876</v>
      </c>
      <c r="S171" s="307">
        <f t="shared" ca="1" si="79"/>
        <v>7.4519116203540605</v>
      </c>
      <c r="T171" s="304">
        <f t="shared" ca="1" si="59"/>
        <v>73.103252995673344</v>
      </c>
      <c r="U171" s="311">
        <f t="shared" ca="1" si="60"/>
        <v>0</v>
      </c>
      <c r="V171" s="306">
        <f t="shared" ca="1" si="61"/>
        <v>1.201387696001428</v>
      </c>
      <c r="W171" s="304">
        <f t="shared" ca="1" si="62"/>
        <v>189.81706918526353</v>
      </c>
      <c r="Y171" s="314" t="str">
        <f t="shared" ca="1" si="80"/>
        <v/>
      </c>
      <c r="Z171" s="315" t="str">
        <f t="shared" ca="1" si="81"/>
        <v/>
      </c>
      <c r="AA171" s="316" t="str">
        <f t="shared" ca="1" si="82"/>
        <v/>
      </c>
      <c r="AC171" s="310" t="e">
        <f t="shared" ca="1" si="83"/>
        <v>#N/A</v>
      </c>
      <c r="AD171" s="323" t="e">
        <f t="shared" ca="1" si="84"/>
        <v>#N/A</v>
      </c>
      <c r="AE171" s="324">
        <f t="shared" ca="1" si="63"/>
        <v>194.62927575410876</v>
      </c>
      <c r="AG171" s="306">
        <f t="shared" ca="1" si="85"/>
        <v>2.8167455140425499</v>
      </c>
      <c r="AH171" s="304">
        <f t="shared" ca="1" si="86"/>
        <v>12.43450630871863</v>
      </c>
    </row>
    <row r="172" spans="1:34" x14ac:dyDescent="0.2">
      <c r="A172" s="347">
        <f t="shared" ca="1" si="64"/>
        <v>0.01</v>
      </c>
      <c r="B172" s="304">
        <f t="shared" ca="1" si="65"/>
        <v>1.6800000000000013</v>
      </c>
      <c r="D172" s="306">
        <f t="shared" ca="1" si="66"/>
        <v>0.86887595694169673</v>
      </c>
      <c r="E172" s="307">
        <f t="shared" ca="1" si="67"/>
        <v>-5.4878346785597456</v>
      </c>
      <c r="F172" s="304">
        <f t="shared" ca="1" si="68"/>
        <v>5.5561924811649837</v>
      </c>
      <c r="G172" s="306">
        <f t="shared" ca="1" si="69"/>
        <v>43.249897448950087</v>
      </c>
      <c r="H172" s="307">
        <f t="shared" ca="1" si="70"/>
        <v>215.04562151310785</v>
      </c>
      <c r="I172" s="304">
        <f t="shared" ca="1" si="71"/>
        <v>219.35171064138873</v>
      </c>
      <c r="J172" s="306">
        <f t="shared" ca="1" si="72"/>
        <v>38.253213027818859</v>
      </c>
      <c r="K172" s="307">
        <f t="shared" ca="1" si="73"/>
        <v>196.78000636097377</v>
      </c>
      <c r="L172" s="304">
        <f t="shared" ca="1" si="58"/>
        <v>200.46366057312372</v>
      </c>
      <c r="M172" s="306">
        <f t="shared" ca="1" si="74"/>
        <v>1.372324424574985</v>
      </c>
      <c r="N172" s="304">
        <f t="shared" ca="1" si="75"/>
        <v>78.628397650865921</v>
      </c>
      <c r="P172" s="310">
        <f t="shared" ca="1" si="76"/>
        <v>20</v>
      </c>
      <c r="Q172" s="304">
        <f t="shared" ca="1" si="77"/>
        <v>222.66499999999292</v>
      </c>
      <c r="R172" s="306">
        <f t="shared" ca="1" si="78"/>
        <v>0.10942465002627712</v>
      </c>
      <c r="S172" s="307">
        <f t="shared" ca="1" si="79"/>
        <v>7.4508173738537975</v>
      </c>
      <c r="T172" s="304">
        <f t="shared" ca="1" si="59"/>
        <v>73.09251843750576</v>
      </c>
      <c r="U172" s="311">
        <f t="shared" ca="1" si="60"/>
        <v>0</v>
      </c>
      <c r="V172" s="306">
        <f t="shared" ca="1" si="61"/>
        <v>1.2011293129185672</v>
      </c>
      <c r="W172" s="304">
        <f t="shared" ca="1" si="62"/>
        <v>189.68614617850434</v>
      </c>
      <c r="Y172" s="314" t="str">
        <f t="shared" ca="1" si="80"/>
        <v/>
      </c>
      <c r="Z172" s="315" t="str">
        <f t="shared" ca="1" si="81"/>
        <v/>
      </c>
      <c r="AA172" s="316" t="str">
        <f t="shared" ca="1" si="82"/>
        <v/>
      </c>
      <c r="AC172" s="310" t="e">
        <f t="shared" ca="1" si="83"/>
        <v>#N/A</v>
      </c>
      <c r="AD172" s="323" t="e">
        <f t="shared" ca="1" si="84"/>
        <v>#N/A</v>
      </c>
      <c r="AE172" s="324">
        <f t="shared" ca="1" si="63"/>
        <v>196.78000636097377</v>
      </c>
      <c r="AG172" s="306">
        <f t="shared" ca="1" si="85"/>
        <v>-5.2089559949143238</v>
      </c>
      <c r="AH172" s="304">
        <f t="shared" ca="1" si="86"/>
        <v>4.408634538540487</v>
      </c>
    </row>
    <row r="173" spans="1:34" x14ac:dyDescent="0.2">
      <c r="A173" s="347">
        <f t="shared" ca="1" si="64"/>
        <v>0.01</v>
      </c>
      <c r="B173" s="304">
        <f t="shared" ca="1" si="65"/>
        <v>1.6900000000000013</v>
      </c>
      <c r="D173" s="306">
        <f t="shared" ca="1" si="66"/>
        <v>-1.508821681264821</v>
      </c>
      <c r="E173" s="307">
        <f t="shared" ca="1" si="67"/>
        <v>-17.312110186111486</v>
      </c>
      <c r="F173" s="304">
        <f t="shared" ca="1" si="68"/>
        <v>17.377735812294993</v>
      </c>
      <c r="G173" s="306">
        <f t="shared" ca="1" si="69"/>
        <v>43.234809232137437</v>
      </c>
      <c r="H173" s="307">
        <f t="shared" ca="1" si="70"/>
        <v>214.87250041124673</v>
      </c>
      <c r="I173" s="304">
        <f t="shared" ca="1" si="71"/>
        <v>219.17901396420356</v>
      </c>
      <c r="J173" s="306">
        <f t="shared" ca="1" si="72"/>
        <v>38.6856365612243</v>
      </c>
      <c r="K173" s="307">
        <f t="shared" ca="1" si="73"/>
        <v>198.92959697059555</v>
      </c>
      <c r="L173" s="304">
        <f t="shared" ca="1" si="58"/>
        <v>202.65626816615054</v>
      </c>
      <c r="M173" s="306">
        <f t="shared" ca="1" si="74"/>
        <v>1.3722361747006753</v>
      </c>
      <c r="N173" s="304">
        <f t="shared" ca="1" si="75"/>
        <v>78.6233413055254</v>
      </c>
      <c r="P173" s="310">
        <f t="shared" ca="1" si="76"/>
        <v>21</v>
      </c>
      <c r="Q173" s="304">
        <f t="shared" ca="1" si="77"/>
        <v>132.67499999998114</v>
      </c>
      <c r="R173" s="306">
        <f t="shared" ca="1" si="78"/>
        <v>6.5200707081196935E-2</v>
      </c>
      <c r="S173" s="307">
        <f t="shared" ca="1" si="79"/>
        <v>7.4501653667829855</v>
      </c>
      <c r="T173" s="304">
        <f t="shared" ca="1" si="59"/>
        <v>73.086122248141095</v>
      </c>
      <c r="U173" s="311">
        <f t="shared" ca="1" si="60"/>
        <v>0</v>
      </c>
      <c r="V173" s="306">
        <f t="shared" ca="1" si="61"/>
        <v>1.2008711217721628</v>
      </c>
      <c r="W173" s="304">
        <f t="shared" ca="1" si="62"/>
        <v>189.34687190425458</v>
      </c>
      <c r="Y173" s="314" t="str">
        <f t="shared" ca="1" si="80"/>
        <v/>
      </c>
      <c r="Z173" s="315" t="str">
        <f t="shared" ca="1" si="81"/>
        <v/>
      </c>
      <c r="AA173" s="316" t="str">
        <f t="shared" ca="1" si="82"/>
        <v/>
      </c>
      <c r="AC173" s="310" t="e">
        <f t="shared" ca="1" si="83"/>
        <v>#N/A</v>
      </c>
      <c r="AD173" s="323" t="e">
        <f t="shared" ca="1" si="84"/>
        <v>#N/A</v>
      </c>
      <c r="AE173" s="324">
        <f t="shared" ca="1" si="63"/>
        <v>198.92959697059555</v>
      </c>
      <c r="AG173" s="306">
        <f t="shared" ca="1" si="85"/>
        <v>-17.269753067266176</v>
      </c>
      <c r="AH173" s="304">
        <f t="shared" ca="1" si="86"/>
        <v>-7.6523329848100907</v>
      </c>
    </row>
    <row r="174" spans="1:34" x14ac:dyDescent="0.2">
      <c r="A174" s="347">
        <f t="shared" ca="1" si="64"/>
        <v>0.01</v>
      </c>
      <c r="B174" s="304">
        <f t="shared" ca="1" si="65"/>
        <v>1.7000000000000013</v>
      </c>
      <c r="D174" s="306">
        <f t="shared" ca="1" si="66"/>
        <v>-4.1224765390933724</v>
      </c>
      <c r="E174" s="307">
        <f t="shared" ca="1" si="67"/>
        <v>-30.298279179991269</v>
      </c>
      <c r="F174" s="304">
        <f t="shared" ca="1" si="68"/>
        <v>30.57745139942287</v>
      </c>
      <c r="G174" s="306">
        <f t="shared" ca="1" si="69"/>
        <v>43.193584466746501</v>
      </c>
      <c r="H174" s="307">
        <f t="shared" ca="1" si="70"/>
        <v>214.56951761944683</v>
      </c>
      <c r="I174" s="304">
        <f t="shared" ca="1" si="71"/>
        <v>218.87385323635181</v>
      </c>
      <c r="J174" s="306">
        <f t="shared" ca="1" si="72"/>
        <v>39.11777852971872</v>
      </c>
      <c r="K174" s="307">
        <f t="shared" ca="1" si="73"/>
        <v>201.07680706074902</v>
      </c>
      <c r="L174" s="304">
        <f t="shared" ca="1" si="58"/>
        <v>204.84648626433847</v>
      </c>
      <c r="M174" s="306">
        <f t="shared" ca="1" si="74"/>
        <v>1.3721477630085819</v>
      </c>
      <c r="N174" s="304">
        <f t="shared" ca="1" si="75"/>
        <v>78.618275688708849</v>
      </c>
      <c r="P174" s="310">
        <f t="shared" ca="1" si="76"/>
        <v>22</v>
      </c>
      <c r="Q174" s="304">
        <f t="shared" ca="1" si="77"/>
        <v>33.649999999990285</v>
      </c>
      <c r="R174" s="306">
        <f t="shared" ca="1" si="78"/>
        <v>1.6536678298714566E-2</v>
      </c>
      <c r="S174" s="307">
        <f t="shared" ca="1" si="79"/>
        <v>7.4499999999999984</v>
      </c>
      <c r="T174" s="304">
        <f t="shared" ca="1" si="59"/>
        <v>73.084499999999991</v>
      </c>
      <c r="U174" s="311">
        <f t="shared" ca="1" si="60"/>
        <v>0</v>
      </c>
      <c r="V174" s="306">
        <f t="shared" ca="1" si="61"/>
        <v>1.2006132714110247</v>
      </c>
      <c r="W174" s="304">
        <f t="shared" ca="1" si="62"/>
        <v>188.77944415246205</v>
      </c>
      <c r="Y174" s="314" t="str">
        <f t="shared" ca="1" si="80"/>
        <v/>
      </c>
      <c r="Z174" s="315" t="str">
        <f t="shared" ca="1" si="81"/>
        <v/>
      </c>
      <c r="AA174" s="316" t="str">
        <f t="shared" ca="1" si="82"/>
        <v/>
      </c>
      <c r="AC174" s="310" t="e">
        <f t="shared" ca="1" si="83"/>
        <v>#N/A</v>
      </c>
      <c r="AD174" s="323" t="e">
        <f t="shared" ca="1" si="84"/>
        <v>#N/A</v>
      </c>
      <c r="AE174" s="324">
        <f t="shared" ca="1" si="63"/>
        <v>201.07680706074902</v>
      </c>
      <c r="AG174" s="306">
        <f t="shared" ca="1" si="85"/>
        <v>-30.516158327944556</v>
      </c>
      <c r="AH174" s="304">
        <f t="shared" ca="1" si="86"/>
        <v>-20.898908980438165</v>
      </c>
    </row>
    <row r="175" spans="1:34" x14ac:dyDescent="0.2">
      <c r="A175" s="347">
        <f t="shared" ca="1" si="64"/>
        <v>0.01</v>
      </c>
      <c r="B175" s="304">
        <f t="shared" ca="1" si="65"/>
        <v>1.7100000000000013</v>
      </c>
      <c r="D175" s="306">
        <f t="shared" ca="1" si="66"/>
        <v>-5.000619297933147</v>
      </c>
      <c r="E175" s="307">
        <f t="shared" ca="1" si="67"/>
        <v>-34.65120000233064</v>
      </c>
      <c r="F175" s="304">
        <f t="shared" ca="1" si="68"/>
        <v>35.010167879694329</v>
      </c>
      <c r="G175" s="306">
        <f t="shared" ca="1" si="69"/>
        <v>43.143578273767169</v>
      </c>
      <c r="H175" s="307">
        <f t="shared" ca="1" si="70"/>
        <v>214.22300561942353</v>
      </c>
      <c r="I175" s="304">
        <f t="shared" ca="1" si="71"/>
        <v>218.52428808460684</v>
      </c>
      <c r="J175" s="306">
        <f t="shared" ca="1" si="72"/>
        <v>39.549464343421292</v>
      </c>
      <c r="K175" s="307">
        <f t="shared" ca="1" si="73"/>
        <v>203.22076967694338</v>
      </c>
      <c r="L175" s="304">
        <f t="shared" ca="1" si="58"/>
        <v>207.03343053222304</v>
      </c>
      <c r="M175" s="306">
        <f t="shared" ca="1" si="74"/>
        <v>1.3720591709779812</v>
      </c>
      <c r="N175" s="304">
        <f t="shared" ca="1" si="75"/>
        <v>78.613199739256928</v>
      </c>
      <c r="P175" s="310">
        <f t="shared" ca="1" si="76"/>
        <v>23</v>
      </c>
      <c r="Q175" s="304">
        <f t="shared" ca="1" si="77"/>
        <v>0</v>
      </c>
      <c r="R175" s="306">
        <f t="shared" ca="1" si="78"/>
        <v>0</v>
      </c>
      <c r="S175" s="307">
        <f t="shared" ca="1" si="79"/>
        <v>7.4499999999999984</v>
      </c>
      <c r="T175" s="304">
        <f t="shared" ca="1" si="59"/>
        <v>73.084499999999991</v>
      </c>
      <c r="U175" s="311">
        <f t="shared" ca="1" si="60"/>
        <v>0</v>
      </c>
      <c r="V175" s="306">
        <f t="shared" ca="1" si="61"/>
        <v>1.2003558657114812</v>
      </c>
      <c r="W175" s="304">
        <f t="shared" ca="1" si="62"/>
        <v>188.13657918795121</v>
      </c>
      <c r="Y175" s="314" t="str">
        <f t="shared" ca="1" si="80"/>
        <v>Fin de propulsion</v>
      </c>
      <c r="Z175" s="315" t="str">
        <f t="shared" ca="1" si="81"/>
        <v/>
      </c>
      <c r="AA175" s="316" t="str">
        <f t="shared" ca="1" si="82"/>
        <v/>
      </c>
      <c r="AC175" s="310" t="e">
        <f t="shared" ca="1" si="83"/>
        <v>#N/A</v>
      </c>
      <c r="AD175" s="323" t="e">
        <f t="shared" ca="1" si="84"/>
        <v>#N/A</v>
      </c>
      <c r="AE175" s="324">
        <f t="shared" ca="1" si="63"/>
        <v>203.22076967694338</v>
      </c>
      <c r="AG175" s="306">
        <f t="shared" ca="1" si="85"/>
        <v>-34.956600929414456</v>
      </c>
      <c r="AH175" s="304">
        <f t="shared" ca="1" si="86"/>
        <v>-25.339522705028468</v>
      </c>
    </row>
    <row r="176" spans="1:34" x14ac:dyDescent="0.2">
      <c r="A176" s="347">
        <f t="shared" ca="1" si="64"/>
        <v>0.01</v>
      </c>
      <c r="B176" s="304">
        <f t="shared" ca="1" si="65"/>
        <v>1.7200000000000013</v>
      </c>
      <c r="D176" s="306">
        <f t="shared" ca="1" si="66"/>
        <v>-4.9857835280939717</v>
      </c>
      <c r="E176" s="307">
        <f t="shared" ca="1" si="67"/>
        <v>-34.56616477564004</v>
      </c>
      <c r="F176" s="304">
        <f t="shared" ca="1" si="68"/>
        <v>34.923885589746618</v>
      </c>
      <c r="G176" s="306">
        <f t="shared" ca="1" si="69"/>
        <v>43.09372043848623</v>
      </c>
      <c r="H176" s="307">
        <f t="shared" ca="1" si="70"/>
        <v>213.87734397166713</v>
      </c>
      <c r="I176" s="304">
        <f t="shared" ca="1" si="71"/>
        <v>218.17558755645697</v>
      </c>
      <c r="J176" s="306">
        <f t="shared" ca="1" si="72"/>
        <v>39.980650836982562</v>
      </c>
      <c r="K176" s="307">
        <f t="shared" ca="1" si="73"/>
        <v>205.36127142489883</v>
      </c>
      <c r="L176" s="304">
        <f t="shared" ca="1" si="58"/>
        <v>209.21688326375499</v>
      </c>
      <c r="M176" s="306">
        <f t="shared" ca="1" si="74"/>
        <v>1.3719703983039948</v>
      </c>
      <c r="N176" s="304">
        <f t="shared" ca="1" si="75"/>
        <v>78.608113439701427</v>
      </c>
      <c r="P176" s="310">
        <f t="shared" ca="1" si="76"/>
        <v>23</v>
      </c>
      <c r="Q176" s="304">
        <f t="shared" ca="1" si="77"/>
        <v>0</v>
      </c>
      <c r="R176" s="306">
        <f t="shared" ca="1" si="78"/>
        <v>0</v>
      </c>
      <c r="S176" s="307">
        <f t="shared" ca="1" si="79"/>
        <v>7.4499999999999984</v>
      </c>
      <c r="T176" s="304">
        <f t="shared" ca="1" si="59"/>
        <v>73.084499999999991</v>
      </c>
      <c r="U176" s="311">
        <f t="shared" ca="1" si="60"/>
        <v>0</v>
      </c>
      <c r="V176" s="306">
        <f t="shared" ca="1" si="61"/>
        <v>1.2000989300199967</v>
      </c>
      <c r="W176" s="304">
        <f t="shared" ca="1" si="62"/>
        <v>187.49649473950598</v>
      </c>
      <c r="Y176" s="314" t="str">
        <f t="shared" ca="1" si="80"/>
        <v/>
      </c>
      <c r="Z176" s="315" t="str">
        <f t="shared" ca="1" si="81"/>
        <v/>
      </c>
      <c r="AA176" s="316" t="str">
        <f t="shared" ca="1" si="82"/>
        <v/>
      </c>
      <c r="AC176" s="310" t="e">
        <f t="shared" ca="1" si="83"/>
        <v>#N/A</v>
      </c>
      <c r="AD176" s="323" t="e">
        <f t="shared" ca="1" si="84"/>
        <v>#N/A</v>
      </c>
      <c r="AE176" s="324">
        <f t="shared" ca="1" si="63"/>
        <v>205.36127142489883</v>
      </c>
      <c r="AG176" s="306">
        <f t="shared" ca="1" si="85"/>
        <v>-34.870138782577726</v>
      </c>
      <c r="AH176" s="304">
        <f t="shared" ca="1" si="86"/>
        <v>-25.253232105765267</v>
      </c>
    </row>
    <row r="177" spans="1:34" x14ac:dyDescent="0.2">
      <c r="A177" s="347">
        <f t="shared" ca="1" si="64"/>
        <v>0.01</v>
      </c>
      <c r="B177" s="304">
        <f t="shared" ca="1" si="65"/>
        <v>1.7300000000000013</v>
      </c>
      <c r="D177" s="306">
        <f t="shared" ca="1" si="66"/>
        <v>-4.9710109060079297</v>
      </c>
      <c r="E177" s="307">
        <f t="shared" ca="1" si="67"/>
        <v>-34.481497346087899</v>
      </c>
      <c r="F177" s="304">
        <f t="shared" ca="1" si="68"/>
        <v>34.837976529297976</v>
      </c>
      <c r="G177" s="306">
        <f t="shared" ca="1" si="69"/>
        <v>43.04401032942615</v>
      </c>
      <c r="H177" s="307">
        <f t="shared" ca="1" si="70"/>
        <v>213.53252899820626</v>
      </c>
      <c r="I177" s="304">
        <f t="shared" ca="1" si="71"/>
        <v>217.82774792392621</v>
      </c>
      <c r="J177" s="306">
        <f t="shared" ca="1" si="72"/>
        <v>40.411339490822122</v>
      </c>
      <c r="K177" s="307">
        <f t="shared" ca="1" si="73"/>
        <v>207.49832078974819</v>
      </c>
      <c r="L177" s="304">
        <f t="shared" ca="1" si="58"/>
        <v>211.39685307498721</v>
      </c>
      <c r="M177" s="306">
        <f t="shared" ca="1" si="74"/>
        <v>1.3718814446807779</v>
      </c>
      <c r="N177" s="304">
        <f t="shared" ca="1" si="75"/>
        <v>78.6030167725187</v>
      </c>
      <c r="P177" s="310">
        <f t="shared" ca="1" si="76"/>
        <v>23</v>
      </c>
      <c r="Q177" s="304">
        <f t="shared" ca="1" si="77"/>
        <v>0</v>
      </c>
      <c r="R177" s="306">
        <f t="shared" ca="1" si="78"/>
        <v>0</v>
      </c>
      <c r="S177" s="307">
        <f t="shared" ca="1" si="79"/>
        <v>7.4499999999999984</v>
      </c>
      <c r="T177" s="304">
        <f t="shared" ca="1" si="59"/>
        <v>73.084499999999991</v>
      </c>
      <c r="U177" s="311">
        <f t="shared" ca="1" si="60"/>
        <v>0</v>
      </c>
      <c r="V177" s="306">
        <f t="shared" ca="1" si="61"/>
        <v>1.199842463037007</v>
      </c>
      <c r="W177" s="304">
        <f t="shared" ca="1" si="62"/>
        <v>186.85917480735725</v>
      </c>
      <c r="Y177" s="314" t="str">
        <f t="shared" ca="1" si="80"/>
        <v/>
      </c>
      <c r="Z177" s="315" t="str">
        <f t="shared" ca="1" si="81"/>
        <v/>
      </c>
      <c r="AA177" s="316" t="str">
        <f t="shared" ca="1" si="82"/>
        <v/>
      </c>
      <c r="AC177" s="310" t="e">
        <f t="shared" ca="1" si="83"/>
        <v>#N/A</v>
      </c>
      <c r="AD177" s="323" t="e">
        <f t="shared" ca="1" si="84"/>
        <v>#N/A</v>
      </c>
      <c r="AE177" s="324">
        <f t="shared" ca="1" si="63"/>
        <v>207.49832078974819</v>
      </c>
      <c r="AG177" s="306">
        <f t="shared" ca="1" si="85"/>
        <v>-34.7840494338705</v>
      </c>
      <c r="AH177" s="304">
        <f t="shared" ca="1" si="86"/>
        <v>-25.167314730135036</v>
      </c>
    </row>
    <row r="178" spans="1:34" x14ac:dyDescent="0.2">
      <c r="A178" s="347">
        <f t="shared" ca="1" si="64"/>
        <v>0.01</v>
      </c>
      <c r="B178" s="304">
        <f t="shared" ca="1" si="65"/>
        <v>1.7400000000000013</v>
      </c>
      <c r="D178" s="306">
        <f t="shared" ca="1" si="66"/>
        <v>-4.9563010667517267</v>
      </c>
      <c r="E178" s="307">
        <f t="shared" ca="1" si="67"/>
        <v>-34.397195597258197</v>
      </c>
      <c r="F178" s="304">
        <f t="shared" ca="1" si="68"/>
        <v>34.752438550702067</v>
      </c>
      <c r="G178" s="306">
        <f t="shared" ca="1" si="69"/>
        <v>42.994447318758631</v>
      </c>
      <c r="H178" s="307">
        <f t="shared" ca="1" si="70"/>
        <v>213.18855704223367</v>
      </c>
      <c r="I178" s="304">
        <f t="shared" ca="1" si="71"/>
        <v>217.48076548052526</v>
      </c>
      <c r="J178" s="306">
        <f t="shared" ca="1" si="72"/>
        <v>40.841531779063047</v>
      </c>
      <c r="K178" s="307">
        <f t="shared" ca="1" si="73"/>
        <v>209.6319262199504</v>
      </c>
      <c r="L178" s="304">
        <f t="shared" ca="1" si="58"/>
        <v>213.57334854505359</v>
      </c>
      <c r="M178" s="306">
        <f t="shared" ca="1" si="74"/>
        <v>1.3717923098015186</v>
      </c>
      <c r="N178" s="304">
        <f t="shared" ca="1" si="75"/>
        <v>78.597909720129721</v>
      </c>
      <c r="P178" s="310">
        <f t="shared" ca="1" si="76"/>
        <v>23</v>
      </c>
      <c r="Q178" s="304">
        <f t="shared" ca="1" si="77"/>
        <v>0</v>
      </c>
      <c r="R178" s="306">
        <f t="shared" ca="1" si="78"/>
        <v>0</v>
      </c>
      <c r="S178" s="307">
        <f t="shared" ca="1" si="79"/>
        <v>7.4499999999999984</v>
      </c>
      <c r="T178" s="304">
        <f t="shared" ca="1" si="59"/>
        <v>73.084499999999991</v>
      </c>
      <c r="U178" s="311">
        <f t="shared" ca="1" si="60"/>
        <v>0</v>
      </c>
      <c r="V178" s="306">
        <f t="shared" ca="1" si="61"/>
        <v>1.1995864634688109</v>
      </c>
      <c r="W178" s="304">
        <f t="shared" ca="1" si="62"/>
        <v>186.22460350771721</v>
      </c>
      <c r="Y178" s="314" t="str">
        <f t="shared" ca="1" si="80"/>
        <v/>
      </c>
      <c r="Z178" s="315" t="str">
        <f t="shared" ca="1" si="81"/>
        <v/>
      </c>
      <c r="AA178" s="316" t="str">
        <f t="shared" ca="1" si="82"/>
        <v/>
      </c>
      <c r="AC178" s="310" t="e">
        <f t="shared" ca="1" si="83"/>
        <v>#N/A</v>
      </c>
      <c r="AD178" s="323" t="e">
        <f t="shared" ca="1" si="84"/>
        <v>#N/A</v>
      </c>
      <c r="AE178" s="324">
        <f t="shared" ca="1" si="63"/>
        <v>209.6319262199504</v>
      </c>
      <c r="AG178" s="306">
        <f t="shared" ca="1" si="85"/>
        <v>-34.698330734618573</v>
      </c>
      <c r="AH178" s="304">
        <f t="shared" ca="1" si="86"/>
        <v>-25.081768430517759</v>
      </c>
    </row>
    <row r="179" spans="1:34" x14ac:dyDescent="0.2">
      <c r="A179" s="347">
        <f t="shared" ca="1" si="64"/>
        <v>0.01</v>
      </c>
      <c r="B179" s="304">
        <f t="shared" ca="1" si="65"/>
        <v>1.7500000000000013</v>
      </c>
      <c r="D179" s="306">
        <f t="shared" ca="1" si="66"/>
        <v>-4.9416536480460218</v>
      </c>
      <c r="E179" s="307">
        <f t="shared" ca="1" si="67"/>
        <v>-34.313257428076632</v>
      </c>
      <c r="F179" s="304">
        <f t="shared" ca="1" si="68"/>
        <v>34.667269521880471</v>
      </c>
      <c r="G179" s="306">
        <f t="shared" ca="1" si="69"/>
        <v>42.945030782278174</v>
      </c>
      <c r="H179" s="307">
        <f t="shared" ca="1" si="70"/>
        <v>212.84542446795291</v>
      </c>
      <c r="I179" s="304">
        <f t="shared" ca="1" si="71"/>
        <v>217.134636541096</v>
      </c>
      <c r="J179" s="306">
        <f t="shared" ca="1" si="72"/>
        <v>41.27122916956823</v>
      </c>
      <c r="K179" s="307">
        <f t="shared" ca="1" si="73"/>
        <v>211.76209612750134</v>
      </c>
      <c r="L179" s="304">
        <f t="shared" ca="1" si="58"/>
        <v>215.74637821636807</v>
      </c>
      <c r="M179" s="306">
        <f t="shared" ca="1" si="74"/>
        <v>1.3717029933584322</v>
      </c>
      <c r="N179" s="304">
        <f t="shared" ca="1" si="75"/>
        <v>78.592792264899757</v>
      </c>
      <c r="P179" s="310">
        <f t="shared" ca="1" si="76"/>
        <v>23</v>
      </c>
      <c r="Q179" s="304">
        <f t="shared" ca="1" si="77"/>
        <v>0</v>
      </c>
      <c r="R179" s="306">
        <f t="shared" ca="1" si="78"/>
        <v>0</v>
      </c>
      <c r="S179" s="307">
        <f t="shared" ca="1" si="79"/>
        <v>7.4499999999999984</v>
      </c>
      <c r="T179" s="304">
        <f t="shared" ca="1" si="59"/>
        <v>73.084499999999991</v>
      </c>
      <c r="U179" s="311">
        <f t="shared" ca="1" si="60"/>
        <v>0</v>
      </c>
      <c r="V179" s="306">
        <f t="shared" ca="1" si="61"/>
        <v>1.1993309300275317</v>
      </c>
      <c r="W179" s="304">
        <f t="shared" ca="1" si="62"/>
        <v>185.59276507176691</v>
      </c>
      <c r="Y179" s="314" t="str">
        <f t="shared" ca="1" si="80"/>
        <v/>
      </c>
      <c r="Z179" s="315" t="str">
        <f t="shared" ca="1" si="81"/>
        <v/>
      </c>
      <c r="AA179" s="316" t="str">
        <f t="shared" ca="1" si="82"/>
        <v/>
      </c>
      <c r="AC179" s="310" t="e">
        <f t="shared" ca="1" si="83"/>
        <v>#N/A</v>
      </c>
      <c r="AD179" s="323" t="e">
        <f t="shared" ca="1" si="84"/>
        <v>#N/A</v>
      </c>
      <c r="AE179" s="324">
        <f t="shared" ca="1" si="63"/>
        <v>211.76209612750134</v>
      </c>
      <c r="AG179" s="306">
        <f t="shared" ca="1" si="85"/>
        <v>-34.612980551711864</v>
      </c>
      <c r="AH179" s="304">
        <f t="shared" ca="1" si="86"/>
        <v>-24.996591074861374</v>
      </c>
    </row>
    <row r="180" spans="1:34" x14ac:dyDescent="0.2">
      <c r="A180" s="347">
        <f t="shared" ca="1" si="64"/>
        <v>0.01</v>
      </c>
      <c r="B180" s="304">
        <f t="shared" ca="1" si="65"/>
        <v>1.7600000000000013</v>
      </c>
      <c r="D180" s="306">
        <f t="shared" ca="1" si="66"/>
        <v>-4.9270682902324054</v>
      </c>
      <c r="E180" s="307">
        <f t="shared" ca="1" si="67"/>
        <v>-34.2296807526767</v>
      </c>
      <c r="F180" s="304">
        <f t="shared" ca="1" si="68"/>
        <v>34.58246732618683</v>
      </c>
      <c r="G180" s="306">
        <f t="shared" ca="1" si="69"/>
        <v>42.895760099375849</v>
      </c>
      <c r="H180" s="307">
        <f t="shared" ca="1" si="70"/>
        <v>212.50312766042614</v>
      </c>
      <c r="I180" s="304">
        <f t="shared" ca="1" si="71"/>
        <v>216.78935744165713</v>
      </c>
      <c r="J180" s="306">
        <f t="shared" ca="1" si="72"/>
        <v>41.700433123976502</v>
      </c>
      <c r="K180" s="307">
        <f t="shared" ca="1" si="73"/>
        <v>213.88883888814323</v>
      </c>
      <c r="L180" s="304">
        <f t="shared" ca="1" si="58"/>
        <v>217.91595059482296</v>
      </c>
      <c r="M180" s="306">
        <f t="shared" ca="1" si="74"/>
        <v>1.371613495042761</v>
      </c>
      <c r="N180" s="304">
        <f t="shared" ca="1" si="75"/>
        <v>78.587664389138268</v>
      </c>
      <c r="P180" s="310">
        <f t="shared" ca="1" si="76"/>
        <v>23</v>
      </c>
      <c r="Q180" s="304">
        <f t="shared" ca="1" si="77"/>
        <v>0</v>
      </c>
      <c r="R180" s="306">
        <f t="shared" ca="1" si="78"/>
        <v>0</v>
      </c>
      <c r="S180" s="307">
        <f t="shared" ca="1" si="79"/>
        <v>7.4499999999999984</v>
      </c>
      <c r="T180" s="304">
        <f t="shared" ca="1" si="59"/>
        <v>73.084499999999991</v>
      </c>
      <c r="U180" s="311">
        <f t="shared" ca="1" si="60"/>
        <v>0</v>
      </c>
      <c r="V180" s="306">
        <f t="shared" ca="1" si="61"/>
        <v>1.1990758614310866</v>
      </c>
      <c r="W180" s="304">
        <f t="shared" ca="1" si="62"/>
        <v>184.96364384465659</v>
      </c>
      <c r="Y180" s="314" t="str">
        <f t="shared" ca="1" si="80"/>
        <v/>
      </c>
      <c r="Z180" s="315" t="str">
        <f t="shared" ca="1" si="81"/>
        <v/>
      </c>
      <c r="AA180" s="316" t="str">
        <f t="shared" ca="1" si="82"/>
        <v/>
      </c>
      <c r="AC180" s="310" t="e">
        <f t="shared" ca="1" si="83"/>
        <v>#N/A</v>
      </c>
      <c r="AD180" s="323" t="e">
        <f t="shared" ca="1" si="84"/>
        <v>#N/A</v>
      </c>
      <c r="AE180" s="324">
        <f t="shared" ca="1" si="63"/>
        <v>213.88883888814323</v>
      </c>
      <c r="AG180" s="306">
        <f t="shared" ca="1" si="85"/>
        <v>-34.527996767468487</v>
      </c>
      <c r="AH180" s="304">
        <f t="shared" ca="1" si="86"/>
        <v>-24.911780546545899</v>
      </c>
    </row>
    <row r="181" spans="1:34" x14ac:dyDescent="0.2">
      <c r="A181" s="347">
        <f t="shared" ca="1" si="64"/>
        <v>0.01</v>
      </c>
      <c r="B181" s="304">
        <f t="shared" ca="1" si="65"/>
        <v>1.7700000000000014</v>
      </c>
      <c r="D181" s="306">
        <f t="shared" ca="1" si="66"/>
        <v>-4.9125446362505389</v>
      </c>
      <c r="E181" s="307">
        <f t="shared" ca="1" si="67"/>
        <v>-34.146463500267458</v>
      </c>
      <c r="F181" s="304">
        <f t="shared" ca="1" si="68"/>
        <v>34.498029862272595</v>
      </c>
      <c r="G181" s="306">
        <f t="shared" ca="1" si="69"/>
        <v>42.846634653013346</v>
      </c>
      <c r="H181" s="307">
        <f t="shared" ca="1" si="70"/>
        <v>212.16166302542348</v>
      </c>
      <c r="I181" s="304">
        <f t="shared" ca="1" si="71"/>
        <v>216.44492453925122</v>
      </c>
      <c r="J181" s="306">
        <f t="shared" ca="1" si="72"/>
        <v>42.129145097738451</v>
      </c>
      <c r="K181" s="307">
        <f t="shared" ca="1" si="73"/>
        <v>216.01216284157246</v>
      </c>
      <c r="L181" s="304">
        <f t="shared" ca="1" si="58"/>
        <v>220.08207414998685</v>
      </c>
      <c r="M181" s="306">
        <f t="shared" ca="1" si="74"/>
        <v>1.3715238145447697</v>
      </c>
      <c r="N181" s="304">
        <f t="shared" ca="1" si="75"/>
        <v>78.582526075098727</v>
      </c>
      <c r="P181" s="310">
        <f t="shared" ca="1" si="76"/>
        <v>23</v>
      </c>
      <c r="Q181" s="304">
        <f t="shared" ca="1" si="77"/>
        <v>0</v>
      </c>
      <c r="R181" s="306">
        <f t="shared" ca="1" si="78"/>
        <v>0</v>
      </c>
      <c r="S181" s="307">
        <f t="shared" ca="1" si="79"/>
        <v>7.4499999999999984</v>
      </c>
      <c r="T181" s="304">
        <f t="shared" ca="1" si="59"/>
        <v>73.084499999999991</v>
      </c>
      <c r="U181" s="311">
        <f t="shared" ca="1" si="60"/>
        <v>0</v>
      </c>
      <c r="V181" s="306">
        <f t="shared" ca="1" si="61"/>
        <v>1.1988212564031488</v>
      </c>
      <c r="W181" s="304">
        <f t="shared" ca="1" si="62"/>
        <v>184.33722428451384</v>
      </c>
      <c r="Y181" s="314" t="str">
        <f t="shared" ca="1" si="80"/>
        <v/>
      </c>
      <c r="Z181" s="315" t="str">
        <f t="shared" ca="1" si="81"/>
        <v/>
      </c>
      <c r="AA181" s="316" t="str">
        <f t="shared" ca="1" si="82"/>
        <v/>
      </c>
      <c r="AC181" s="310" t="e">
        <f t="shared" ca="1" si="83"/>
        <v>#N/A</v>
      </c>
      <c r="AD181" s="323" t="e">
        <f t="shared" ca="1" si="84"/>
        <v>#N/A</v>
      </c>
      <c r="AE181" s="324">
        <f t="shared" ca="1" si="63"/>
        <v>216.01216284157246</v>
      </c>
      <c r="AG181" s="306">
        <f t="shared" ca="1" si="85"/>
        <v>-34.443377279500545</v>
      </c>
      <c r="AH181" s="304">
        <f t="shared" ca="1" si="86"/>
        <v>-24.82733474424921</v>
      </c>
    </row>
    <row r="182" spans="1:34" x14ac:dyDescent="0.2">
      <c r="A182" s="347">
        <f t="shared" ca="1" si="64"/>
        <v>0.01</v>
      </c>
      <c r="B182" s="304">
        <f t="shared" ca="1" si="65"/>
        <v>1.7800000000000014</v>
      </c>
      <c r="D182" s="306">
        <f t="shared" ca="1" si="66"/>
        <v>-4.8980823316155915</v>
      </c>
      <c r="E182" s="307">
        <f t="shared" ca="1" si="67"/>
        <v>-34.063603615002314</v>
      </c>
      <c r="F182" s="304">
        <f t="shared" ca="1" si="68"/>
        <v>34.413955043953948</v>
      </c>
      <c r="G182" s="306">
        <f t="shared" ca="1" si="69"/>
        <v>42.79765382969719</v>
      </c>
      <c r="H182" s="307">
        <f t="shared" ca="1" si="70"/>
        <v>211.82102698927346</v>
      </c>
      <c r="I182" s="304">
        <f t="shared" ca="1" si="71"/>
        <v>216.10133421179313</v>
      </c>
      <c r="J182" s="306">
        <f t="shared" ca="1" si="72"/>
        <v>42.557366540152003</v>
      </c>
      <c r="K182" s="307">
        <f t="shared" ca="1" si="73"/>
        <v>218.13207629164594</v>
      </c>
      <c r="L182" s="304">
        <f t="shared" ca="1" si="58"/>
        <v>222.24475731530157</v>
      </c>
      <c r="M182" s="306">
        <f t="shared" ca="1" si="74"/>
        <v>1.3714339515537421</v>
      </c>
      <c r="N182" s="304">
        <f t="shared" ca="1" si="75"/>
        <v>78.577377304978441</v>
      </c>
      <c r="P182" s="310">
        <f t="shared" ca="1" si="76"/>
        <v>23</v>
      </c>
      <c r="Q182" s="304">
        <f t="shared" ca="1" si="77"/>
        <v>0</v>
      </c>
      <c r="R182" s="306">
        <f t="shared" ca="1" si="78"/>
        <v>0</v>
      </c>
      <c r="S182" s="307">
        <f t="shared" ca="1" si="79"/>
        <v>7.4499999999999984</v>
      </c>
      <c r="T182" s="304">
        <f t="shared" ca="1" si="59"/>
        <v>73.084499999999991</v>
      </c>
      <c r="U182" s="311">
        <f t="shared" ca="1" si="60"/>
        <v>0</v>
      </c>
      <c r="V182" s="306">
        <f t="shared" ca="1" si="61"/>
        <v>1.1985671136731164</v>
      </c>
      <c r="W182" s="304">
        <f t="shared" ca="1" si="62"/>
        <v>183.71349096146361</v>
      </c>
      <c r="Y182" s="314" t="str">
        <f t="shared" ca="1" si="80"/>
        <v/>
      </c>
      <c r="Z182" s="315" t="str">
        <f t="shared" ca="1" si="81"/>
        <v/>
      </c>
      <c r="AA182" s="316" t="str">
        <f t="shared" ca="1" si="82"/>
        <v/>
      </c>
      <c r="AC182" s="310" t="e">
        <f t="shared" ca="1" si="83"/>
        <v>#N/A</v>
      </c>
      <c r="AD182" s="323" t="e">
        <f t="shared" ca="1" si="84"/>
        <v>#N/A</v>
      </c>
      <c r="AE182" s="324">
        <f t="shared" ca="1" si="63"/>
        <v>218.13207629164594</v>
      </c>
      <c r="AG182" s="306">
        <f t="shared" ca="1" si="85"/>
        <v>-34.359120000581001</v>
      </c>
      <c r="AH182" s="304">
        <f t="shared" ca="1" si="86"/>
        <v>-24.743251581813944</v>
      </c>
    </row>
    <row r="183" spans="1:34" x14ac:dyDescent="0.2">
      <c r="A183" s="347">
        <f t="shared" ca="1" si="64"/>
        <v>0.01</v>
      </c>
      <c r="B183" s="304">
        <f t="shared" ca="1" si="65"/>
        <v>1.7900000000000014</v>
      </c>
      <c r="D183" s="306">
        <f t="shared" ca="1" si="66"/>
        <v>-4.8836810243958917</v>
      </c>
      <c r="E183" s="307">
        <f t="shared" ca="1" si="67"/>
        <v>-33.981099055849434</v>
      </c>
      <c r="F183" s="304">
        <f t="shared" ca="1" si="68"/>
        <v>34.330240800080269</v>
      </c>
      <c r="G183" s="306">
        <f t="shared" ca="1" si="69"/>
        <v>42.748817019453227</v>
      </c>
      <c r="H183" s="307">
        <f t="shared" ca="1" si="70"/>
        <v>211.48121599871496</v>
      </c>
      <c r="I183" s="304">
        <f t="shared" ca="1" si="71"/>
        <v>215.75858285791978</v>
      </c>
      <c r="J183" s="306">
        <f t="shared" ca="1" si="72"/>
        <v>42.985098894397758</v>
      </c>
      <c r="K183" s="307">
        <f t="shared" ca="1" si="73"/>
        <v>220.24858750658589</v>
      </c>
      <c r="L183" s="304">
        <f t="shared" ca="1" si="58"/>
        <v>224.40400848827852</v>
      </c>
      <c r="M183" s="306">
        <f t="shared" ca="1" si="74"/>
        <v>1.3713439057579799</v>
      </c>
      <c r="N183" s="304">
        <f t="shared" ca="1" si="75"/>
        <v>78.57221806091836</v>
      </c>
      <c r="P183" s="310">
        <f t="shared" ca="1" si="76"/>
        <v>23</v>
      </c>
      <c r="Q183" s="304">
        <f t="shared" ca="1" si="77"/>
        <v>0</v>
      </c>
      <c r="R183" s="306">
        <f t="shared" ca="1" si="78"/>
        <v>0</v>
      </c>
      <c r="S183" s="307">
        <f t="shared" ca="1" si="79"/>
        <v>7.4499999999999984</v>
      </c>
      <c r="T183" s="304">
        <f t="shared" ca="1" si="59"/>
        <v>73.084499999999991</v>
      </c>
      <c r="U183" s="311">
        <f t="shared" ca="1" si="60"/>
        <v>0</v>
      </c>
      <c r="V183" s="306">
        <f t="shared" ca="1" si="61"/>
        <v>1.1983134319760764</v>
      </c>
      <c r="W183" s="304">
        <f t="shared" ca="1" si="62"/>
        <v>183.09242855665724</v>
      </c>
      <c r="Y183" s="314" t="str">
        <f t="shared" ca="1" si="80"/>
        <v/>
      </c>
      <c r="Z183" s="315" t="str">
        <f t="shared" ca="1" si="81"/>
        <v/>
      </c>
      <c r="AA183" s="316" t="str">
        <f t="shared" ca="1" si="82"/>
        <v/>
      </c>
      <c r="AC183" s="310" t="e">
        <f t="shared" ca="1" si="83"/>
        <v>#N/A</v>
      </c>
      <c r="AD183" s="323" t="e">
        <f t="shared" ca="1" si="84"/>
        <v>#N/A</v>
      </c>
      <c r="AE183" s="324">
        <f t="shared" ca="1" si="63"/>
        <v>220.24858750658589</v>
      </c>
      <c r="AG183" s="306">
        <f t="shared" ca="1" si="85"/>
        <v>-34.275222858512095</v>
      </c>
      <c r="AH183" s="304">
        <f t="shared" ca="1" si="86"/>
        <v>-24.659528988115927</v>
      </c>
    </row>
    <row r="184" spans="1:34" x14ac:dyDescent="0.2">
      <c r="A184" s="347">
        <f t="shared" ca="1" si="64"/>
        <v>0.01</v>
      </c>
      <c r="B184" s="304">
        <f t="shared" ca="1" si="65"/>
        <v>1.8000000000000014</v>
      </c>
      <c r="D184" s="306">
        <f t="shared" ca="1" si="66"/>
        <v>-4.8693403651907605</v>
      </c>
      <c r="E184" s="307">
        <f t="shared" ca="1" si="67"/>
        <v>-33.898947796463247</v>
      </c>
      <c r="F184" s="304">
        <f t="shared" ca="1" si="68"/>
        <v>34.246885074403721</v>
      </c>
      <c r="G184" s="306">
        <f t="shared" ca="1" si="69"/>
        <v>42.700123615801317</v>
      </c>
      <c r="H184" s="307">
        <f t="shared" ca="1" si="70"/>
        <v>211.14222652075031</v>
      </c>
      <c r="I184" s="304">
        <f t="shared" ca="1" si="71"/>
        <v>215.41666689684098</v>
      </c>
      <c r="J184" s="306">
        <f t="shared" ca="1" si="72"/>
        <v>43.412343597574029</v>
      </c>
      <c r="K184" s="307">
        <f t="shared" ca="1" si="73"/>
        <v>222.36170471918322</v>
      </c>
      <c r="L184" s="304">
        <f t="shared" ca="1" si="58"/>
        <v>226.55983603069424</v>
      </c>
      <c r="M184" s="306">
        <f t="shared" ca="1" si="74"/>
        <v>1.3712536768447983</v>
      </c>
      <c r="N184" s="304">
        <f t="shared" ca="1" si="75"/>
        <v>78.567048325003</v>
      </c>
      <c r="P184" s="310">
        <f t="shared" ca="1" si="76"/>
        <v>23</v>
      </c>
      <c r="Q184" s="304">
        <f t="shared" ca="1" si="77"/>
        <v>0</v>
      </c>
      <c r="R184" s="306">
        <f t="shared" ca="1" si="78"/>
        <v>0</v>
      </c>
      <c r="S184" s="307">
        <f t="shared" ca="1" si="79"/>
        <v>7.4499999999999984</v>
      </c>
      <c r="T184" s="304">
        <f t="shared" ca="1" si="59"/>
        <v>73.084499999999991</v>
      </c>
      <c r="U184" s="311">
        <f t="shared" ca="1" si="60"/>
        <v>0</v>
      </c>
      <c r="V184" s="306">
        <f t="shared" ca="1" si="61"/>
        <v>1.1980602100527722</v>
      </c>
      <c r="W184" s="304">
        <f t="shared" ca="1" si="62"/>
        <v>182.4740218613114</v>
      </c>
      <c r="Y184" s="314" t="str">
        <f t="shared" ca="1" si="80"/>
        <v/>
      </c>
      <c r="Z184" s="315" t="str">
        <f t="shared" ca="1" si="81"/>
        <v/>
      </c>
      <c r="AA184" s="316" t="str">
        <f t="shared" ca="1" si="82"/>
        <v/>
      </c>
      <c r="AC184" s="310" t="e">
        <f t="shared" ca="1" si="83"/>
        <v>#N/A</v>
      </c>
      <c r="AD184" s="323" t="e">
        <f t="shared" ca="1" si="84"/>
        <v>#N/A</v>
      </c>
      <c r="AE184" s="324">
        <f t="shared" ca="1" si="63"/>
        <v>222.36170471918322</v>
      </c>
      <c r="AG184" s="306">
        <f t="shared" ca="1" si="85"/>
        <v>-34.191683795995019</v>
      </c>
      <c r="AH184" s="304">
        <f t="shared" ca="1" si="86"/>
        <v>-24.576164906933862</v>
      </c>
    </row>
    <row r="185" spans="1:34" x14ac:dyDescent="0.2">
      <c r="A185" s="347">
        <f t="shared" ca="1" si="64"/>
        <v>0.01</v>
      </c>
      <c r="B185" s="304">
        <f t="shared" ca="1" si="65"/>
        <v>1.8100000000000014</v>
      </c>
      <c r="D185" s="306">
        <f t="shared" ca="1" si="66"/>
        <v>-4.8550600071086265</v>
      </c>
      <c r="E185" s="307">
        <f t="shared" ca="1" si="67"/>
        <v>-33.817147825057383</v>
      </c>
      <c r="F185" s="304">
        <f t="shared" ca="1" si="68"/>
        <v>34.163885825450372</v>
      </c>
      <c r="G185" s="306">
        <f t="shared" ca="1" si="69"/>
        <v>42.651573015730229</v>
      </c>
      <c r="H185" s="307">
        <f t="shared" ca="1" si="70"/>
        <v>210.80405504249973</v>
      </c>
      <c r="I185" s="304">
        <f t="shared" ca="1" si="71"/>
        <v>215.07558276819202</v>
      </c>
      <c r="J185" s="306">
        <f t="shared" ca="1" si="72"/>
        <v>43.839102080731685</v>
      </c>
      <c r="K185" s="307">
        <f t="shared" ca="1" si="73"/>
        <v>224.47143612699946</v>
      </c>
      <c r="L185" s="304">
        <f t="shared" ca="1" si="58"/>
        <v>228.71224826878515</v>
      </c>
      <c r="M185" s="306">
        <f t="shared" ca="1" si="74"/>
        <v>1.3711632645005225</v>
      </c>
      <c r="N185" s="304">
        <f t="shared" ca="1" si="75"/>
        <v>78.561868079260122</v>
      </c>
      <c r="P185" s="310">
        <f t="shared" ca="1" si="76"/>
        <v>23</v>
      </c>
      <c r="Q185" s="304">
        <f t="shared" ca="1" si="77"/>
        <v>0</v>
      </c>
      <c r="R185" s="306">
        <f t="shared" ca="1" si="78"/>
        <v>0</v>
      </c>
      <c r="S185" s="307">
        <f t="shared" ca="1" si="79"/>
        <v>7.4499999999999984</v>
      </c>
      <c r="T185" s="304">
        <f t="shared" ca="1" si="59"/>
        <v>73.084499999999991</v>
      </c>
      <c r="U185" s="311">
        <f t="shared" ca="1" si="60"/>
        <v>0</v>
      </c>
      <c r="V185" s="306">
        <f t="shared" ca="1" si="61"/>
        <v>1.1978074466495694</v>
      </c>
      <c r="W185" s="304">
        <f t="shared" ca="1" si="62"/>
        <v>181.85825577575719</v>
      </c>
      <c r="Y185" s="314" t="str">
        <f t="shared" ca="1" si="80"/>
        <v/>
      </c>
      <c r="Z185" s="315" t="str">
        <f t="shared" ca="1" si="81"/>
        <v/>
      </c>
      <c r="AA185" s="316" t="str">
        <f t="shared" ca="1" si="82"/>
        <v/>
      </c>
      <c r="AC185" s="310" t="e">
        <f t="shared" ca="1" si="83"/>
        <v>#N/A</v>
      </c>
      <c r="AD185" s="323" t="e">
        <f t="shared" ca="1" si="84"/>
        <v>#N/A</v>
      </c>
      <c r="AE185" s="324">
        <f t="shared" ca="1" si="63"/>
        <v>224.47143612699946</v>
      </c>
      <c r="AG185" s="306">
        <f t="shared" ca="1" si="85"/>
        <v>-34.108500770500896</v>
      </c>
      <c r="AH185" s="304">
        <f t="shared" ca="1" si="86"/>
        <v>-24.493157296820328</v>
      </c>
    </row>
    <row r="186" spans="1:34" x14ac:dyDescent="0.2">
      <c r="A186" s="347">
        <f t="shared" ca="1" si="64"/>
        <v>0.01</v>
      </c>
      <c r="B186" s="304">
        <f t="shared" ca="1" si="65"/>
        <v>1.8200000000000014</v>
      </c>
      <c r="D186" s="306">
        <f t="shared" ca="1" si="66"/>
        <v>-4.8408396057453533</v>
      </c>
      <c r="E186" s="307">
        <f t="shared" ca="1" si="67"/>
        <v>-33.735697144278824</v>
      </c>
      <c r="F186" s="304">
        <f t="shared" ca="1" si="68"/>
        <v>34.081241026392441</v>
      </c>
      <c r="G186" s="306">
        <f t="shared" ca="1" si="69"/>
        <v>42.603164619672775</v>
      </c>
      <c r="H186" s="307">
        <f t="shared" ca="1" si="70"/>
        <v>210.46669807105692</v>
      </c>
      <c r="I186" s="304">
        <f t="shared" ca="1" si="71"/>
        <v>214.73532693188696</v>
      </c>
      <c r="J186" s="306">
        <f t="shared" ca="1" si="72"/>
        <v>44.265375768908697</v>
      </c>
      <c r="K186" s="307">
        <f t="shared" ca="1" si="73"/>
        <v>226.57778989256724</v>
      </c>
      <c r="L186" s="304">
        <f t="shared" ca="1" si="58"/>
        <v>230.86125349344144</v>
      </c>
      <c r="M186" s="306">
        <f t="shared" ca="1" si="74"/>
        <v>1.3710726684104864</v>
      </c>
      <c r="N186" s="304">
        <f t="shared" ca="1" si="75"/>
        <v>78.556677305660656</v>
      </c>
      <c r="P186" s="310">
        <f t="shared" ca="1" si="76"/>
        <v>23</v>
      </c>
      <c r="Q186" s="304">
        <f t="shared" ca="1" si="77"/>
        <v>0</v>
      </c>
      <c r="R186" s="306">
        <f t="shared" ca="1" si="78"/>
        <v>0</v>
      </c>
      <c r="S186" s="307">
        <f t="shared" ca="1" si="79"/>
        <v>7.4499999999999984</v>
      </c>
      <c r="T186" s="304">
        <f t="shared" ca="1" si="59"/>
        <v>73.084499999999991</v>
      </c>
      <c r="U186" s="311">
        <f t="shared" ca="1" si="60"/>
        <v>0</v>
      </c>
      <c r="V186" s="306">
        <f t="shared" ca="1" si="61"/>
        <v>1.1975551405184233</v>
      </c>
      <c r="W186" s="304">
        <f t="shared" ca="1" si="62"/>
        <v>181.24511530849819</v>
      </c>
      <c r="Y186" s="314" t="str">
        <f t="shared" ca="1" si="80"/>
        <v/>
      </c>
      <c r="Z186" s="315" t="str">
        <f t="shared" ca="1" si="81"/>
        <v/>
      </c>
      <c r="AA186" s="316" t="str">
        <f t="shared" ca="1" si="82"/>
        <v/>
      </c>
      <c r="AC186" s="310" t="e">
        <f t="shared" ca="1" si="83"/>
        <v>#N/A</v>
      </c>
      <c r="AD186" s="323" t="e">
        <f t="shared" ca="1" si="84"/>
        <v>#N/A</v>
      </c>
      <c r="AE186" s="324">
        <f t="shared" ca="1" si="63"/>
        <v>226.57778989256724</v>
      </c>
      <c r="AG186" s="306">
        <f t="shared" ca="1" si="85"/>
        <v>-34.025671754143119</v>
      </c>
      <c r="AH186" s="304">
        <f t="shared" ca="1" si="86"/>
        <v>-24.410504130974125</v>
      </c>
    </row>
    <row r="187" spans="1:34" x14ac:dyDescent="0.2">
      <c r="A187" s="347">
        <f t="shared" ca="1" si="64"/>
        <v>0.01</v>
      </c>
      <c r="B187" s="304">
        <f t="shared" ca="1" si="65"/>
        <v>1.8300000000000014</v>
      </c>
      <c r="D187" s="306">
        <f t="shared" ca="1" si="66"/>
        <v>-4.8266788191627379</v>
      </c>
      <c r="E187" s="307">
        <f t="shared" ca="1" si="67"/>
        <v>-33.654593771083377</v>
      </c>
      <c r="F187" s="304">
        <f t="shared" ca="1" si="68"/>
        <v>33.998948664921954</v>
      </c>
      <c r="G187" s="306">
        <f t="shared" ca="1" si="69"/>
        <v>42.554897831481149</v>
      </c>
      <c r="H187" s="307">
        <f t="shared" ca="1" si="70"/>
        <v>210.13015213334609</v>
      </c>
      <c r="I187" s="304">
        <f t="shared" ca="1" si="71"/>
        <v>214.39589586797359</v>
      </c>
      <c r="J187" s="306">
        <f t="shared" ca="1" si="72"/>
        <v>44.691166081164468</v>
      </c>
      <c r="K187" s="307">
        <f t="shared" ca="1" si="73"/>
        <v>228.68077414358925</v>
      </c>
      <c r="L187" s="304">
        <f t="shared" ca="1" si="58"/>
        <v>233.00685996040008</v>
      </c>
      <c r="M187" s="306">
        <f t="shared" ca="1" si="74"/>
        <v>1.3709818882590288</v>
      </c>
      <c r="N187" s="304">
        <f t="shared" ca="1" si="75"/>
        <v>78.551475986118575</v>
      </c>
      <c r="P187" s="310">
        <f t="shared" ca="1" si="76"/>
        <v>23</v>
      </c>
      <c r="Q187" s="304">
        <f t="shared" ca="1" si="77"/>
        <v>0</v>
      </c>
      <c r="R187" s="306">
        <f t="shared" ca="1" si="78"/>
        <v>0</v>
      </c>
      <c r="S187" s="307">
        <f t="shared" ca="1" si="79"/>
        <v>7.4499999999999984</v>
      </c>
      <c r="T187" s="304">
        <f t="shared" ca="1" si="59"/>
        <v>73.084499999999991</v>
      </c>
      <c r="U187" s="311">
        <f t="shared" ca="1" si="60"/>
        <v>0</v>
      </c>
      <c r="V187" s="306">
        <f t="shared" ca="1" si="61"/>
        <v>1.1973032904168459</v>
      </c>
      <c r="W187" s="304">
        <f t="shared" ca="1" si="62"/>
        <v>180.63458557527858</v>
      </c>
      <c r="Y187" s="314" t="str">
        <f t="shared" ca="1" si="80"/>
        <v/>
      </c>
      <c r="Z187" s="315" t="str">
        <f t="shared" ca="1" si="81"/>
        <v/>
      </c>
      <c r="AA187" s="316" t="str">
        <f t="shared" ca="1" si="82"/>
        <v/>
      </c>
      <c r="AC187" s="310" t="e">
        <f t="shared" ca="1" si="83"/>
        <v>#N/A</v>
      </c>
      <c r="AD187" s="323" t="e">
        <f t="shared" ca="1" si="84"/>
        <v>#N/A</v>
      </c>
      <c r="AE187" s="324">
        <f t="shared" ca="1" si="63"/>
        <v>228.68077414358925</v>
      </c>
      <c r="AG187" s="306">
        <f t="shared" ca="1" si="85"/>
        <v>-33.943194733550897</v>
      </c>
      <c r="AH187" s="304">
        <f t="shared" ca="1" si="86"/>
        <v>-24.328203397113857</v>
      </c>
    </row>
    <row r="188" spans="1:34" x14ac:dyDescent="0.2">
      <c r="A188" s="347">
        <f t="shared" ca="1" si="64"/>
        <v>0.01</v>
      </c>
      <c r="B188" s="304">
        <f t="shared" ca="1" si="65"/>
        <v>1.8400000000000014</v>
      </c>
      <c r="D188" s="306">
        <f t="shared" ca="1" si="66"/>
        <v>-4.812577307867266</v>
      </c>
      <c r="E188" s="307">
        <f t="shared" ca="1" si="67"/>
        <v>-33.573835736612324</v>
      </c>
      <c r="F188" s="304">
        <f t="shared" ca="1" si="68"/>
        <v>33.917006743125576</v>
      </c>
      <c r="G188" s="306">
        <f t="shared" ca="1" si="69"/>
        <v>42.506772058402476</v>
      </c>
      <c r="H188" s="307">
        <f t="shared" ca="1" si="70"/>
        <v>209.79441377597996</v>
      </c>
      <c r="I188" s="304">
        <f t="shared" ca="1" si="71"/>
        <v>214.0572860764895</v>
      </c>
      <c r="J188" s="306">
        <f t="shared" ca="1" si="72"/>
        <v>45.116474430613884</v>
      </c>
      <c r="K188" s="307">
        <f t="shared" ca="1" si="73"/>
        <v>230.78039697313588</v>
      </c>
      <c r="L188" s="304">
        <f t="shared" ca="1" si="58"/>
        <v>235.14907589043682</v>
      </c>
      <c r="M188" s="306">
        <f t="shared" ca="1" si="74"/>
        <v>1.3708909237294893</v>
      </c>
      <c r="N188" s="304">
        <f t="shared" ca="1" si="75"/>
        <v>78.546264102490568</v>
      </c>
      <c r="P188" s="310">
        <f t="shared" ca="1" si="76"/>
        <v>23</v>
      </c>
      <c r="Q188" s="304">
        <f t="shared" ca="1" si="77"/>
        <v>0</v>
      </c>
      <c r="R188" s="306">
        <f t="shared" ca="1" si="78"/>
        <v>0</v>
      </c>
      <c r="S188" s="307">
        <f t="shared" ca="1" si="79"/>
        <v>7.4499999999999984</v>
      </c>
      <c r="T188" s="304">
        <f t="shared" ca="1" si="59"/>
        <v>73.084499999999991</v>
      </c>
      <c r="U188" s="311">
        <f t="shared" ca="1" si="60"/>
        <v>0</v>
      </c>
      <c r="V188" s="306">
        <f t="shared" ca="1" si="61"/>
        <v>1.1970518951078735</v>
      </c>
      <c r="W188" s="304">
        <f t="shared" ca="1" si="62"/>
        <v>180.02665179816037</v>
      </c>
      <c r="Y188" s="314" t="str">
        <f t="shared" ca="1" si="80"/>
        <v/>
      </c>
      <c r="Z188" s="315" t="str">
        <f t="shared" ca="1" si="81"/>
        <v/>
      </c>
      <c r="AA188" s="316" t="str">
        <f t="shared" ca="1" si="82"/>
        <v/>
      </c>
      <c r="AC188" s="310" t="e">
        <f t="shared" ca="1" si="83"/>
        <v>#N/A</v>
      </c>
      <c r="AD188" s="323" t="e">
        <f t="shared" ca="1" si="84"/>
        <v>#N/A</v>
      </c>
      <c r="AE188" s="324">
        <f t="shared" ca="1" si="63"/>
        <v>230.78039697313588</v>
      </c>
      <c r="AG188" s="306">
        <f t="shared" ca="1" si="85"/>
        <v>-33.861067709744177</v>
      </c>
      <c r="AH188" s="304">
        <f t="shared" ca="1" si="86"/>
        <v>-24.246253097352835</v>
      </c>
    </row>
    <row r="189" spans="1:34" x14ac:dyDescent="0.2">
      <c r="A189" s="347">
        <f t="shared" ca="1" si="64"/>
        <v>0.01</v>
      </c>
      <c r="B189" s="304">
        <f t="shared" ca="1" si="65"/>
        <v>1.8500000000000014</v>
      </c>
      <c r="D189" s="306">
        <f t="shared" ca="1" si="66"/>
        <v>-4.7985347347891132</v>
      </c>
      <c r="E189" s="307">
        <f t="shared" ca="1" si="67"/>
        <v>-33.493421086070441</v>
      </c>
      <c r="F189" s="304">
        <f t="shared" ca="1" si="68"/>
        <v>33.835413277360828</v>
      </c>
      <c r="G189" s="306">
        <f t="shared" ca="1" si="69"/>
        <v>42.458786711054586</v>
      </c>
      <c r="H189" s="307">
        <f t="shared" ca="1" si="70"/>
        <v>209.45947956511927</v>
      </c>
      <c r="I189" s="304">
        <f t="shared" ca="1" si="71"/>
        <v>213.71949407731958</v>
      </c>
      <c r="J189" s="306">
        <f t="shared" ca="1" si="72"/>
        <v>45.54130222446117</v>
      </c>
      <c r="K189" s="307">
        <f t="shared" ca="1" si="73"/>
        <v>232.87666643984139</v>
      </c>
      <c r="L189" s="304">
        <f t="shared" ca="1" si="58"/>
        <v>237.28790946955738</v>
      </c>
      <c r="M189" s="306">
        <f t="shared" ca="1" si="74"/>
        <v>1.3707997745042073</v>
      </c>
      <c r="N189" s="304">
        <f t="shared" ca="1" si="75"/>
        <v>78.541041636576026</v>
      </c>
      <c r="P189" s="310">
        <f t="shared" ca="1" si="76"/>
        <v>23</v>
      </c>
      <c r="Q189" s="304">
        <f t="shared" ca="1" si="77"/>
        <v>0</v>
      </c>
      <c r="R189" s="306">
        <f t="shared" ca="1" si="78"/>
        <v>0</v>
      </c>
      <c r="S189" s="307">
        <f t="shared" ca="1" si="79"/>
        <v>7.4499999999999984</v>
      </c>
      <c r="T189" s="304">
        <f t="shared" ca="1" si="59"/>
        <v>73.084499999999991</v>
      </c>
      <c r="U189" s="311">
        <f t="shared" ca="1" si="60"/>
        <v>0</v>
      </c>
      <c r="V189" s="306">
        <f t="shared" ca="1" si="61"/>
        <v>1.1968009533600341</v>
      </c>
      <c r="W189" s="304">
        <f t="shared" ca="1" si="62"/>
        <v>179.42129930461033</v>
      </c>
      <c r="Y189" s="314" t="str">
        <f t="shared" ca="1" si="80"/>
        <v/>
      </c>
      <c r="Z189" s="315" t="str">
        <f t="shared" ca="1" si="81"/>
        <v/>
      </c>
      <c r="AA189" s="316" t="str">
        <f t="shared" ca="1" si="82"/>
        <v/>
      </c>
      <c r="AC189" s="310" t="e">
        <f t="shared" ca="1" si="83"/>
        <v>#N/A</v>
      </c>
      <c r="AD189" s="323" t="e">
        <f t="shared" ca="1" si="84"/>
        <v>#N/A</v>
      </c>
      <c r="AE189" s="324">
        <f t="shared" ca="1" si="63"/>
        <v>232.87666643984139</v>
      </c>
      <c r="AG189" s="306">
        <f t="shared" ca="1" si="85"/>
        <v>-33.779288698009744</v>
      </c>
      <c r="AH189" s="304">
        <f t="shared" ca="1" si="86"/>
        <v>-24.164651248075224</v>
      </c>
    </row>
    <row r="190" spans="1:34" x14ac:dyDescent="0.2">
      <c r="A190" s="347">
        <f t="shared" ca="1" si="64"/>
        <v>0.01</v>
      </c>
      <c r="B190" s="304">
        <f t="shared" ca="1" si="65"/>
        <v>1.8600000000000014</v>
      </c>
      <c r="D190" s="306">
        <f t="shared" ca="1" si="66"/>
        <v>-4.7845507652612689</v>
      </c>
      <c r="E190" s="307">
        <f t="shared" ca="1" si="67"/>
        <v>-33.413347878605151</v>
      </c>
      <c r="F190" s="304">
        <f t="shared" ca="1" si="68"/>
        <v>33.75416629813347</v>
      </c>
      <c r="G190" s="306">
        <f t="shared" ca="1" si="69"/>
        <v>42.410941203401975</v>
      </c>
      <c r="H190" s="307">
        <f t="shared" ca="1" si="70"/>
        <v>209.12534608633322</v>
      </c>
      <c r="I190" s="304">
        <f t="shared" ca="1" si="71"/>
        <v>213.38251641005422</v>
      </c>
      <c r="J190" s="306">
        <f t="shared" ca="1" si="72"/>
        <v>45.965650864033449</v>
      </c>
      <c r="K190" s="307">
        <f t="shared" ca="1" si="73"/>
        <v>234.96959056809865</v>
      </c>
      <c r="L190" s="304">
        <f t="shared" ca="1" si="58"/>
        <v>239.4233688491876</v>
      </c>
      <c r="M190" s="306">
        <f t="shared" ca="1" si="74"/>
        <v>1.3707084402645167</v>
      </c>
      <c r="N190" s="304">
        <f t="shared" ca="1" si="75"/>
        <v>78.535808570116714</v>
      </c>
      <c r="P190" s="310">
        <f t="shared" ca="1" si="76"/>
        <v>23</v>
      </c>
      <c r="Q190" s="304">
        <f t="shared" ca="1" si="77"/>
        <v>0</v>
      </c>
      <c r="R190" s="306">
        <f t="shared" ca="1" si="78"/>
        <v>0</v>
      </c>
      <c r="S190" s="307">
        <f t="shared" ca="1" si="79"/>
        <v>7.4499999999999984</v>
      </c>
      <c r="T190" s="304">
        <f t="shared" ca="1" si="59"/>
        <v>73.084499999999991</v>
      </c>
      <c r="U190" s="311">
        <f t="shared" ca="1" si="60"/>
        <v>0</v>
      </c>
      <c r="V190" s="306">
        <f t="shared" ca="1" si="61"/>
        <v>1.1965504639473155</v>
      </c>
      <c r="W190" s="304">
        <f t="shared" ca="1" si="62"/>
        <v>178.81851352659481</v>
      </c>
      <c r="Y190" s="314" t="str">
        <f t="shared" ca="1" si="80"/>
        <v/>
      </c>
      <c r="Z190" s="315" t="str">
        <f t="shared" ca="1" si="81"/>
        <v/>
      </c>
      <c r="AA190" s="316" t="str">
        <f t="shared" ca="1" si="82"/>
        <v/>
      </c>
      <c r="AC190" s="310" t="e">
        <f t="shared" ca="1" si="83"/>
        <v>#N/A</v>
      </c>
      <c r="AD190" s="323" t="e">
        <f t="shared" ca="1" si="84"/>
        <v>#N/A</v>
      </c>
      <c r="AE190" s="324">
        <f t="shared" ca="1" si="63"/>
        <v>234.96959056809865</v>
      </c>
      <c r="AG190" s="306">
        <f t="shared" ca="1" si="85"/>
        <v>-33.697855727778645</v>
      </c>
      <c r="AH190" s="304">
        <f t="shared" ca="1" si="86"/>
        <v>-24.083395879813473</v>
      </c>
    </row>
    <row r="191" spans="1:34" x14ac:dyDescent="0.2">
      <c r="A191" s="347">
        <f t="shared" ca="1" si="64"/>
        <v>0.01</v>
      </c>
      <c r="B191" s="304">
        <f t="shared" ca="1" si="65"/>
        <v>1.8700000000000014</v>
      </c>
      <c r="D191" s="306">
        <f t="shared" ca="1" si="66"/>
        <v>-4.7706250669989583</v>
      </c>
      <c r="E191" s="307">
        <f t="shared" ca="1" si="67"/>
        <v>-33.333614187186846</v>
      </c>
      <c r="F191" s="304">
        <f t="shared" ca="1" si="68"/>
        <v>33.673263849976038</v>
      </c>
      <c r="G191" s="306">
        <f t="shared" ca="1" si="69"/>
        <v>42.363234952731986</v>
      </c>
      <c r="H191" s="307">
        <f t="shared" ca="1" si="70"/>
        <v>208.79200994446134</v>
      </c>
      <c r="I191" s="304">
        <f t="shared" ca="1" si="71"/>
        <v>213.04634963384945</v>
      </c>
      <c r="J191" s="306">
        <f t="shared" ca="1" si="72"/>
        <v>46.389521744814118</v>
      </c>
      <c r="K191" s="307">
        <f t="shared" ca="1" si="73"/>
        <v>237.05917734825263</v>
      </c>
      <c r="L191" s="304">
        <f t="shared" ca="1" si="58"/>
        <v>241.55546214636271</v>
      </c>
      <c r="M191" s="306">
        <f t="shared" ca="1" si="74"/>
        <v>1.3706169206907444</v>
      </c>
      <c r="N191" s="304">
        <f t="shared" ca="1" si="75"/>
        <v>78.530564884796732</v>
      </c>
      <c r="P191" s="310">
        <f t="shared" ca="1" si="76"/>
        <v>23</v>
      </c>
      <c r="Q191" s="304">
        <f t="shared" ca="1" si="77"/>
        <v>0</v>
      </c>
      <c r="R191" s="306">
        <f t="shared" ca="1" si="78"/>
        <v>0</v>
      </c>
      <c r="S191" s="307">
        <f t="shared" ca="1" si="79"/>
        <v>7.4499999999999984</v>
      </c>
      <c r="T191" s="304">
        <f t="shared" ca="1" si="59"/>
        <v>73.084499999999991</v>
      </c>
      <c r="U191" s="311">
        <f t="shared" ca="1" si="60"/>
        <v>0</v>
      </c>
      <c r="V191" s="306">
        <f t="shared" ca="1" si="61"/>
        <v>1.1963004256491323</v>
      </c>
      <c r="W191" s="304">
        <f t="shared" ca="1" si="62"/>
        <v>178.21827999968542</v>
      </c>
      <c r="Y191" s="314" t="str">
        <f t="shared" ca="1" si="80"/>
        <v/>
      </c>
      <c r="Z191" s="315" t="str">
        <f t="shared" ca="1" si="81"/>
        <v/>
      </c>
      <c r="AA191" s="316" t="str">
        <f t="shared" ca="1" si="82"/>
        <v/>
      </c>
      <c r="AC191" s="310" t="e">
        <f t="shared" ca="1" si="83"/>
        <v>#N/A</v>
      </c>
      <c r="AD191" s="323" t="e">
        <f t="shared" ca="1" si="84"/>
        <v>#N/A</v>
      </c>
      <c r="AE191" s="324">
        <f t="shared" ca="1" si="63"/>
        <v>237.05917734825263</v>
      </c>
      <c r="AG191" s="306">
        <f t="shared" ca="1" si="85"/>
        <v>-33.616766842504695</v>
      </c>
      <c r="AH191" s="304">
        <f t="shared" ca="1" si="86"/>
        <v>-24.002485037126824</v>
      </c>
    </row>
    <row r="192" spans="1:34" x14ac:dyDescent="0.2">
      <c r="A192" s="347">
        <f t="shared" ca="1" si="64"/>
        <v>0.01</v>
      </c>
      <c r="B192" s="304">
        <f t="shared" ca="1" si="65"/>
        <v>1.8800000000000014</v>
      </c>
      <c r="D192" s="306">
        <f t="shared" ca="1" si="66"/>
        <v>-4.7567573100792071</v>
      </c>
      <c r="E192" s="307">
        <f t="shared" ca="1" si="67"/>
        <v>-33.254218098490547</v>
      </c>
      <c r="F192" s="304">
        <f t="shared" ca="1" si="68"/>
        <v>33.592703991327767</v>
      </c>
      <c r="G192" s="306">
        <f t="shared" ca="1" si="69"/>
        <v>42.315667379631194</v>
      </c>
      <c r="H192" s="307">
        <f t="shared" ca="1" si="70"/>
        <v>208.45946776347643</v>
      </c>
      <c r="I192" s="304">
        <f t="shared" ca="1" si="71"/>
        <v>212.71099032728762</v>
      </c>
      <c r="J192" s="306">
        <f t="shared" ca="1" si="72"/>
        <v>46.812916256475937</v>
      </c>
      <c r="K192" s="307">
        <f t="shared" ca="1" si="73"/>
        <v>239.14543473679231</v>
      </c>
      <c r="L192" s="304">
        <f t="shared" ca="1" si="58"/>
        <v>243.68419744391556</v>
      </c>
      <c r="M192" s="306">
        <f t="shared" ca="1" si="74"/>
        <v>1.370525215462207</v>
      </c>
      <c r="N192" s="304">
        <f t="shared" ca="1" si="75"/>
        <v>78.525310562242254</v>
      </c>
      <c r="P192" s="310">
        <f t="shared" ca="1" si="76"/>
        <v>23</v>
      </c>
      <c r="Q192" s="304">
        <f t="shared" ca="1" si="77"/>
        <v>0</v>
      </c>
      <c r="R192" s="306">
        <f t="shared" ca="1" si="78"/>
        <v>0</v>
      </c>
      <c r="S192" s="307">
        <f t="shared" ca="1" si="79"/>
        <v>7.4499999999999984</v>
      </c>
      <c r="T192" s="304">
        <f t="shared" ca="1" si="59"/>
        <v>73.084499999999991</v>
      </c>
      <c r="U192" s="311">
        <f t="shared" ca="1" si="60"/>
        <v>0</v>
      </c>
      <c r="V192" s="306">
        <f t="shared" ca="1" si="61"/>
        <v>1.1960508372502956</v>
      </c>
      <c r="W192" s="304">
        <f t="shared" ca="1" si="62"/>
        <v>177.62058436217254</v>
      </c>
      <c r="Y192" s="314" t="str">
        <f t="shared" ca="1" si="80"/>
        <v/>
      </c>
      <c r="Z192" s="315" t="str">
        <f t="shared" ca="1" si="81"/>
        <v/>
      </c>
      <c r="AA192" s="316" t="str">
        <f t="shared" ca="1" si="82"/>
        <v/>
      </c>
      <c r="AC192" s="310" t="e">
        <f t="shared" ca="1" si="83"/>
        <v>#N/A</v>
      </c>
      <c r="AD192" s="323" t="e">
        <f t="shared" ca="1" si="84"/>
        <v>#N/A</v>
      </c>
      <c r="AE192" s="324">
        <f t="shared" ca="1" si="63"/>
        <v>239.14543473679231</v>
      </c>
      <c r="AG192" s="306">
        <f t="shared" ca="1" si="85"/>
        <v>-33.536020099544388</v>
      </c>
      <c r="AH192" s="304">
        <f t="shared" ca="1" si="86"/>
        <v>-23.921916778481268</v>
      </c>
    </row>
    <row r="193" spans="1:34" x14ac:dyDescent="0.2">
      <c r="A193" s="347">
        <f t="shared" ca="1" si="64"/>
        <v>0.01</v>
      </c>
      <c r="B193" s="304">
        <f t="shared" ca="1" si="65"/>
        <v>1.8900000000000015</v>
      </c>
      <c r="D193" s="306">
        <f t="shared" ca="1" si="66"/>
        <v>-4.7429471669206453</v>
      </c>
      <c r="E193" s="307">
        <f t="shared" ca="1" si="67"/>
        <v>-33.175157712778656</v>
      </c>
      <c r="F193" s="304">
        <f t="shared" ca="1" si="68"/>
        <v>33.512484794415613</v>
      </c>
      <c r="G193" s="306">
        <f t="shared" ca="1" si="69"/>
        <v>42.268237907961989</v>
      </c>
      <c r="H193" s="307">
        <f t="shared" ca="1" si="70"/>
        <v>208.12771618634864</v>
      </c>
      <c r="I193" s="304">
        <f t="shared" ca="1" si="71"/>
        <v>212.37643508823987</v>
      </c>
      <c r="J193" s="306">
        <f t="shared" ca="1" si="72"/>
        <v>47.235835782913902</v>
      </c>
      <c r="K193" s="307">
        <f t="shared" ca="1" si="73"/>
        <v>241.22837065654144</v>
      </c>
      <c r="L193" s="304">
        <f t="shared" ca="1" si="58"/>
        <v>245.80958279066371</v>
      </c>
      <c r="M193" s="306">
        <f t="shared" ca="1" si="74"/>
        <v>1.3704333242572069</v>
      </c>
      <c r="N193" s="304">
        <f t="shared" ca="1" si="75"/>
        <v>78.520045584021375</v>
      </c>
      <c r="P193" s="310">
        <f t="shared" ca="1" si="76"/>
        <v>23</v>
      </c>
      <c r="Q193" s="304">
        <f t="shared" ca="1" si="77"/>
        <v>0</v>
      </c>
      <c r="R193" s="306">
        <f t="shared" ca="1" si="78"/>
        <v>0</v>
      </c>
      <c r="S193" s="307">
        <f t="shared" ca="1" si="79"/>
        <v>7.4499999999999984</v>
      </c>
      <c r="T193" s="304">
        <f t="shared" ca="1" si="59"/>
        <v>73.084499999999991</v>
      </c>
      <c r="U193" s="311">
        <f t="shared" ca="1" si="60"/>
        <v>0</v>
      </c>
      <c r="V193" s="306">
        <f t="shared" ca="1" si="61"/>
        <v>1.19580169754098</v>
      </c>
      <c r="W193" s="304">
        <f t="shared" ca="1" si="62"/>
        <v>177.02541235418764</v>
      </c>
      <c r="Y193" s="314" t="str">
        <f t="shared" ca="1" si="80"/>
        <v/>
      </c>
      <c r="Z193" s="315" t="str">
        <f t="shared" ca="1" si="81"/>
        <v/>
      </c>
      <c r="AA193" s="316" t="str">
        <f t="shared" ca="1" si="82"/>
        <v/>
      </c>
      <c r="AC193" s="310" t="e">
        <f t="shared" ca="1" si="83"/>
        <v>#N/A</v>
      </c>
      <c r="AD193" s="323" t="e">
        <f t="shared" ca="1" si="84"/>
        <v>#N/A</v>
      </c>
      <c r="AE193" s="324">
        <f t="shared" ca="1" si="63"/>
        <v>241.22837065654144</v>
      </c>
      <c r="AG193" s="306">
        <f t="shared" ca="1" si="85"/>
        <v>-33.455613570037912</v>
      </c>
      <c r="AH193" s="304">
        <f t="shared" ca="1" si="86"/>
        <v>-23.841689176130547</v>
      </c>
    </row>
    <row r="194" spans="1:34" x14ac:dyDescent="0.2">
      <c r="A194" s="347">
        <f t="shared" ca="1" si="64"/>
        <v>0.01</v>
      </c>
      <c r="B194" s="304">
        <f t="shared" ca="1" si="65"/>
        <v>1.9000000000000015</v>
      </c>
      <c r="D194" s="306">
        <f t="shared" ca="1" si="66"/>
        <v>-4.7291943122635089</v>
      </c>
      <c r="E194" s="307">
        <f t="shared" ca="1" si="67"/>
        <v>-33.096431143784862</v>
      </c>
      <c r="F194" s="304">
        <f t="shared" ca="1" si="68"/>
        <v>33.432604345136468</v>
      </c>
      <c r="G194" s="306">
        <f t="shared" ca="1" si="69"/>
        <v>42.220945964839352</v>
      </c>
      <c r="H194" s="307">
        <f t="shared" ca="1" si="70"/>
        <v>207.7967518749108</v>
      </c>
      <c r="I194" s="304">
        <f t="shared" ca="1" si="71"/>
        <v>212.04268053372917</v>
      </c>
      <c r="J194" s="306">
        <f t="shared" ca="1" si="72"/>
        <v>47.658281702277911</v>
      </c>
      <c r="K194" s="307">
        <f t="shared" ca="1" si="73"/>
        <v>243.30799299684773</v>
      </c>
      <c r="L194" s="304">
        <f t="shared" ca="1" si="58"/>
        <v>247.93162620159572</v>
      </c>
      <c r="M194" s="306">
        <f t="shared" ca="1" si="74"/>
        <v>1.3703412467530296</v>
      </c>
      <c r="N194" s="304">
        <f t="shared" ca="1" si="75"/>
        <v>78.514769931643926</v>
      </c>
      <c r="P194" s="310">
        <f t="shared" ca="1" si="76"/>
        <v>23</v>
      </c>
      <c r="Q194" s="304">
        <f t="shared" ca="1" si="77"/>
        <v>0</v>
      </c>
      <c r="R194" s="306">
        <f t="shared" ca="1" si="78"/>
        <v>0</v>
      </c>
      <c r="S194" s="307">
        <f t="shared" ca="1" si="79"/>
        <v>7.4499999999999984</v>
      </c>
      <c r="T194" s="304">
        <f t="shared" ca="1" si="59"/>
        <v>73.084499999999991</v>
      </c>
      <c r="U194" s="311">
        <f t="shared" ca="1" si="60"/>
        <v>0</v>
      </c>
      <c r="V194" s="306">
        <f t="shared" ca="1" si="61"/>
        <v>1.1955530053166954</v>
      </c>
      <c r="W194" s="304">
        <f t="shared" ca="1" si="62"/>
        <v>176.43274981683521</v>
      </c>
      <c r="Y194" s="314" t="str">
        <f t="shared" ca="1" si="80"/>
        <v/>
      </c>
      <c r="Z194" s="315" t="str">
        <f t="shared" ca="1" si="81"/>
        <v/>
      </c>
      <c r="AA194" s="316" t="str">
        <f t="shared" ca="1" si="82"/>
        <v/>
      </c>
      <c r="AC194" s="310" t="e">
        <f t="shared" ca="1" si="83"/>
        <v>#N/A</v>
      </c>
      <c r="AD194" s="323" t="e">
        <f t="shared" ca="1" si="84"/>
        <v>#N/A</v>
      </c>
      <c r="AE194" s="324">
        <f t="shared" ca="1" si="63"/>
        <v>243.30799299684773</v>
      </c>
      <c r="AG194" s="306">
        <f t="shared" ca="1" si="85"/>
        <v>-33.375545338791319</v>
      </c>
      <c r="AH194" s="304">
        <f t="shared" ca="1" si="86"/>
        <v>-23.761800315998347</v>
      </c>
    </row>
    <row r="195" spans="1:34" x14ac:dyDescent="0.2">
      <c r="A195" s="347">
        <f t="shared" ca="1" si="64"/>
        <v>0.01</v>
      </c>
      <c r="B195" s="304">
        <f t="shared" ca="1" si="65"/>
        <v>1.9100000000000015</v>
      </c>
      <c r="D195" s="306">
        <f t="shared" ca="1" si="66"/>
        <v>-4.715498423149838</v>
      </c>
      <c r="E195" s="307">
        <f t="shared" ca="1" si="67"/>
        <v>-33.01803651859931</v>
      </c>
      <c r="F195" s="304">
        <f t="shared" ca="1" si="68"/>
        <v>33.353060742940613</v>
      </c>
      <c r="G195" s="306">
        <f t="shared" ca="1" si="69"/>
        <v>42.173790980607855</v>
      </c>
      <c r="H195" s="307">
        <f t="shared" ca="1" si="70"/>
        <v>207.46657150972482</v>
      </c>
      <c r="I195" s="304">
        <f t="shared" ca="1" si="71"/>
        <v>211.709723299795</v>
      </c>
      <c r="J195" s="306">
        <f t="shared" ca="1" si="72"/>
        <v>48.080255387005145</v>
      </c>
      <c r="K195" s="307">
        <f t="shared" ca="1" si="73"/>
        <v>245.38430961377091</v>
      </c>
      <c r="L195" s="304">
        <f t="shared" ca="1" si="58"/>
        <v>250.0503356580563</v>
      </c>
      <c r="M195" s="306">
        <f t="shared" ca="1" si="74"/>
        <v>1.3702489826259412</v>
      </c>
      <c r="N195" s="304">
        <f t="shared" ca="1" si="75"/>
        <v>78.509483586561302</v>
      </c>
      <c r="P195" s="310">
        <f t="shared" ca="1" si="76"/>
        <v>23</v>
      </c>
      <c r="Q195" s="304">
        <f t="shared" ca="1" si="77"/>
        <v>0</v>
      </c>
      <c r="R195" s="306">
        <f t="shared" ca="1" si="78"/>
        <v>0</v>
      </c>
      <c r="S195" s="307">
        <f t="shared" ca="1" si="79"/>
        <v>7.4499999999999984</v>
      </c>
      <c r="T195" s="304">
        <f t="shared" ca="1" si="59"/>
        <v>73.084499999999991</v>
      </c>
      <c r="U195" s="311">
        <f t="shared" ca="1" si="60"/>
        <v>0</v>
      </c>
      <c r="V195" s="306">
        <f t="shared" ca="1" si="61"/>
        <v>1.1953047593782522</v>
      </c>
      <c r="W195" s="304">
        <f t="shared" ca="1" si="62"/>
        <v>175.84258269133235</v>
      </c>
      <c r="Y195" s="314" t="str">
        <f t="shared" ca="1" si="80"/>
        <v/>
      </c>
      <c r="Z195" s="315" t="str">
        <f t="shared" ca="1" si="81"/>
        <v/>
      </c>
      <c r="AA195" s="316" t="str">
        <f t="shared" ca="1" si="82"/>
        <v/>
      </c>
      <c r="AC195" s="310" t="e">
        <f t="shared" ca="1" si="83"/>
        <v>#N/A</v>
      </c>
      <c r="AD195" s="323" t="e">
        <f t="shared" ca="1" si="84"/>
        <v>#N/A</v>
      </c>
      <c r="AE195" s="324">
        <f t="shared" ca="1" si="63"/>
        <v>245.38430961377091</v>
      </c>
      <c r="AG195" s="306">
        <f t="shared" ca="1" si="85"/>
        <v>-33.295813504159973</v>
      </c>
      <c r="AH195" s="304">
        <f t="shared" ca="1" si="86"/>
        <v>-23.682248297561777</v>
      </c>
    </row>
    <row r="196" spans="1:34" x14ac:dyDescent="0.2">
      <c r="A196" s="347">
        <f t="shared" ca="1" si="64"/>
        <v>0.01</v>
      </c>
      <c r="B196" s="304">
        <f t="shared" ca="1" si="65"/>
        <v>1.9200000000000015</v>
      </c>
      <c r="D196" s="306">
        <f t="shared" ca="1" si="66"/>
        <v>-4.7018591789038524</v>
      </c>
      <c r="E196" s="307">
        <f t="shared" ca="1" si="67"/>
        <v>-32.939971977554784</v>
      </c>
      <c r="F196" s="304">
        <f t="shared" ca="1" si="68"/>
        <v>33.273852100716212</v>
      </c>
      <c r="G196" s="306">
        <f t="shared" ca="1" si="69"/>
        <v>42.126772388818814</v>
      </c>
      <c r="H196" s="307">
        <f t="shared" ca="1" si="70"/>
        <v>207.13717178994926</v>
      </c>
      <c r="I196" s="304">
        <f t="shared" ca="1" si="71"/>
        <v>211.37756004135892</v>
      </c>
      <c r="J196" s="306">
        <f t="shared" ca="1" si="72"/>
        <v>48.501758203852276</v>
      </c>
      <c r="K196" s="307">
        <f t="shared" ca="1" si="73"/>
        <v>247.45732833026929</v>
      </c>
      <c r="L196" s="304">
        <f t="shared" ref="L196:L259" ca="1" si="87">SQRT(pos_x^2+pos_z^2)</f>
        <v>252.16571910793039</v>
      </c>
      <c r="M196" s="306">
        <f t="shared" ca="1" si="74"/>
        <v>1.3701565315511839</v>
      </c>
      <c r="N196" s="304">
        <f t="shared" ca="1" si="75"/>
        <v>78.504186530166251</v>
      </c>
      <c r="P196" s="310">
        <f t="shared" ca="1" si="76"/>
        <v>23</v>
      </c>
      <c r="Q196" s="304">
        <f t="shared" ca="1" si="77"/>
        <v>0</v>
      </c>
      <c r="R196" s="306">
        <f t="shared" ca="1" si="78"/>
        <v>0</v>
      </c>
      <c r="S196" s="307">
        <f t="shared" ca="1" si="79"/>
        <v>7.4499999999999984</v>
      </c>
      <c r="T196" s="304">
        <f t="shared" ref="T196:T259" ca="1" si="88">m*g</f>
        <v>73.084499999999991</v>
      </c>
      <c r="U196" s="311">
        <f t="shared" ref="U196:U259" ca="1" si="89">IF(pos_xz&lt;L_rampe,Poids*COS(Beta),0)</f>
        <v>0</v>
      </c>
      <c r="V196" s="306">
        <f t="shared" ref="V196:V259" ca="1" si="90">Rho_moyen*(20000-Alt_rampe-pos_z)/(20000+Alt_rampe+pos_z)</f>
        <v>1.195056958531733</v>
      </c>
      <c r="W196" s="304">
        <f t="shared" ref="W196:W259" ca="1" si="91">1/2*Rho*Sref*Cx*vit_xz^2</f>
        <v>175.25489701815749</v>
      </c>
      <c r="Y196" s="314" t="str">
        <f t="shared" ca="1" si="80"/>
        <v/>
      </c>
      <c r="Z196" s="315" t="str">
        <f t="shared" ca="1" si="81"/>
        <v/>
      </c>
      <c r="AA196" s="316" t="str">
        <f t="shared" ca="1" si="82"/>
        <v/>
      </c>
      <c r="AC196" s="310" t="e">
        <f t="shared" ca="1" si="83"/>
        <v>#N/A</v>
      </c>
      <c r="AD196" s="323" t="e">
        <f t="shared" ca="1" si="84"/>
        <v>#N/A</v>
      </c>
      <c r="AE196" s="324">
        <f t="shared" ref="AE196:AE259" ca="1" si="92">IF(t&lt;T_para, pos_z, NA())</f>
        <v>247.45732833026929</v>
      </c>
      <c r="AG196" s="306">
        <f t="shared" ca="1" si="85"/>
        <v>-33.21641617793307</v>
      </c>
      <c r="AH196" s="304">
        <f t="shared" ca="1" si="86"/>
        <v>-23.603031233735891</v>
      </c>
    </row>
    <row r="197" spans="1:34" x14ac:dyDescent="0.2">
      <c r="A197" s="347">
        <f t="shared" ref="A197:A260" ca="1" si="93">IF(B196+0.01&lt;=T_ini+ROUNDUP(Temps_fin_propu,0), 0.01, IF(K196&gt;0, 0.1, 0.0001))</f>
        <v>0.01</v>
      </c>
      <c r="B197" s="304">
        <f t="shared" ref="B197:B260" ca="1" si="94">B196+pas</f>
        <v>1.9300000000000015</v>
      </c>
      <c r="D197" s="306">
        <f t="shared" ref="D197:D260" ca="1" si="95">IF(AND(L196&lt;L_rampe,Poussee&lt;Poids*SIN(M196)),0,(-W196+Poussee)/m*COS(M196)-U196/m*SIN(M196))</f>
        <v>-4.6882762611125646</v>
      </c>
      <c r="E197" s="307">
        <f t="shared" ref="E197:E260" ca="1" si="96">IF(AND(L196&lt;L_rampe,Poussee&lt;Poids*SIN(M196)),0,(-W196+Poussee)/m*SIN(M196)+U196/m*COS(M196)-Poids/m)</f>
        <v>-32.862235674114118</v>
      </c>
      <c r="F197" s="304">
        <f t="shared" ref="F197:F260" ca="1" si="97">SQRT(acc_x^2+acc_z^2)</f>
        <v>33.1949765446751</v>
      </c>
      <c r="G197" s="306">
        <f t="shared" ref="G197:G260" ca="1" si="98">G196+acc_x*pas</f>
        <v>42.079889626207688</v>
      </c>
      <c r="H197" s="307">
        <f t="shared" ref="H197:H260" ca="1" si="99">H196+acc_z*pas</f>
        <v>206.80854943320813</v>
      </c>
      <c r="I197" s="304">
        <f t="shared" ref="I197:I260" ca="1" si="100">SQRT(vit_x^2+vit_z^2)</f>
        <v>211.04618743209153</v>
      </c>
      <c r="J197" s="306">
        <f t="shared" ref="J197:J260" ca="1" si="101">J196+0.5*(vit_x+G196)*pas*(K196&gt;=0)</f>
        <v>48.922791513927407</v>
      </c>
      <c r="K197" s="307">
        <f t="shared" ref="K197:K260" ca="1" si="102">K196+0.5*(vit_z+H196)*pas</f>
        <v>249.52705693638507</v>
      </c>
      <c r="L197" s="304">
        <f t="shared" ca="1" si="87"/>
        <v>254.27778446582619</v>
      </c>
      <c r="M197" s="306">
        <f t="shared" ref="M197:M260" ca="1" si="103">IF(AND(L196&gt;L_rampe,G197&gt;0),ATAN2(G197,H197),$M$4)</f>
        <v>1.3700638932029738</v>
      </c>
      <c r="N197" s="304">
        <f t="shared" ref="N197:N260" ca="1" si="104">DEGREES(Beta)</f>
        <v>78.498878743792758</v>
      </c>
      <c r="P197" s="310">
        <f t="shared" ref="P197:P260" ca="1" si="105">MATCH(t-pas/2-T_ini,CdP_t)</f>
        <v>23</v>
      </c>
      <c r="Q197" s="304">
        <f t="shared" ref="Q197:Q260" ca="1" si="106">(INDEX(CdP,2,i_P+1)-INDEX(CdP,2,i_P+0))/(INDEX(CdP,1,i_P+1)-INDEX(CdP,1,i_P+0))*(t-pas/2-T_ini-INDEX(CdP,1,i_P+0))+INDEX(CdP,2,i_P+0)</f>
        <v>0</v>
      </c>
      <c r="R197" s="306">
        <f t="shared" ref="R197:R260" ca="1" si="107">Poussee/(g*ISP)</f>
        <v>0</v>
      </c>
      <c r="S197" s="307">
        <f t="shared" ref="S197:S260" ca="1" si="108">S196-Débit*pas</f>
        <v>7.4499999999999984</v>
      </c>
      <c r="T197" s="304">
        <f t="shared" ca="1" si="88"/>
        <v>73.084499999999991</v>
      </c>
      <c r="U197" s="311">
        <f t="shared" ca="1" si="89"/>
        <v>0</v>
      </c>
      <c r="V197" s="306">
        <f t="shared" ca="1" si="90"/>
        <v>1.1948096015884613</v>
      </c>
      <c r="W197" s="304">
        <f t="shared" ca="1" si="91"/>
        <v>174.66967893620745</v>
      </c>
      <c r="Y197" s="314" t="str">
        <f t="shared" ref="Y197:Y260" ca="1" si="109">IF(AND(pos_z&lt;=0,K196&gt;0),"Impact balistique","") &amp; IF(AND(H198&lt;0,vit_z&gt;=0),"Apogée","") &amp; IF(AND(Poussee=0,Q196&gt;0),"Fin de propulsion","") &amp; IF(AND(L198&gt;L_rampe,pos_xz&lt;=L_rampe),"Sortie de rampe","")</f>
        <v/>
      </c>
      <c r="Z197" s="315" t="str">
        <f t="shared" ref="Z197:Z260" ca="1" si="110">IF(ABS(t-T_para)&lt;pas/2,"Para","")</f>
        <v/>
      </c>
      <c r="AA197" s="316" t="str">
        <f t="shared" ref="AA197:AA260" ca="1" si="111">IF(ABS(t-T_satellite)&lt;pas/2,"Satellite","")</f>
        <v/>
      </c>
      <c r="AC197" s="310" t="e">
        <f t="shared" ref="AC197:AC260" ca="1" si="112">IF(ABS(t-ROUND(t,0))&lt;0.001,t,NA())</f>
        <v>#N/A</v>
      </c>
      <c r="AD197" s="323" t="e">
        <f t="shared" ref="AD197:AD260" ca="1" si="113">IF(ABS(t-ROUND(t,0))&lt;0.001,pos_x,NA())</f>
        <v>#N/A</v>
      </c>
      <c r="AE197" s="324">
        <f t="shared" ca="1" si="92"/>
        <v>249.52705693638507</v>
      </c>
      <c r="AG197" s="306">
        <f t="shared" ref="AG197:AG260" ca="1" si="114">IF(AND(L196&lt;L_rampe,Poussee&lt;Poids*SIN(M196)),0,(-W196+Poussee)/m-Poids*SIN(M196)/m)</f>
        <v>-33.137351485219348</v>
      </c>
      <c r="AH197" s="304">
        <f t="shared" ref="AH197:AH260" ca="1" si="115">IF(AND(L196&lt;L_rampe,Poussee&lt;Poids*SIN(M196)), g*SIN(M196), (-W196+Poussee)/m)</f>
        <v>-23.524147250759402</v>
      </c>
    </row>
    <row r="198" spans="1:34" x14ac:dyDescent="0.2">
      <c r="A198" s="347">
        <f t="shared" ca="1" si="93"/>
        <v>0.01</v>
      </c>
      <c r="B198" s="304">
        <f t="shared" ca="1" si="94"/>
        <v>1.9400000000000015</v>
      </c>
      <c r="D198" s="306">
        <f t="shared" ca="1" si="95"/>
        <v>-4.6747493536065434</v>
      </c>
      <c r="E198" s="307">
        <f t="shared" ca="1" si="96"/>
        <v>-32.784825774758659</v>
      </c>
      <c r="F198" s="304">
        <f t="shared" ca="1" si="97"/>
        <v>33.116432214239573</v>
      </c>
      <c r="G198" s="306">
        <f t="shared" ca="1" si="98"/>
        <v>42.033142132671621</v>
      </c>
      <c r="H198" s="307">
        <f t="shared" ca="1" si="99"/>
        <v>206.48070117546055</v>
      </c>
      <c r="I198" s="304">
        <f t="shared" ca="1" si="100"/>
        <v>210.7156021642802</v>
      </c>
      <c r="J198" s="306">
        <f t="shared" ca="1" si="101"/>
        <v>49.343356672721804</v>
      </c>
      <c r="K198" s="307">
        <f t="shared" ca="1" si="102"/>
        <v>251.59350318942842</v>
      </c>
      <c r="L198" s="304">
        <f t="shared" ca="1" si="87"/>
        <v>256.38653961325736</v>
      </c>
      <c r="M198" s="306">
        <f t="shared" ca="1" si="103"/>
        <v>1.3699710672544982</v>
      </c>
      <c r="N198" s="304">
        <f t="shared" ca="1" si="104"/>
        <v>78.493560208715806</v>
      </c>
      <c r="P198" s="310">
        <f t="shared" ca="1" si="105"/>
        <v>23</v>
      </c>
      <c r="Q198" s="304">
        <f t="shared" ca="1" si="106"/>
        <v>0</v>
      </c>
      <c r="R198" s="306">
        <f t="shared" ca="1" si="107"/>
        <v>0</v>
      </c>
      <c r="S198" s="307">
        <f t="shared" ca="1" si="108"/>
        <v>7.4499999999999984</v>
      </c>
      <c r="T198" s="304">
        <f t="shared" ca="1" si="88"/>
        <v>73.084499999999991</v>
      </c>
      <c r="U198" s="311">
        <f t="shared" ca="1" si="89"/>
        <v>0</v>
      </c>
      <c r="V198" s="306">
        <f t="shared" ca="1" si="90"/>
        <v>1.1945626873649708</v>
      </c>
      <c r="W198" s="304">
        <f t="shared" ca="1" si="91"/>
        <v>174.08691468196304</v>
      </c>
      <c r="Y198" s="314" t="str">
        <f t="shared" ca="1" si="109"/>
        <v/>
      </c>
      <c r="Z198" s="315" t="str">
        <f t="shared" ca="1" si="110"/>
        <v/>
      </c>
      <c r="AA198" s="316" t="str">
        <f t="shared" ca="1" si="111"/>
        <v/>
      </c>
      <c r="AC198" s="310" t="e">
        <f t="shared" ca="1" si="112"/>
        <v>#N/A</v>
      </c>
      <c r="AD198" s="323" t="e">
        <f t="shared" ca="1" si="113"/>
        <v>#N/A</v>
      </c>
      <c r="AE198" s="324">
        <f t="shared" ca="1" si="92"/>
        <v>251.59350318942842</v>
      </c>
      <c r="AG198" s="306">
        <f t="shared" ca="1" si="114"/>
        <v>-33.058617564333879</v>
      </c>
      <c r="AH198" s="304">
        <f t="shared" ca="1" si="115"/>
        <v>-23.445594488081543</v>
      </c>
    </row>
    <row r="199" spans="1:34" x14ac:dyDescent="0.2">
      <c r="A199" s="347">
        <f t="shared" ca="1" si="93"/>
        <v>0.01</v>
      </c>
      <c r="B199" s="304">
        <f t="shared" ca="1" si="94"/>
        <v>1.9500000000000015</v>
      </c>
      <c r="D199" s="306">
        <f t="shared" ca="1" si="95"/>
        <v>-4.6612781424408842</v>
      </c>
      <c r="E199" s="307">
        <f t="shared" ca="1" si="96"/>
        <v>-32.707740458877943</v>
      </c>
      <c r="F199" s="304">
        <f t="shared" ca="1" si="97"/>
        <v>33.038217261930441</v>
      </c>
      <c r="G199" s="306">
        <f t="shared" ca="1" si="98"/>
        <v>41.986529351247214</v>
      </c>
      <c r="H199" s="307">
        <f t="shared" ca="1" si="99"/>
        <v>206.15362377087177</v>
      </c>
      <c r="I199" s="304">
        <f t="shared" ca="1" si="100"/>
        <v>210.38580094869826</v>
      </c>
      <c r="J199" s="306">
        <f t="shared" ca="1" si="101"/>
        <v>49.763455030141401</v>
      </c>
      <c r="K199" s="307">
        <f t="shared" ca="1" si="102"/>
        <v>253.65667481416008</v>
      </c>
      <c r="L199" s="304">
        <f t="shared" ca="1" si="87"/>
        <v>258.49199239882358</v>
      </c>
      <c r="M199" s="306">
        <f t="shared" ca="1" si="103"/>
        <v>1.3698780533779107</v>
      </c>
      <c r="N199" s="304">
        <f t="shared" ca="1" si="104"/>
        <v>78.488230906151188</v>
      </c>
      <c r="P199" s="310">
        <f t="shared" ca="1" si="105"/>
        <v>23</v>
      </c>
      <c r="Q199" s="304">
        <f t="shared" ca="1" si="106"/>
        <v>0</v>
      </c>
      <c r="R199" s="306">
        <f t="shared" ca="1" si="107"/>
        <v>0</v>
      </c>
      <c r="S199" s="307">
        <f t="shared" ca="1" si="108"/>
        <v>7.4499999999999984</v>
      </c>
      <c r="T199" s="304">
        <f t="shared" ca="1" si="88"/>
        <v>73.084499999999991</v>
      </c>
      <c r="U199" s="311">
        <f t="shared" ca="1" si="89"/>
        <v>0</v>
      </c>
      <c r="V199" s="306">
        <f t="shared" ca="1" si="90"/>
        <v>1.1943162146829769</v>
      </c>
      <c r="W199" s="304">
        <f t="shared" ca="1" si="91"/>
        <v>173.50659058866253</v>
      </c>
      <c r="Y199" s="314" t="str">
        <f t="shared" ca="1" si="109"/>
        <v/>
      </c>
      <c r="Z199" s="315" t="str">
        <f t="shared" ca="1" si="110"/>
        <v/>
      </c>
      <c r="AA199" s="316" t="str">
        <f t="shared" ca="1" si="111"/>
        <v/>
      </c>
      <c r="AC199" s="310" t="e">
        <f t="shared" ca="1" si="112"/>
        <v>#N/A</v>
      </c>
      <c r="AD199" s="323" t="e">
        <f t="shared" ca="1" si="113"/>
        <v>#N/A</v>
      </c>
      <c r="AE199" s="324">
        <f t="shared" ca="1" si="92"/>
        <v>253.65667481416008</v>
      </c>
      <c r="AG199" s="306">
        <f t="shared" ca="1" si="114"/>
        <v>-32.980212566686134</v>
      </c>
      <c r="AH199" s="304">
        <f t="shared" ca="1" si="115"/>
        <v>-23.367371098250079</v>
      </c>
    </row>
    <row r="200" spans="1:34" x14ac:dyDescent="0.2">
      <c r="A200" s="347">
        <f t="shared" ca="1" si="93"/>
        <v>0.01</v>
      </c>
      <c r="B200" s="304">
        <f t="shared" ca="1" si="94"/>
        <v>1.9600000000000015</v>
      </c>
      <c r="D200" s="306">
        <f t="shared" ca="1" si="95"/>
        <v>-4.6478623158763996</v>
      </c>
      <c r="E200" s="307">
        <f t="shared" ca="1" si="96"/>
        <v>-32.630977918660328</v>
      </c>
      <c r="F200" s="304">
        <f t="shared" ca="1" si="97"/>
        <v>32.960329853256049</v>
      </c>
      <c r="G200" s="306">
        <f t="shared" ca="1" si="98"/>
        <v>41.940050728088451</v>
      </c>
      <c r="H200" s="307">
        <f t="shared" ca="1" si="99"/>
        <v>205.82731399168517</v>
      </c>
      <c r="I200" s="304">
        <f t="shared" ca="1" si="100"/>
        <v>210.05678051447515</v>
      </c>
      <c r="J200" s="306">
        <f t="shared" ca="1" si="101"/>
        <v>50.183087930538079</v>
      </c>
      <c r="K200" s="307">
        <f t="shared" ca="1" si="102"/>
        <v>255.71657950297288</v>
      </c>
      <c r="L200" s="304">
        <f t="shared" ca="1" si="87"/>
        <v>260.59415063839089</v>
      </c>
      <c r="M200" s="306">
        <f t="shared" ca="1" si="103"/>
        <v>1.3697848512443291</v>
      </c>
      <c r="N200" s="304">
        <f t="shared" ca="1" si="104"/>
        <v>78.482890817255353</v>
      </c>
      <c r="P200" s="310">
        <f t="shared" ca="1" si="105"/>
        <v>23</v>
      </c>
      <c r="Q200" s="304">
        <f t="shared" ca="1" si="106"/>
        <v>0</v>
      </c>
      <c r="R200" s="306">
        <f t="shared" ca="1" si="107"/>
        <v>0</v>
      </c>
      <c r="S200" s="307">
        <f t="shared" ca="1" si="108"/>
        <v>7.4499999999999984</v>
      </c>
      <c r="T200" s="304">
        <f t="shared" ca="1" si="88"/>
        <v>73.084499999999991</v>
      </c>
      <c r="U200" s="311">
        <f t="shared" ca="1" si="89"/>
        <v>0</v>
      </c>
      <c r="V200" s="306">
        <f t="shared" ca="1" si="90"/>
        <v>1.194070182369344</v>
      </c>
      <c r="W200" s="304">
        <f t="shared" ca="1" si="91"/>
        <v>172.92869308548347</v>
      </c>
      <c r="Y200" s="314" t="str">
        <f t="shared" ca="1" si="109"/>
        <v/>
      </c>
      <c r="Z200" s="315" t="str">
        <f t="shared" ca="1" si="110"/>
        <v/>
      </c>
      <c r="AA200" s="316" t="str">
        <f t="shared" ca="1" si="111"/>
        <v/>
      </c>
      <c r="AC200" s="310" t="e">
        <f t="shared" ca="1" si="112"/>
        <v>#N/A</v>
      </c>
      <c r="AD200" s="323" t="e">
        <f t="shared" ca="1" si="113"/>
        <v>#N/A</v>
      </c>
      <c r="AE200" s="324">
        <f t="shared" ca="1" si="92"/>
        <v>255.71657950297288</v>
      </c>
      <c r="AG200" s="306">
        <f t="shared" ca="1" si="114"/>
        <v>-32.902134656668977</v>
      </c>
      <c r="AH200" s="304">
        <f t="shared" ca="1" si="115"/>
        <v>-23.289475246800347</v>
      </c>
    </row>
    <row r="201" spans="1:34" x14ac:dyDescent="0.2">
      <c r="A201" s="347">
        <f t="shared" ca="1" si="93"/>
        <v>0.01</v>
      </c>
      <c r="B201" s="304">
        <f t="shared" ca="1" si="94"/>
        <v>1.9700000000000015</v>
      </c>
      <c r="D201" s="306">
        <f t="shared" ca="1" si="95"/>
        <v>-4.6345015643609297</v>
      </c>
      <c r="E201" s="307">
        <f t="shared" ca="1" si="96"/>
        <v>-32.554536358984755</v>
      </c>
      <c r="F201" s="304">
        <f t="shared" ca="1" si="97"/>
        <v>32.88276816660246</v>
      </c>
      <c r="G201" s="306">
        <f t="shared" ca="1" si="98"/>
        <v>41.893705712444842</v>
      </c>
      <c r="H201" s="307">
        <f t="shared" ca="1" si="99"/>
        <v>205.50176862809533</v>
      </c>
      <c r="I201" s="304">
        <f t="shared" ca="1" si="100"/>
        <v>209.72853760896766</v>
      </c>
      <c r="J201" s="306">
        <f t="shared" ca="1" si="101"/>
        <v>50.602256712740747</v>
      </c>
      <c r="K201" s="307">
        <f t="shared" ca="1" si="102"/>
        <v>257.7732249160718</v>
      </c>
      <c r="L201" s="304">
        <f t="shared" ca="1" si="87"/>
        <v>262.69302211527025</v>
      </c>
      <c r="M201" s="306">
        <f t="shared" ca="1" si="103"/>
        <v>1.3696914605238328</v>
      </c>
      <c r="N201" s="304">
        <f t="shared" ca="1" si="104"/>
        <v>78.477539923125221</v>
      </c>
      <c r="P201" s="310">
        <f t="shared" ca="1" si="105"/>
        <v>23</v>
      </c>
      <c r="Q201" s="304">
        <f t="shared" ca="1" si="106"/>
        <v>0</v>
      </c>
      <c r="R201" s="306">
        <f t="shared" ca="1" si="107"/>
        <v>0</v>
      </c>
      <c r="S201" s="307">
        <f t="shared" ca="1" si="108"/>
        <v>7.4499999999999984</v>
      </c>
      <c r="T201" s="304">
        <f t="shared" ca="1" si="88"/>
        <v>73.084499999999991</v>
      </c>
      <c r="U201" s="311">
        <f t="shared" ca="1" si="89"/>
        <v>0</v>
      </c>
      <c r="V201" s="306">
        <f t="shared" ca="1" si="90"/>
        <v>1.1938245892560586</v>
      </c>
      <c r="W201" s="304">
        <f t="shared" ca="1" si="91"/>
        <v>172.35320869673293</v>
      </c>
      <c r="Y201" s="314" t="str">
        <f t="shared" ca="1" si="109"/>
        <v/>
      </c>
      <c r="Z201" s="315" t="str">
        <f t="shared" ca="1" si="110"/>
        <v/>
      </c>
      <c r="AA201" s="316" t="str">
        <f t="shared" ca="1" si="111"/>
        <v/>
      </c>
      <c r="AC201" s="310" t="e">
        <f t="shared" ca="1" si="112"/>
        <v>#N/A</v>
      </c>
      <c r="AD201" s="323" t="e">
        <f t="shared" ca="1" si="113"/>
        <v>#N/A</v>
      </c>
      <c r="AE201" s="324">
        <f t="shared" ca="1" si="92"/>
        <v>257.7732249160718</v>
      </c>
      <c r="AG201" s="306">
        <f t="shared" ca="1" si="114"/>
        <v>-32.824382011548785</v>
      </c>
      <c r="AH201" s="304">
        <f t="shared" ca="1" si="115"/>
        <v>-23.211905112145438</v>
      </c>
    </row>
    <row r="202" spans="1:34" x14ac:dyDescent="0.2">
      <c r="A202" s="347">
        <f t="shared" ca="1" si="93"/>
        <v>0.01</v>
      </c>
      <c r="B202" s="304">
        <f t="shared" ca="1" si="94"/>
        <v>1.9800000000000015</v>
      </c>
      <c r="D202" s="306">
        <f t="shared" ca="1" si="95"/>
        <v>-4.6211955805108911</v>
      </c>
      <c r="E202" s="307">
        <f t="shared" ca="1" si="96"/>
        <v>-32.478413997313702</v>
      </c>
      <c r="F202" s="304">
        <f t="shared" ca="1" si="97"/>
        <v>32.805530393124819</v>
      </c>
      <c r="G202" s="306">
        <f t="shared" ca="1" si="98"/>
        <v>41.847493756639736</v>
      </c>
      <c r="H202" s="307">
        <f t="shared" ca="1" si="99"/>
        <v>205.1769844881222</v>
      </c>
      <c r="I202" s="304">
        <f t="shared" ca="1" si="100"/>
        <v>209.40106899763225</v>
      </c>
      <c r="J202" s="306">
        <f t="shared" ca="1" si="101"/>
        <v>51.020962710086167</v>
      </c>
      <c r="K202" s="307">
        <f t="shared" ca="1" si="102"/>
        <v>259.82661868165286</v>
      </c>
      <c r="L202" s="304">
        <f t="shared" ca="1" si="87"/>
        <v>264.78861458039512</v>
      </c>
      <c r="M202" s="306">
        <f t="shared" ca="1" si="103"/>
        <v>1.3695978808854583</v>
      </c>
      <c r="N202" s="304">
        <f t="shared" ca="1" si="104"/>
        <v>78.472178204797999</v>
      </c>
      <c r="P202" s="310">
        <f t="shared" ca="1" si="105"/>
        <v>23</v>
      </c>
      <c r="Q202" s="304">
        <f t="shared" ca="1" si="106"/>
        <v>0</v>
      </c>
      <c r="R202" s="306">
        <f t="shared" ca="1" si="107"/>
        <v>0</v>
      </c>
      <c r="S202" s="307">
        <f t="shared" ca="1" si="108"/>
        <v>7.4499999999999984</v>
      </c>
      <c r="T202" s="304">
        <f t="shared" ca="1" si="88"/>
        <v>73.084499999999991</v>
      </c>
      <c r="U202" s="311">
        <f t="shared" ca="1" si="89"/>
        <v>0</v>
      </c>
      <c r="V202" s="306">
        <f t="shared" ca="1" si="90"/>
        <v>1.1935794341801986</v>
      </c>
      <c r="W202" s="304">
        <f t="shared" ca="1" si="91"/>
        <v>171.78012404104538</v>
      </c>
      <c r="Y202" s="314" t="str">
        <f t="shared" ca="1" si="109"/>
        <v/>
      </c>
      <c r="Z202" s="315" t="str">
        <f t="shared" ca="1" si="110"/>
        <v/>
      </c>
      <c r="AA202" s="316" t="str">
        <f t="shared" ca="1" si="111"/>
        <v/>
      </c>
      <c r="AC202" s="310" t="e">
        <f t="shared" ca="1" si="112"/>
        <v>#N/A</v>
      </c>
      <c r="AD202" s="323" t="e">
        <f t="shared" ca="1" si="113"/>
        <v>#N/A</v>
      </c>
      <c r="AE202" s="324">
        <f t="shared" ca="1" si="92"/>
        <v>259.82661868165286</v>
      </c>
      <c r="AG202" s="306">
        <f t="shared" ca="1" si="114"/>
        <v>-32.746952821356835</v>
      </c>
      <c r="AH202" s="304">
        <f t="shared" ca="1" si="115"/>
        <v>-23.134658885467513</v>
      </c>
    </row>
    <row r="203" spans="1:34" x14ac:dyDescent="0.2">
      <c r="A203" s="347">
        <f t="shared" ca="1" si="93"/>
        <v>0.01</v>
      </c>
      <c r="B203" s="304">
        <f t="shared" ca="1" si="94"/>
        <v>1.9900000000000015</v>
      </c>
      <c r="D203" s="306">
        <f t="shared" ca="1" si="95"/>
        <v>-4.6079440590929952</v>
      </c>
      <c r="E203" s="307">
        <f t="shared" ca="1" si="96"/>
        <v>-32.402609063586986</v>
      </c>
      <c r="F203" s="304">
        <f t="shared" ca="1" si="97"/>
        <v>32.728614736639557</v>
      </c>
      <c r="G203" s="306">
        <f t="shared" ca="1" si="98"/>
        <v>41.801414316048806</v>
      </c>
      <c r="H203" s="307">
        <f t="shared" ca="1" si="99"/>
        <v>204.85295839748633</v>
      </c>
      <c r="I203" s="304">
        <f t="shared" ca="1" si="100"/>
        <v>209.07437146389856</v>
      </c>
      <c r="J203" s="306">
        <f t="shared" ca="1" si="101"/>
        <v>51.439207250449613</v>
      </c>
      <c r="K203" s="307">
        <f t="shared" ca="1" si="102"/>
        <v>261.87676839608088</v>
      </c>
      <c r="L203" s="304">
        <f t="shared" ca="1" si="87"/>
        <v>266.8809357524986</v>
      </c>
      <c r="M203" s="306">
        <f t="shared" ca="1" si="103"/>
        <v>1.369504111997196</v>
      </c>
      <c r="N203" s="304">
        <f t="shared" ca="1" si="104"/>
        <v>78.466805643250936</v>
      </c>
      <c r="P203" s="310">
        <f t="shared" ca="1" si="105"/>
        <v>23</v>
      </c>
      <c r="Q203" s="304">
        <f t="shared" ca="1" si="106"/>
        <v>0</v>
      </c>
      <c r="R203" s="306">
        <f t="shared" ca="1" si="107"/>
        <v>0</v>
      </c>
      <c r="S203" s="307">
        <f t="shared" ca="1" si="108"/>
        <v>7.4499999999999984</v>
      </c>
      <c r="T203" s="304">
        <f t="shared" ca="1" si="88"/>
        <v>73.084499999999991</v>
      </c>
      <c r="U203" s="311">
        <f t="shared" ca="1" si="89"/>
        <v>0</v>
      </c>
      <c r="V203" s="306">
        <f t="shared" ca="1" si="90"/>
        <v>1.1933347159839043</v>
      </c>
      <c r="W203" s="304">
        <f t="shared" ca="1" si="91"/>
        <v>171.20942583058826</v>
      </c>
      <c r="Y203" s="314" t="str">
        <f t="shared" ca="1" si="109"/>
        <v/>
      </c>
      <c r="Z203" s="315" t="str">
        <f t="shared" ca="1" si="110"/>
        <v/>
      </c>
      <c r="AA203" s="316" t="str">
        <f t="shared" ca="1" si="111"/>
        <v/>
      </c>
      <c r="AC203" s="310" t="e">
        <f t="shared" ca="1" si="112"/>
        <v>#N/A</v>
      </c>
      <c r="AD203" s="323" t="e">
        <f t="shared" ca="1" si="113"/>
        <v>#N/A</v>
      </c>
      <c r="AE203" s="324">
        <f t="shared" ca="1" si="92"/>
        <v>261.87676839608088</v>
      </c>
      <c r="AG203" s="306">
        <f t="shared" ca="1" si="114"/>
        <v>-32.669845288781538</v>
      </c>
      <c r="AH203" s="304">
        <f t="shared" ca="1" si="115"/>
        <v>-23.057734770610125</v>
      </c>
    </row>
    <row r="204" spans="1:34" x14ac:dyDescent="0.2">
      <c r="A204" s="347">
        <f t="shared" ca="1" si="93"/>
        <v>0.01</v>
      </c>
      <c r="B204" s="304">
        <f t="shared" ca="1" si="94"/>
        <v>2.0000000000000013</v>
      </c>
      <c r="D204" s="306">
        <f t="shared" ca="1" si="95"/>
        <v>-4.5947466970061397</v>
      </c>
      <c r="E204" s="307">
        <f t="shared" ca="1" si="96"/>
        <v>-32.327119800116748</v>
      </c>
      <c r="F204" s="304">
        <f t="shared" ca="1" si="97"/>
        <v>32.652019413517884</v>
      </c>
      <c r="G204" s="306">
        <f t="shared" ca="1" si="98"/>
        <v>41.755466849078744</v>
      </c>
      <c r="H204" s="307">
        <f t="shared" ca="1" si="99"/>
        <v>204.52968719948515</v>
      </c>
      <c r="I204" s="304">
        <f t="shared" ca="1" si="100"/>
        <v>208.74844180904384</v>
      </c>
      <c r="J204" s="306">
        <f t="shared" ca="1" si="101"/>
        <v>51.856991656275248</v>
      </c>
      <c r="K204" s="307">
        <f t="shared" ca="1" si="102"/>
        <v>263.92368162406575</v>
      </c>
      <c r="L204" s="304">
        <f t="shared" ca="1" si="87"/>
        <v>268.96999331828863</v>
      </c>
      <c r="M204" s="306">
        <f t="shared" ca="1" si="103"/>
        <v>1.3694101535259882</v>
      </c>
      <c r="N204" s="304">
        <f t="shared" ca="1" si="104"/>
        <v>78.461422219401229</v>
      </c>
      <c r="P204" s="310">
        <f t="shared" ca="1" si="105"/>
        <v>23</v>
      </c>
      <c r="Q204" s="304">
        <f t="shared" ca="1" si="106"/>
        <v>0</v>
      </c>
      <c r="R204" s="306">
        <f t="shared" ca="1" si="107"/>
        <v>0</v>
      </c>
      <c r="S204" s="307">
        <f t="shared" ca="1" si="108"/>
        <v>7.4499999999999984</v>
      </c>
      <c r="T204" s="304">
        <f t="shared" ca="1" si="88"/>
        <v>73.084499999999991</v>
      </c>
      <c r="U204" s="311">
        <f t="shared" ca="1" si="89"/>
        <v>0</v>
      </c>
      <c r="V204" s="306">
        <f t="shared" ca="1" si="90"/>
        <v>1.193090433514348</v>
      </c>
      <c r="W204" s="304">
        <f t="shared" ca="1" si="91"/>
        <v>170.64110087027584</v>
      </c>
      <c r="Y204" s="314" t="str">
        <f t="shared" ca="1" si="109"/>
        <v/>
      </c>
      <c r="Z204" s="315" t="str">
        <f t="shared" ca="1" si="110"/>
        <v/>
      </c>
      <c r="AA204" s="316" t="str">
        <f t="shared" ca="1" si="111"/>
        <v/>
      </c>
      <c r="AC204" s="310">
        <f t="shared" ca="1" si="112"/>
        <v>2.0000000000000013</v>
      </c>
      <c r="AD204" s="323">
        <f t="shared" ca="1" si="113"/>
        <v>51.856991656275248</v>
      </c>
      <c r="AE204" s="324">
        <f t="shared" ca="1" si="92"/>
        <v>263.92368162406575</v>
      </c>
      <c r="AG204" s="306">
        <f t="shared" ca="1" si="114"/>
        <v>-32.593057629061818</v>
      </c>
      <c r="AH204" s="304">
        <f t="shared" ca="1" si="115"/>
        <v>-22.981130983971582</v>
      </c>
    </row>
    <row r="205" spans="1:34" x14ac:dyDescent="0.2">
      <c r="A205" s="347">
        <f t="shared" ca="1" si="93"/>
        <v>0.1</v>
      </c>
      <c r="B205" s="304">
        <f t="shared" ca="1" si="94"/>
        <v>2.1000000000000014</v>
      </c>
      <c r="D205" s="306">
        <f t="shared" ca="1" si="95"/>
        <v>-4.5816031932634678</v>
      </c>
      <c r="E205" s="307">
        <f t="shared" ca="1" si="96"/>
        <v>-32.251944461483461</v>
      </c>
      <c r="F205" s="304">
        <f t="shared" ca="1" si="97"/>
        <v>32.575742652580246</v>
      </c>
      <c r="G205" s="306">
        <f t="shared" ca="1" si="98"/>
        <v>41.297306529752397</v>
      </c>
      <c r="H205" s="307">
        <f t="shared" ca="1" si="99"/>
        <v>201.3044927533368</v>
      </c>
      <c r="I205" s="304">
        <f t="shared" ca="1" si="100"/>
        <v>205.49687668986738</v>
      </c>
      <c r="J205" s="306">
        <f t="shared" ca="1" si="101"/>
        <v>56.009630325216804</v>
      </c>
      <c r="K205" s="307">
        <f t="shared" ca="1" si="102"/>
        <v>284.21539062170683</v>
      </c>
      <c r="L205" s="304">
        <f t="shared" ca="1" si="87"/>
        <v>289.68166485888753</v>
      </c>
      <c r="M205" s="306">
        <f t="shared" ca="1" si="103"/>
        <v>1.3684552621981292</v>
      </c>
      <c r="N205" s="304">
        <f t="shared" ca="1" si="104"/>
        <v>78.406710976421266</v>
      </c>
      <c r="P205" s="310">
        <f t="shared" ca="1" si="105"/>
        <v>23</v>
      </c>
      <c r="Q205" s="304">
        <f t="shared" ca="1" si="106"/>
        <v>0</v>
      </c>
      <c r="R205" s="306">
        <f t="shared" ca="1" si="107"/>
        <v>0</v>
      </c>
      <c r="S205" s="307">
        <f t="shared" ca="1" si="108"/>
        <v>7.4499999999999984</v>
      </c>
      <c r="T205" s="304">
        <f t="shared" ca="1" si="88"/>
        <v>73.084499999999991</v>
      </c>
      <c r="U205" s="311">
        <f t="shared" ca="1" si="89"/>
        <v>0</v>
      </c>
      <c r="V205" s="306">
        <f t="shared" ca="1" si="90"/>
        <v>1.190671449764573</v>
      </c>
      <c r="W205" s="304">
        <f t="shared" ca="1" si="91"/>
        <v>165.03124922319125</v>
      </c>
      <c r="Y205" s="314" t="str">
        <f t="shared" ca="1" si="109"/>
        <v/>
      </c>
      <c r="Z205" s="315" t="str">
        <f t="shared" ca="1" si="110"/>
        <v/>
      </c>
      <c r="AA205" s="316" t="str">
        <f t="shared" ca="1" si="111"/>
        <v/>
      </c>
      <c r="AC205" s="310" t="e">
        <f t="shared" ca="1" si="112"/>
        <v>#N/A</v>
      </c>
      <c r="AD205" s="323" t="e">
        <f t="shared" ca="1" si="113"/>
        <v>#N/A</v>
      </c>
      <c r="AE205" s="324">
        <f t="shared" ca="1" si="92"/>
        <v>284.21539062170683</v>
      </c>
      <c r="AG205" s="306">
        <f t="shared" ca="1" si="114"/>
        <v>-32.516588069881593</v>
      </c>
      <c r="AH205" s="304">
        <f t="shared" ca="1" si="115"/>
        <v>-22.904845754399446</v>
      </c>
    </row>
    <row r="206" spans="1:34" x14ac:dyDescent="0.2">
      <c r="A206" s="347">
        <f t="shared" ca="1" si="93"/>
        <v>0.1</v>
      </c>
      <c r="B206" s="304">
        <f t="shared" ca="1" si="94"/>
        <v>2.2000000000000015</v>
      </c>
      <c r="D206" s="306">
        <f t="shared" ca="1" si="95"/>
        <v>-4.4517053977887215</v>
      </c>
      <c r="E206" s="307">
        <f t="shared" ca="1" si="96"/>
        <v>-31.509921188407894</v>
      </c>
      <c r="F206" s="304">
        <f t="shared" ca="1" si="97"/>
        <v>31.822834792776995</v>
      </c>
      <c r="G206" s="306">
        <f t="shared" ca="1" si="98"/>
        <v>40.852135989973526</v>
      </c>
      <c r="H206" s="307">
        <f t="shared" ca="1" si="99"/>
        <v>198.15350063449603</v>
      </c>
      <c r="I206" s="304">
        <f t="shared" ca="1" si="100"/>
        <v>202.32080176948813</v>
      </c>
      <c r="J206" s="306">
        <f t="shared" ca="1" si="101"/>
        <v>60.117102451203102</v>
      </c>
      <c r="K206" s="307">
        <f t="shared" ca="1" si="102"/>
        <v>304.1882902910985</v>
      </c>
      <c r="L206" s="304">
        <f t="shared" ca="1" si="87"/>
        <v>310.07189804519544</v>
      </c>
      <c r="M206" s="306">
        <f t="shared" ca="1" si="103"/>
        <v>1.3674808447756821</v>
      </c>
      <c r="N206" s="304">
        <f t="shared" ca="1" si="104"/>
        <v>78.350880970631039</v>
      </c>
      <c r="P206" s="310">
        <f t="shared" ca="1" si="105"/>
        <v>23</v>
      </c>
      <c r="Q206" s="304">
        <f t="shared" ca="1" si="106"/>
        <v>0</v>
      </c>
      <c r="R206" s="306">
        <f t="shared" ca="1" si="107"/>
        <v>0</v>
      </c>
      <c r="S206" s="307">
        <f t="shared" ca="1" si="108"/>
        <v>7.4499999999999984</v>
      </c>
      <c r="T206" s="304">
        <f t="shared" ca="1" si="88"/>
        <v>73.084499999999991</v>
      </c>
      <c r="U206" s="311">
        <f t="shared" ca="1" si="89"/>
        <v>0</v>
      </c>
      <c r="V206" s="306">
        <f t="shared" ca="1" si="90"/>
        <v>1.1882951930627264</v>
      </c>
      <c r="W206" s="304">
        <f t="shared" ca="1" si="91"/>
        <v>159.65010594802885</v>
      </c>
      <c r="Y206" s="314" t="str">
        <f t="shared" ca="1" si="109"/>
        <v/>
      </c>
      <c r="Z206" s="315" t="str">
        <f t="shared" ca="1" si="110"/>
        <v/>
      </c>
      <c r="AA206" s="316" t="str">
        <f t="shared" ca="1" si="111"/>
        <v/>
      </c>
      <c r="AC206" s="310" t="e">
        <f t="shared" ca="1" si="112"/>
        <v>#N/A</v>
      </c>
      <c r="AD206" s="323" t="e">
        <f t="shared" ca="1" si="113"/>
        <v>#N/A</v>
      </c>
      <c r="AE206" s="324">
        <f t="shared" ca="1" si="92"/>
        <v>304.1882902910985</v>
      </c>
      <c r="AG206" s="306">
        <f t="shared" ca="1" si="114"/>
        <v>-31.761709710912285</v>
      </c>
      <c r="AH206" s="304">
        <f t="shared" ca="1" si="115"/>
        <v>-22.151845533314265</v>
      </c>
    </row>
    <row r="207" spans="1:34" x14ac:dyDescent="0.2">
      <c r="A207" s="347">
        <f t="shared" ca="1" si="93"/>
        <v>0.1</v>
      </c>
      <c r="B207" s="304">
        <f t="shared" ca="1" si="94"/>
        <v>2.3000000000000016</v>
      </c>
      <c r="D207" s="306">
        <f t="shared" ca="1" si="95"/>
        <v>-4.3270027367269392</v>
      </c>
      <c r="E207" s="307">
        <f t="shared" ca="1" si="96"/>
        <v>-30.798149548604371</v>
      </c>
      <c r="F207" s="304">
        <f t="shared" ca="1" si="97"/>
        <v>31.100626493719417</v>
      </c>
      <c r="G207" s="306">
        <f t="shared" ca="1" si="98"/>
        <v>40.419435716300832</v>
      </c>
      <c r="H207" s="307">
        <f t="shared" ca="1" si="99"/>
        <v>195.07368567963559</v>
      </c>
      <c r="I207" s="304">
        <f t="shared" ca="1" si="100"/>
        <v>199.21715194295254</v>
      </c>
      <c r="J207" s="306">
        <f t="shared" ca="1" si="101"/>
        <v>64.180681036516816</v>
      </c>
      <c r="K207" s="307">
        <f t="shared" ca="1" si="102"/>
        <v>323.84964960680509</v>
      </c>
      <c r="L207" s="304">
        <f t="shared" ca="1" si="87"/>
        <v>330.14808097089031</v>
      </c>
      <c r="M207" s="306">
        <f t="shared" ca="1" si="103"/>
        <v>1.3664865467353648</v>
      </c>
      <c r="N207" s="304">
        <f t="shared" ca="1" si="104"/>
        <v>78.293911889342723</v>
      </c>
      <c r="P207" s="310">
        <f t="shared" ca="1" si="105"/>
        <v>23</v>
      </c>
      <c r="Q207" s="304">
        <f t="shared" ca="1" si="106"/>
        <v>0</v>
      </c>
      <c r="R207" s="306">
        <f t="shared" ca="1" si="107"/>
        <v>0</v>
      </c>
      <c r="S207" s="307">
        <f t="shared" ca="1" si="108"/>
        <v>7.4499999999999984</v>
      </c>
      <c r="T207" s="304">
        <f t="shared" ca="1" si="88"/>
        <v>73.084499999999991</v>
      </c>
      <c r="U207" s="311">
        <f t="shared" ca="1" si="89"/>
        <v>0</v>
      </c>
      <c r="V207" s="306">
        <f t="shared" ca="1" si="90"/>
        <v>1.1859605633176873</v>
      </c>
      <c r="W207" s="304">
        <f t="shared" ca="1" si="91"/>
        <v>154.48541994127748</v>
      </c>
      <c r="Y207" s="314" t="str">
        <f t="shared" ca="1" si="109"/>
        <v/>
      </c>
      <c r="Z207" s="315" t="str">
        <f t="shared" ca="1" si="110"/>
        <v/>
      </c>
      <c r="AA207" s="316" t="str">
        <f t="shared" ca="1" si="111"/>
        <v/>
      </c>
      <c r="AC207" s="310" t="e">
        <f t="shared" ca="1" si="112"/>
        <v>#N/A</v>
      </c>
      <c r="AD207" s="323" t="e">
        <f t="shared" ca="1" si="113"/>
        <v>#N/A</v>
      </c>
      <c r="AE207" s="324">
        <f t="shared" ca="1" si="92"/>
        <v>323.84964960680509</v>
      </c>
      <c r="AG207" s="306">
        <f t="shared" ca="1" si="114"/>
        <v>-31.037483024137799</v>
      </c>
      <c r="AH207" s="304">
        <f t="shared" ca="1" si="115"/>
        <v>-21.429544422554212</v>
      </c>
    </row>
    <row r="208" spans="1:34" x14ac:dyDescent="0.2">
      <c r="A208" s="347">
        <f t="shared" ca="1" si="93"/>
        <v>0.1</v>
      </c>
      <c r="B208" s="304">
        <f t="shared" ca="1" si="94"/>
        <v>2.4000000000000017</v>
      </c>
      <c r="D208" s="306">
        <f t="shared" ca="1" si="95"/>
        <v>-4.2072153676001296</v>
      </c>
      <c r="E208" s="307">
        <f t="shared" ca="1" si="96"/>
        <v>-30.115009054710079</v>
      </c>
      <c r="F208" s="304">
        <f t="shared" ca="1" si="97"/>
        <v>30.40747328395835</v>
      </c>
      <c r="G208" s="306">
        <f t="shared" ca="1" si="98"/>
        <v>39.998714179540819</v>
      </c>
      <c r="H208" s="307">
        <f t="shared" ca="1" si="99"/>
        <v>192.06218477416459</v>
      </c>
      <c r="I208" s="304">
        <f t="shared" ca="1" si="100"/>
        <v>196.18302667723816</v>
      </c>
      <c r="J208" s="306">
        <f t="shared" ca="1" si="101"/>
        <v>68.2015885313089</v>
      </c>
      <c r="K208" s="307">
        <f t="shared" ca="1" si="102"/>
        <v>343.20644312949509</v>
      </c>
      <c r="L208" s="304">
        <f t="shared" ca="1" si="87"/>
        <v>349.91730349297291</v>
      </c>
      <c r="M208" s="306">
        <f t="shared" ca="1" si="103"/>
        <v>1.365472002072492</v>
      </c>
      <c r="N208" s="304">
        <f t="shared" ca="1" si="104"/>
        <v>78.235782762032585</v>
      </c>
      <c r="P208" s="310">
        <f t="shared" ca="1" si="105"/>
        <v>23</v>
      </c>
      <c r="Q208" s="304">
        <f t="shared" ca="1" si="106"/>
        <v>0</v>
      </c>
      <c r="R208" s="306">
        <f t="shared" ca="1" si="107"/>
        <v>0</v>
      </c>
      <c r="S208" s="307">
        <f t="shared" ca="1" si="108"/>
        <v>7.4499999999999984</v>
      </c>
      <c r="T208" s="304">
        <f t="shared" ca="1" si="88"/>
        <v>73.084499999999991</v>
      </c>
      <c r="U208" s="311">
        <f t="shared" ca="1" si="89"/>
        <v>0</v>
      </c>
      <c r="V208" s="306">
        <f t="shared" ca="1" si="90"/>
        <v>1.1836665067762095</v>
      </c>
      <c r="W208" s="304">
        <f t="shared" ca="1" si="91"/>
        <v>149.52575909252818</v>
      </c>
      <c r="Y208" s="314" t="str">
        <f t="shared" ca="1" si="109"/>
        <v/>
      </c>
      <c r="Z208" s="315" t="str">
        <f t="shared" ca="1" si="110"/>
        <v/>
      </c>
      <c r="AA208" s="316" t="str">
        <f t="shared" ca="1" si="111"/>
        <v/>
      </c>
      <c r="AC208" s="310" t="e">
        <f t="shared" ca="1" si="112"/>
        <v>#N/A</v>
      </c>
      <c r="AD208" s="323" t="e">
        <f t="shared" ca="1" si="113"/>
        <v>#N/A</v>
      </c>
      <c r="AE208" s="324">
        <f t="shared" ca="1" si="92"/>
        <v>343.20644312949509</v>
      </c>
      <c r="AG208" s="306">
        <f t="shared" ca="1" si="114"/>
        <v>-30.342262313860353</v>
      </c>
      <c r="AH208" s="304">
        <f t="shared" ca="1" si="115"/>
        <v>-20.736297978694967</v>
      </c>
    </row>
    <row r="209" spans="1:34" x14ac:dyDescent="0.2">
      <c r="A209" s="347">
        <f t="shared" ca="1" si="93"/>
        <v>0.1</v>
      </c>
      <c r="B209" s="304">
        <f t="shared" ca="1" si="94"/>
        <v>2.5000000000000018</v>
      </c>
      <c r="D209" s="306">
        <f t="shared" ca="1" si="95"/>
        <v>-4.0920821441905417</v>
      </c>
      <c r="E209" s="307">
        <f t="shared" ca="1" si="96"/>
        <v>-29.458987548969404</v>
      </c>
      <c r="F209" s="304">
        <f t="shared" ca="1" si="97"/>
        <v>29.741840623692699</v>
      </c>
      <c r="G209" s="306">
        <f t="shared" ca="1" si="98"/>
        <v>39.589505965121766</v>
      </c>
      <c r="H209" s="307">
        <f t="shared" ca="1" si="99"/>
        <v>189.11628601926765</v>
      </c>
      <c r="I209" s="304">
        <f t="shared" ca="1" si="100"/>
        <v>193.21567902290917</v>
      </c>
      <c r="J209" s="306">
        <f t="shared" ca="1" si="101"/>
        <v>72.180999538542025</v>
      </c>
      <c r="K209" s="307">
        <f t="shared" ca="1" si="102"/>
        <v>362.26536666916672</v>
      </c>
      <c r="L209" s="304">
        <f t="shared" ca="1" si="87"/>
        <v>369.38637303280268</v>
      </c>
      <c r="M209" s="306">
        <f t="shared" ca="1" si="103"/>
        <v>1.364436832925594</v>
      </c>
      <c r="N209" s="304">
        <f t="shared" ca="1" si="104"/>
        <v>78.176471938833174</v>
      </c>
      <c r="P209" s="310">
        <f t="shared" ca="1" si="105"/>
        <v>23</v>
      </c>
      <c r="Q209" s="304">
        <f t="shared" ca="1" si="106"/>
        <v>0</v>
      </c>
      <c r="R209" s="306">
        <f t="shared" ca="1" si="107"/>
        <v>0</v>
      </c>
      <c r="S209" s="307">
        <f t="shared" ca="1" si="108"/>
        <v>7.4499999999999984</v>
      </c>
      <c r="T209" s="304">
        <f t="shared" ca="1" si="88"/>
        <v>73.084499999999991</v>
      </c>
      <c r="U209" s="311">
        <f t="shared" ca="1" si="89"/>
        <v>0</v>
      </c>
      <c r="V209" s="306">
        <f t="shared" ca="1" si="90"/>
        <v>1.1814120134789974</v>
      </c>
      <c r="W209" s="304">
        <f t="shared" ca="1" si="91"/>
        <v>144.76044512759077</v>
      </c>
      <c r="Y209" s="314" t="str">
        <f t="shared" ca="1" si="109"/>
        <v/>
      </c>
      <c r="Z209" s="315" t="str">
        <f t="shared" ca="1" si="110"/>
        <v/>
      </c>
      <c r="AA209" s="316" t="str">
        <f t="shared" ca="1" si="111"/>
        <v/>
      </c>
      <c r="AC209" s="310" t="e">
        <f t="shared" ca="1" si="112"/>
        <v>#N/A</v>
      </c>
      <c r="AD209" s="323" t="e">
        <f t="shared" ca="1" si="113"/>
        <v>#N/A</v>
      </c>
      <c r="AE209" s="324">
        <f t="shared" ca="1" si="92"/>
        <v>362.26536666916672</v>
      </c>
      <c r="AG209" s="306">
        <f t="shared" ca="1" si="114"/>
        <v>-29.674511768810945</v>
      </c>
      <c r="AH209" s="304">
        <f t="shared" ca="1" si="115"/>
        <v>-20.070571690272242</v>
      </c>
    </row>
    <row r="210" spans="1:34" x14ac:dyDescent="0.2">
      <c r="A210" s="347">
        <f t="shared" ca="1" si="93"/>
        <v>0.1</v>
      </c>
      <c r="B210" s="304">
        <f t="shared" ca="1" si="94"/>
        <v>2.6000000000000019</v>
      </c>
      <c r="D210" s="306">
        <f t="shared" ca="1" si="95"/>
        <v>-3.9813591287854586</v>
      </c>
      <c r="E210" s="307">
        <f t="shared" ca="1" si="96"/>
        <v>-28.828672584804444</v>
      </c>
      <c r="F210" s="304">
        <f t="shared" ca="1" si="97"/>
        <v>29.102295158873957</v>
      </c>
      <c r="G210" s="306">
        <f t="shared" ca="1" si="98"/>
        <v>39.191370052243222</v>
      </c>
      <c r="H210" s="307">
        <f t="shared" ca="1" si="99"/>
        <v>186.2334187607872</v>
      </c>
      <c r="I210" s="304">
        <f t="shared" ca="1" si="100"/>
        <v>190.31250550056504</v>
      </c>
      <c r="J210" s="306">
        <f t="shared" ca="1" si="101"/>
        <v>76.120043339410273</v>
      </c>
      <c r="K210" s="307">
        <f t="shared" ca="1" si="102"/>
        <v>381.03285190816945</v>
      </c>
      <c r="L210" s="304">
        <f t="shared" ca="1" si="87"/>
        <v>388.56182935443707</v>
      </c>
      <c r="M210" s="306">
        <f t="shared" ca="1" si="103"/>
        <v>1.3633806491837661</v>
      </c>
      <c r="N210" s="304">
        <f t="shared" ca="1" si="104"/>
        <v>78.11595706803611</v>
      </c>
      <c r="P210" s="310">
        <f t="shared" ca="1" si="105"/>
        <v>23</v>
      </c>
      <c r="Q210" s="304">
        <f t="shared" ca="1" si="106"/>
        <v>0</v>
      </c>
      <c r="R210" s="306">
        <f t="shared" ca="1" si="107"/>
        <v>0</v>
      </c>
      <c r="S210" s="307">
        <f t="shared" ca="1" si="108"/>
        <v>7.4499999999999984</v>
      </c>
      <c r="T210" s="304">
        <f t="shared" ca="1" si="88"/>
        <v>73.084499999999991</v>
      </c>
      <c r="U210" s="311">
        <f t="shared" ca="1" si="89"/>
        <v>0</v>
      </c>
      <c r="V210" s="306">
        <f t="shared" ca="1" si="90"/>
        <v>1.1791961148898491</v>
      </c>
      <c r="W210" s="304">
        <f t="shared" ca="1" si="91"/>
        <v>140.17949444585855</v>
      </c>
      <c r="Y210" s="314" t="str">
        <f t="shared" ca="1" si="109"/>
        <v/>
      </c>
      <c r="Z210" s="315" t="str">
        <f t="shared" ca="1" si="110"/>
        <v/>
      </c>
      <c r="AA210" s="316" t="str">
        <f t="shared" ca="1" si="111"/>
        <v/>
      </c>
      <c r="AC210" s="310" t="e">
        <f t="shared" ca="1" si="112"/>
        <v>#N/A</v>
      </c>
      <c r="AD210" s="323" t="e">
        <f t="shared" ca="1" si="113"/>
        <v>#N/A</v>
      </c>
      <c r="AE210" s="324">
        <f t="shared" ca="1" si="92"/>
        <v>381.03285190816945</v>
      </c>
      <c r="AG210" s="306">
        <f t="shared" ca="1" si="114"/>
        <v>-29.032796714271434</v>
      </c>
      <c r="AH210" s="304">
        <f t="shared" ca="1" si="115"/>
        <v>-19.430932231891383</v>
      </c>
    </row>
    <row r="211" spans="1:34" x14ac:dyDescent="0.2">
      <c r="A211" s="347">
        <f t="shared" ca="1" si="93"/>
        <v>0.1</v>
      </c>
      <c r="B211" s="304">
        <f t="shared" ca="1" si="94"/>
        <v>2.700000000000002</v>
      </c>
      <c r="D211" s="306">
        <f t="shared" ca="1" si="95"/>
        <v>-3.8748182412991889</v>
      </c>
      <c r="E211" s="307">
        <f t="shared" ca="1" si="96"/>
        <v>-28.222743601253747</v>
      </c>
      <c r="F211" s="304">
        <f t="shared" ca="1" si="97"/>
        <v>28.487496779907044</v>
      </c>
      <c r="G211" s="306">
        <f t="shared" ca="1" si="98"/>
        <v>38.803888228113301</v>
      </c>
      <c r="H211" s="307">
        <f t="shared" ca="1" si="99"/>
        <v>183.41114440066184</v>
      </c>
      <c r="I211" s="304">
        <f t="shared" ca="1" si="100"/>
        <v>187.47103678163285</v>
      </c>
      <c r="J211" s="306">
        <f t="shared" ca="1" si="101"/>
        <v>80.019806253428101</v>
      </c>
      <c r="K211" s="307">
        <f t="shared" ca="1" si="102"/>
        <v>399.51508006624192</v>
      </c>
      <c r="L211" s="304">
        <f t="shared" ca="1" si="87"/>
        <v>407.4499583914224</v>
      </c>
      <c r="M211" s="306">
        <f t="shared" ca="1" si="103"/>
        <v>1.3623030480759581</v>
      </c>
      <c r="N211" s="304">
        <f t="shared" ca="1" si="104"/>
        <v>78.054215072560083</v>
      </c>
      <c r="P211" s="310">
        <f t="shared" ca="1" si="105"/>
        <v>23</v>
      </c>
      <c r="Q211" s="304">
        <f t="shared" ca="1" si="106"/>
        <v>0</v>
      </c>
      <c r="R211" s="306">
        <f t="shared" ca="1" si="107"/>
        <v>0</v>
      </c>
      <c r="S211" s="307">
        <f t="shared" ca="1" si="108"/>
        <v>7.4499999999999984</v>
      </c>
      <c r="T211" s="304">
        <f t="shared" ca="1" si="88"/>
        <v>73.084499999999991</v>
      </c>
      <c r="U211" s="311">
        <f t="shared" ca="1" si="89"/>
        <v>0</v>
      </c>
      <c r="V211" s="306">
        <f t="shared" ca="1" si="90"/>
        <v>1.1770178816839254</v>
      </c>
      <c r="W211" s="304">
        <f t="shared" ca="1" si="91"/>
        <v>135.77356432787803</v>
      </c>
      <c r="Y211" s="314" t="str">
        <f t="shared" ca="1" si="109"/>
        <v/>
      </c>
      <c r="Z211" s="315" t="str">
        <f t="shared" ca="1" si="110"/>
        <v/>
      </c>
      <c r="AA211" s="316" t="str">
        <f t="shared" ca="1" si="111"/>
        <v/>
      </c>
      <c r="AC211" s="310" t="e">
        <f t="shared" ca="1" si="112"/>
        <v>#N/A</v>
      </c>
      <c r="AD211" s="323" t="e">
        <f t="shared" ca="1" si="113"/>
        <v>#N/A</v>
      </c>
      <c r="AE211" s="324">
        <f t="shared" ca="1" si="92"/>
        <v>399.51508006624192</v>
      </c>
      <c r="AG211" s="306">
        <f t="shared" ca="1" si="114"/>
        <v>-28.415775668690884</v>
      </c>
      <c r="AH211" s="304">
        <f t="shared" ca="1" si="115"/>
        <v>-18.816039522934037</v>
      </c>
    </row>
    <row r="212" spans="1:34" x14ac:dyDescent="0.2">
      <c r="A212" s="347">
        <f t="shared" ca="1" si="93"/>
        <v>0.1</v>
      </c>
      <c r="B212" s="304">
        <f t="shared" ca="1" si="94"/>
        <v>2.800000000000002</v>
      </c>
      <c r="D212" s="306">
        <f t="shared" ca="1" si="95"/>
        <v>-3.772246031021917</v>
      </c>
      <c r="E212" s="307">
        <f t="shared" ca="1" si="96"/>
        <v>-27.639964807736071</v>
      </c>
      <c r="F212" s="304">
        <f t="shared" ca="1" si="97"/>
        <v>27.896191401183227</v>
      </c>
      <c r="G212" s="306">
        <f t="shared" ca="1" si="98"/>
        <v>38.426663625011109</v>
      </c>
      <c r="H212" s="307">
        <f t="shared" ca="1" si="99"/>
        <v>180.64714791988823</v>
      </c>
      <c r="I212" s="304">
        <f t="shared" ca="1" si="100"/>
        <v>184.68892909143128</v>
      </c>
      <c r="J212" s="306">
        <f t="shared" ca="1" si="101"/>
        <v>83.881333846084317</v>
      </c>
      <c r="K212" s="307">
        <f t="shared" ca="1" si="102"/>
        <v>417.71799468226942</v>
      </c>
      <c r="L212" s="304">
        <f t="shared" ca="1" si="87"/>
        <v>426.05680519054584</v>
      </c>
      <c r="M212" s="306">
        <f t="shared" ca="1" si="103"/>
        <v>1.3612036137413659</v>
      </c>
      <c r="N212" s="304">
        <f t="shared" ca="1" si="104"/>
        <v>77.991222125336179</v>
      </c>
      <c r="P212" s="310">
        <f t="shared" ca="1" si="105"/>
        <v>23</v>
      </c>
      <c r="Q212" s="304">
        <f t="shared" ca="1" si="106"/>
        <v>0</v>
      </c>
      <c r="R212" s="306">
        <f t="shared" ca="1" si="107"/>
        <v>0</v>
      </c>
      <c r="S212" s="307">
        <f t="shared" ca="1" si="108"/>
        <v>7.4499999999999984</v>
      </c>
      <c r="T212" s="304">
        <f t="shared" ca="1" si="88"/>
        <v>73.084499999999991</v>
      </c>
      <c r="U212" s="311">
        <f t="shared" ca="1" si="89"/>
        <v>0</v>
      </c>
      <c r="V212" s="306">
        <f t="shared" ca="1" si="90"/>
        <v>1.1748764216824767</v>
      </c>
      <c r="W212" s="304">
        <f t="shared" ca="1" si="91"/>
        <v>131.53390396141569</v>
      </c>
      <c r="Y212" s="314" t="str">
        <f t="shared" ca="1" si="109"/>
        <v/>
      </c>
      <c r="Z212" s="315" t="str">
        <f t="shared" ca="1" si="110"/>
        <v/>
      </c>
      <c r="AA212" s="316" t="str">
        <f t="shared" ca="1" si="111"/>
        <v/>
      </c>
      <c r="AC212" s="310" t="e">
        <f t="shared" ca="1" si="112"/>
        <v>#N/A</v>
      </c>
      <c r="AD212" s="323" t="e">
        <f t="shared" ca="1" si="113"/>
        <v>#N/A</v>
      </c>
      <c r="AE212" s="324">
        <f t="shared" ca="1" si="92"/>
        <v>417.71799468226942</v>
      </c>
      <c r="AG212" s="306">
        <f t="shared" ca="1" si="114"/>
        <v>-27.822193121026277</v>
      </c>
      <c r="AH212" s="304">
        <f t="shared" ca="1" si="115"/>
        <v>-18.224639507097727</v>
      </c>
    </row>
    <row r="213" spans="1:34" x14ac:dyDescent="0.2">
      <c r="A213" s="347">
        <f t="shared" ca="1" si="93"/>
        <v>0.1</v>
      </c>
      <c r="B213" s="304">
        <f t="shared" ca="1" si="94"/>
        <v>2.9000000000000021</v>
      </c>
      <c r="D213" s="306">
        <f t="shared" ca="1" si="95"/>
        <v>-3.6734425583970562</v>
      </c>
      <c r="E213" s="307">
        <f t="shared" ca="1" si="96"/>
        <v>-27.07917870616393</v>
      </c>
      <c r="F213" s="304">
        <f t="shared" ca="1" si="97"/>
        <v>27.327204387390321</v>
      </c>
      <c r="G213" s="306">
        <f t="shared" ca="1" si="98"/>
        <v>38.059319369171405</v>
      </c>
      <c r="H213" s="307">
        <f t="shared" ca="1" si="99"/>
        <v>177.93923004927183</v>
      </c>
      <c r="I213" s="304">
        <f t="shared" ca="1" si="100"/>
        <v>181.96395626984005</v>
      </c>
      <c r="J213" s="306">
        <f t="shared" ca="1" si="101"/>
        <v>87.705632995793437</v>
      </c>
      <c r="K213" s="307">
        <f t="shared" ca="1" si="102"/>
        <v>435.64731358072743</v>
      </c>
      <c r="L213" s="304">
        <f t="shared" ca="1" si="87"/>
        <v>444.38818603704743</v>
      </c>
      <c r="M213" s="306">
        <f t="shared" ca="1" si="103"/>
        <v>1.36008191678003</v>
      </c>
      <c r="N213" s="304">
        <f t="shared" ca="1" si="104"/>
        <v>77.926953623558973</v>
      </c>
      <c r="P213" s="310">
        <f t="shared" ca="1" si="105"/>
        <v>23</v>
      </c>
      <c r="Q213" s="304">
        <f t="shared" ca="1" si="106"/>
        <v>0</v>
      </c>
      <c r="R213" s="306">
        <f t="shared" ca="1" si="107"/>
        <v>0</v>
      </c>
      <c r="S213" s="307">
        <f t="shared" ca="1" si="108"/>
        <v>7.4499999999999984</v>
      </c>
      <c r="T213" s="304">
        <f t="shared" ca="1" si="88"/>
        <v>73.084499999999991</v>
      </c>
      <c r="U213" s="311">
        <f t="shared" ca="1" si="89"/>
        <v>0</v>
      </c>
      <c r="V213" s="306">
        <f t="shared" ca="1" si="90"/>
        <v>1.172770877922547</v>
      </c>
      <c r="W213" s="304">
        <f t="shared" ca="1" si="91"/>
        <v>127.45230979743627</v>
      </c>
      <c r="Y213" s="314" t="str">
        <f t="shared" ca="1" si="109"/>
        <v/>
      </c>
      <c r="Z213" s="315" t="str">
        <f t="shared" ca="1" si="110"/>
        <v/>
      </c>
      <c r="AA213" s="316" t="str">
        <f t="shared" ca="1" si="111"/>
        <v/>
      </c>
      <c r="AC213" s="310" t="e">
        <f t="shared" ca="1" si="112"/>
        <v>#N/A</v>
      </c>
      <c r="AD213" s="323" t="e">
        <f t="shared" ca="1" si="113"/>
        <v>#N/A</v>
      </c>
      <c r="AE213" s="324">
        <f t="shared" ca="1" si="92"/>
        <v>435.64731358072743</v>
      </c>
      <c r="AG213" s="306">
        <f t="shared" ca="1" si="114"/>
        <v>-27.250872954746654</v>
      </c>
      <c r="AH213" s="304">
        <f t="shared" ca="1" si="115"/>
        <v>-17.65555757871352</v>
      </c>
    </row>
    <row r="214" spans="1:34" x14ac:dyDescent="0.2">
      <c r="A214" s="347">
        <f t="shared" ca="1" si="93"/>
        <v>0.1</v>
      </c>
      <c r="B214" s="304">
        <f t="shared" ca="1" si="94"/>
        <v>3.0000000000000022</v>
      </c>
      <c r="D214" s="306">
        <f t="shared" ca="1" si="95"/>
        <v>-3.5782203756702327</v>
      </c>
      <c r="E214" s="307">
        <f t="shared" ca="1" si="96"/>
        <v>-26.539300185780995</v>
      </c>
      <c r="F214" s="304">
        <f t="shared" ca="1" si="97"/>
        <v>26.779434561018213</v>
      </c>
      <c r="G214" s="306">
        <f t="shared" ca="1" si="98"/>
        <v>37.701497331604379</v>
      </c>
      <c r="H214" s="307">
        <f t="shared" ca="1" si="99"/>
        <v>175.28530003069372</v>
      </c>
      <c r="I214" s="304">
        <f t="shared" ca="1" si="100"/>
        <v>179.2940024314681</v>
      </c>
      <c r="J214" s="306">
        <f t="shared" ca="1" si="101"/>
        <v>91.493673830832222</v>
      </c>
      <c r="K214" s="307">
        <f t="shared" ca="1" si="102"/>
        <v>453.30854008472568</v>
      </c>
      <c r="L214" s="304">
        <f t="shared" ca="1" si="87"/>
        <v>462.44969982129737</v>
      </c>
      <c r="M214" s="306">
        <f t="shared" ca="1" si="103"/>
        <v>1.358937513782704</v>
      </c>
      <c r="N214" s="304">
        <f t="shared" ca="1" si="104"/>
        <v>77.861384161750081</v>
      </c>
      <c r="P214" s="310">
        <f t="shared" ca="1" si="105"/>
        <v>23</v>
      </c>
      <c r="Q214" s="304">
        <f t="shared" ca="1" si="106"/>
        <v>0</v>
      </c>
      <c r="R214" s="306">
        <f t="shared" ca="1" si="107"/>
        <v>0</v>
      </c>
      <c r="S214" s="307">
        <f t="shared" ca="1" si="108"/>
        <v>7.4499999999999984</v>
      </c>
      <c r="T214" s="304">
        <f t="shared" ca="1" si="88"/>
        <v>73.084499999999991</v>
      </c>
      <c r="U214" s="311">
        <f t="shared" ca="1" si="89"/>
        <v>0</v>
      </c>
      <c r="V214" s="306">
        <f t="shared" ca="1" si="90"/>
        <v>1.1707004268511867</v>
      </c>
      <c r="W214" s="304">
        <f t="shared" ca="1" si="91"/>
        <v>123.5210848025819</v>
      </c>
      <c r="Y214" s="314" t="str">
        <f t="shared" ca="1" si="109"/>
        <v/>
      </c>
      <c r="Z214" s="315" t="str">
        <f t="shared" ca="1" si="110"/>
        <v/>
      </c>
      <c r="AA214" s="316" t="str">
        <f t="shared" ca="1" si="111"/>
        <v/>
      </c>
      <c r="AC214" s="310">
        <f t="shared" ca="1" si="112"/>
        <v>3.0000000000000022</v>
      </c>
      <c r="AD214" s="323">
        <f t="shared" ca="1" si="113"/>
        <v>91.493673830832222</v>
      </c>
      <c r="AE214" s="324">
        <f t="shared" ca="1" si="92"/>
        <v>453.30854008472568</v>
      </c>
      <c r="AG214" s="306">
        <f t="shared" ca="1" si="114"/>
        <v>-26.700712452912128</v>
      </c>
      <c r="AH214" s="304">
        <f t="shared" ca="1" si="115"/>
        <v>-17.107692590259905</v>
      </c>
    </row>
    <row r="215" spans="1:34" x14ac:dyDescent="0.2">
      <c r="A215" s="347">
        <f t="shared" ca="1" si="93"/>
        <v>0.1</v>
      </c>
      <c r="B215" s="304">
        <f t="shared" ca="1" si="94"/>
        <v>3.1000000000000023</v>
      </c>
      <c r="D215" s="306">
        <f t="shared" ca="1" si="95"/>
        <v>-3.4864035965128699</v>
      </c>
      <c r="E215" s="307">
        <f t="shared" ca="1" si="96"/>
        <v>-26.019311133395306</v>
      </c>
      <c r="F215" s="304">
        <f t="shared" ca="1" si="97"/>
        <v>26.251848732883683</v>
      </c>
      <c r="G215" s="306">
        <f t="shared" ca="1" si="98"/>
        <v>37.352856971953095</v>
      </c>
      <c r="H215" s="307">
        <f t="shared" ca="1" si="99"/>
        <v>172.68336891735419</v>
      </c>
      <c r="I215" s="304">
        <f t="shared" ca="1" si="100"/>
        <v>176.67705517303096</v>
      </c>
      <c r="J215" s="306">
        <f t="shared" ca="1" si="101"/>
        <v>95.246391546010102</v>
      </c>
      <c r="K215" s="307">
        <f t="shared" ca="1" si="102"/>
        <v>470.70697353212807</v>
      </c>
      <c r="L215" s="304">
        <f t="shared" ca="1" si="87"/>
        <v>480.24673870242094</v>
      </c>
      <c r="M215" s="306">
        <f t="shared" ca="1" si="103"/>
        <v>1.357769946838983</v>
      </c>
      <c r="N215" s="304">
        <f t="shared" ca="1" si="104"/>
        <v>77.79448750357588</v>
      </c>
      <c r="P215" s="310">
        <f t="shared" ca="1" si="105"/>
        <v>23</v>
      </c>
      <c r="Q215" s="304">
        <f t="shared" ca="1" si="106"/>
        <v>0</v>
      </c>
      <c r="R215" s="306">
        <f t="shared" ca="1" si="107"/>
        <v>0</v>
      </c>
      <c r="S215" s="307">
        <f t="shared" ca="1" si="108"/>
        <v>7.4499999999999984</v>
      </c>
      <c r="T215" s="304">
        <f t="shared" ca="1" si="88"/>
        <v>73.084499999999991</v>
      </c>
      <c r="U215" s="311">
        <f t="shared" ca="1" si="89"/>
        <v>0</v>
      </c>
      <c r="V215" s="306">
        <f t="shared" ca="1" si="90"/>
        <v>1.1686642766346664</v>
      </c>
      <c r="W215" s="304">
        <f t="shared" ca="1" si="91"/>
        <v>119.7330012230711</v>
      </c>
      <c r="Y215" s="314" t="str">
        <f t="shared" ca="1" si="109"/>
        <v/>
      </c>
      <c r="Z215" s="315" t="str">
        <f t="shared" ca="1" si="110"/>
        <v/>
      </c>
      <c r="AA215" s="316" t="str">
        <f t="shared" ca="1" si="111"/>
        <v/>
      </c>
      <c r="AC215" s="310" t="e">
        <f t="shared" ca="1" si="112"/>
        <v>#N/A</v>
      </c>
      <c r="AD215" s="323" t="e">
        <f t="shared" ca="1" si="113"/>
        <v>#N/A</v>
      </c>
      <c r="AE215" s="324">
        <f t="shared" ca="1" si="92"/>
        <v>470.70697353212807</v>
      </c>
      <c r="AG215" s="306">
        <f t="shared" ca="1" si="114"/>
        <v>-26.170676826144913</v>
      </c>
      <c r="AH215" s="304">
        <f t="shared" ca="1" si="115"/>
        <v>-16.580011382896902</v>
      </c>
    </row>
    <row r="216" spans="1:34" x14ac:dyDescent="0.2">
      <c r="A216" s="347">
        <f t="shared" ca="1" si="93"/>
        <v>0.1</v>
      </c>
      <c r="B216" s="304">
        <f t="shared" ca="1" si="94"/>
        <v>3.2000000000000024</v>
      </c>
      <c r="D216" s="306">
        <f t="shared" ca="1" si="95"/>
        <v>-3.3978270458272357</v>
      </c>
      <c r="E216" s="307">
        <f t="shared" ca="1" si="96"/>
        <v>-25.518255508073075</v>
      </c>
      <c r="F216" s="304">
        <f t="shared" ca="1" si="97"/>
        <v>25.743476703985746</v>
      </c>
      <c r="G216" s="306">
        <f t="shared" ca="1" si="98"/>
        <v>37.013074267370371</v>
      </c>
      <c r="H216" s="307">
        <f t="shared" ca="1" si="99"/>
        <v>170.13154336654688</v>
      </c>
      <c r="I216" s="304">
        <f t="shared" ca="1" si="100"/>
        <v>174.11119928081908</v>
      </c>
      <c r="J216" s="306">
        <f t="shared" ca="1" si="101"/>
        <v>98.964688107976272</v>
      </c>
      <c r="K216" s="307">
        <f t="shared" ca="1" si="102"/>
        <v>487.84771914632313</v>
      </c>
      <c r="L216" s="304">
        <f t="shared" ca="1" si="87"/>
        <v>497.78449811999849</v>
      </c>
      <c r="M216" s="306">
        <f t="shared" ca="1" si="103"/>
        <v>1.356578743022637</v>
      </c>
      <c r="N216" s="304">
        <f t="shared" ca="1" si="104"/>
        <v>77.726236552359381</v>
      </c>
      <c r="P216" s="310">
        <f t="shared" ca="1" si="105"/>
        <v>23</v>
      </c>
      <c r="Q216" s="304">
        <f t="shared" ca="1" si="106"/>
        <v>0</v>
      </c>
      <c r="R216" s="306">
        <f t="shared" ca="1" si="107"/>
        <v>0</v>
      </c>
      <c r="S216" s="307">
        <f t="shared" ca="1" si="108"/>
        <v>7.4499999999999984</v>
      </c>
      <c r="T216" s="304">
        <f t="shared" ca="1" si="88"/>
        <v>73.084499999999991</v>
      </c>
      <c r="U216" s="311">
        <f t="shared" ca="1" si="89"/>
        <v>0</v>
      </c>
      <c r="V216" s="306">
        <f t="shared" ca="1" si="90"/>
        <v>1.1666616655740014</v>
      </c>
      <c r="W216" s="304">
        <f t="shared" ca="1" si="91"/>
        <v>116.08126651733535</v>
      </c>
      <c r="Y216" s="314" t="str">
        <f t="shared" ca="1" si="109"/>
        <v/>
      </c>
      <c r="Z216" s="315" t="str">
        <f t="shared" ca="1" si="110"/>
        <v/>
      </c>
      <c r="AA216" s="316" t="str">
        <f t="shared" ca="1" si="111"/>
        <v>Satellite</v>
      </c>
      <c r="AC216" s="310" t="e">
        <f t="shared" ca="1" si="112"/>
        <v>#N/A</v>
      </c>
      <c r="AD216" s="323" t="e">
        <f t="shared" ca="1" si="113"/>
        <v>#N/A</v>
      </c>
      <c r="AE216" s="324">
        <f t="shared" ca="1" si="92"/>
        <v>487.84771914632313</v>
      </c>
      <c r="AG216" s="306">
        <f t="shared" ca="1" si="114"/>
        <v>-25.659794211796022</v>
      </c>
      <c r="AH216" s="304">
        <f t="shared" ca="1" si="115"/>
        <v>-16.071543788331695</v>
      </c>
    </row>
    <row r="217" spans="1:34" x14ac:dyDescent="0.2">
      <c r="A217" s="347">
        <f t="shared" ca="1" si="93"/>
        <v>0.1</v>
      </c>
      <c r="B217" s="304">
        <f t="shared" ca="1" si="94"/>
        <v>3.3000000000000025</v>
      </c>
      <c r="D217" s="306">
        <f t="shared" ca="1" si="95"/>
        <v>-3.3123354819077924</v>
      </c>
      <c r="E217" s="307">
        <f t="shared" ca="1" si="96"/>
        <v>-25.035234834965905</v>
      </c>
      <c r="F217" s="304">
        <f t="shared" ca="1" si="97"/>
        <v>25.253406692693872</v>
      </c>
      <c r="G217" s="306">
        <f t="shared" ca="1" si="98"/>
        <v>36.68184071917959</v>
      </c>
      <c r="H217" s="307">
        <f t="shared" ca="1" si="99"/>
        <v>167.62801988305029</v>
      </c>
      <c r="I217" s="304">
        <f t="shared" ca="1" si="100"/>
        <v>171.59461089573753</v>
      </c>
      <c r="J217" s="306">
        <f t="shared" ca="1" si="101"/>
        <v>102.64943385730378</v>
      </c>
      <c r="K217" s="307">
        <f t="shared" ca="1" si="102"/>
        <v>504.73569730880297</v>
      </c>
      <c r="L217" s="304">
        <f t="shared" ca="1" si="87"/>
        <v>515.06798620087864</v>
      </c>
      <c r="M217" s="306">
        <f t="shared" ca="1" si="103"/>
        <v>1.3553634138530162</v>
      </c>
      <c r="N217" s="304">
        <f t="shared" ca="1" si="104"/>
        <v>77.656603320220967</v>
      </c>
      <c r="P217" s="310">
        <f t="shared" ca="1" si="105"/>
        <v>23</v>
      </c>
      <c r="Q217" s="304">
        <f t="shared" ca="1" si="106"/>
        <v>0</v>
      </c>
      <c r="R217" s="306">
        <f t="shared" ca="1" si="107"/>
        <v>0</v>
      </c>
      <c r="S217" s="307">
        <f t="shared" ca="1" si="108"/>
        <v>7.4499999999999984</v>
      </c>
      <c r="T217" s="304">
        <f t="shared" ca="1" si="88"/>
        <v>73.084499999999991</v>
      </c>
      <c r="U217" s="311">
        <f t="shared" ca="1" si="89"/>
        <v>0</v>
      </c>
      <c r="V217" s="306">
        <f t="shared" ca="1" si="90"/>
        <v>1.1646918606188685</v>
      </c>
      <c r="W217" s="304">
        <f t="shared" ca="1" si="91"/>
        <v>112.55949215197477</v>
      </c>
      <c r="Y217" s="314" t="str">
        <f t="shared" ca="1" si="109"/>
        <v/>
      </c>
      <c r="Z217" s="315" t="str">
        <f t="shared" ca="1" si="110"/>
        <v/>
      </c>
      <c r="AA217" s="316" t="str">
        <f t="shared" ca="1" si="111"/>
        <v/>
      </c>
      <c r="AC217" s="310" t="e">
        <f t="shared" ca="1" si="112"/>
        <v>#N/A</v>
      </c>
      <c r="AD217" s="323" t="e">
        <f t="shared" ca="1" si="113"/>
        <v>#N/A</v>
      </c>
      <c r="AE217" s="324">
        <f t="shared" ca="1" si="92"/>
        <v>504.73569730880297</v>
      </c>
      <c r="AG217" s="306">
        <f t="shared" ca="1" si="114"/>
        <v>-25.167151098302242</v>
      </c>
      <c r="AH217" s="304">
        <f t="shared" ca="1" si="115"/>
        <v>-15.58137805601817</v>
      </c>
    </row>
    <row r="218" spans="1:34" x14ac:dyDescent="0.2">
      <c r="A218" s="347">
        <f t="shared" ca="1" si="93"/>
        <v>0.1</v>
      </c>
      <c r="B218" s="304">
        <f t="shared" ca="1" si="94"/>
        <v>3.4000000000000026</v>
      </c>
      <c r="D218" s="306">
        <f t="shared" ca="1" si="95"/>
        <v>-3.2297828839848801</v>
      </c>
      <c r="E218" s="307">
        <f t="shared" ca="1" si="96"/>
        <v>-24.569404077873166</v>
      </c>
      <c r="F218" s="304">
        <f t="shared" ca="1" si="97"/>
        <v>24.780781146273259</v>
      </c>
      <c r="G218" s="306">
        <f t="shared" ca="1" si="98"/>
        <v>36.358862430781102</v>
      </c>
      <c r="H218" s="307">
        <f t="shared" ca="1" si="99"/>
        <v>165.17107947526296</v>
      </c>
      <c r="I218" s="304">
        <f t="shared" ca="1" si="100"/>
        <v>169.12555209749974</v>
      </c>
      <c r="J218" s="306">
        <f t="shared" ca="1" si="101"/>
        <v>106.30146901480181</v>
      </c>
      <c r="K218" s="307">
        <f t="shared" ca="1" si="102"/>
        <v>521.3756522767186</v>
      </c>
      <c r="L218" s="304">
        <f t="shared" ca="1" si="87"/>
        <v>532.1020326043481</v>
      </c>
      <c r="M218" s="306">
        <f t="shared" ca="1" si="103"/>
        <v>1.3541234547313397</v>
      </c>
      <c r="N218" s="304">
        <f t="shared" ca="1" si="104"/>
        <v>77.585558895780153</v>
      </c>
      <c r="P218" s="310">
        <f t="shared" ca="1" si="105"/>
        <v>23</v>
      </c>
      <c r="Q218" s="304">
        <f t="shared" ca="1" si="106"/>
        <v>0</v>
      </c>
      <c r="R218" s="306">
        <f t="shared" ca="1" si="107"/>
        <v>0</v>
      </c>
      <c r="S218" s="307">
        <f t="shared" ca="1" si="108"/>
        <v>7.4499999999999984</v>
      </c>
      <c r="T218" s="304">
        <f t="shared" ca="1" si="88"/>
        <v>73.084499999999991</v>
      </c>
      <c r="U218" s="311">
        <f t="shared" ca="1" si="89"/>
        <v>0</v>
      </c>
      <c r="V218" s="306">
        <f t="shared" ca="1" si="90"/>
        <v>1.1627541559726653</v>
      </c>
      <c r="W218" s="304">
        <f t="shared" ca="1" si="91"/>
        <v>109.1616649884221</v>
      </c>
      <c r="Y218" s="314" t="str">
        <f t="shared" ca="1" si="109"/>
        <v/>
      </c>
      <c r="Z218" s="315" t="str">
        <f t="shared" ca="1" si="110"/>
        <v/>
      </c>
      <c r="AA218" s="316" t="str">
        <f t="shared" ca="1" si="111"/>
        <v/>
      </c>
      <c r="AC218" s="310" t="e">
        <f t="shared" ca="1" si="112"/>
        <v>#N/A</v>
      </c>
      <c r="AD218" s="323" t="e">
        <f t="shared" ca="1" si="113"/>
        <v>#N/A</v>
      </c>
      <c r="AE218" s="324">
        <f t="shared" ca="1" si="92"/>
        <v>521.3756522767186</v>
      </c>
      <c r="AG218" s="306">
        <f t="shared" ca="1" si="114"/>
        <v>-24.691888133728881</v>
      </c>
      <c r="AH218" s="304">
        <f t="shared" ca="1" si="115"/>
        <v>-15.108656664694603</v>
      </c>
    </row>
    <row r="219" spans="1:34" x14ac:dyDescent="0.2">
      <c r="A219" s="347">
        <f t="shared" ca="1" si="93"/>
        <v>0.1</v>
      </c>
      <c r="B219" s="304">
        <f t="shared" ca="1" si="94"/>
        <v>3.5000000000000027</v>
      </c>
      <c r="D219" s="306">
        <f t="shared" ca="1" si="95"/>
        <v>-3.1500317989257272</v>
      </c>
      <c r="E219" s="307">
        <f t="shared" ca="1" si="96"/>
        <v>-24.119967854480791</v>
      </c>
      <c r="F219" s="304">
        <f t="shared" ca="1" si="97"/>
        <v>24.324792900154979</v>
      </c>
      <c r="G219" s="306">
        <f t="shared" ca="1" si="98"/>
        <v>36.043859250888531</v>
      </c>
      <c r="H219" s="307">
        <f t="shared" ca="1" si="99"/>
        <v>162.75908268981487</v>
      </c>
      <c r="I219" s="304">
        <f t="shared" ca="1" si="100"/>
        <v>166.70236587321688</v>
      </c>
      <c r="J219" s="306">
        <f t="shared" ca="1" si="101"/>
        <v>109.92160509888529</v>
      </c>
      <c r="K219" s="307">
        <f t="shared" ca="1" si="102"/>
        <v>537.77216038497249</v>
      </c>
      <c r="L219" s="304">
        <f t="shared" ca="1" si="87"/>
        <v>548.8912968454099</v>
      </c>
      <c r="M219" s="306">
        <f t="shared" ca="1" si="103"/>
        <v>1.352858344350597</v>
      </c>
      <c r="N219" s="304">
        <f t="shared" ca="1" si="104"/>
        <v>77.513073410345413</v>
      </c>
      <c r="P219" s="310">
        <f t="shared" ca="1" si="105"/>
        <v>23</v>
      </c>
      <c r="Q219" s="304">
        <f t="shared" ca="1" si="106"/>
        <v>0</v>
      </c>
      <c r="R219" s="306">
        <f t="shared" ca="1" si="107"/>
        <v>0</v>
      </c>
      <c r="S219" s="307">
        <f t="shared" ca="1" si="108"/>
        <v>7.4499999999999984</v>
      </c>
      <c r="T219" s="304">
        <f t="shared" ca="1" si="88"/>
        <v>73.084499999999991</v>
      </c>
      <c r="U219" s="311">
        <f t="shared" ca="1" si="89"/>
        <v>0</v>
      </c>
      <c r="V219" s="306">
        <f t="shared" ca="1" si="90"/>
        <v>1.1608478717820929</v>
      </c>
      <c r="W219" s="304">
        <f t="shared" ca="1" si="91"/>
        <v>105.88212101663321</v>
      </c>
      <c r="Y219" s="314" t="str">
        <f t="shared" ca="1" si="109"/>
        <v/>
      </c>
      <c r="Z219" s="315" t="str">
        <f t="shared" ca="1" si="110"/>
        <v/>
      </c>
      <c r="AA219" s="316" t="str">
        <f t="shared" ca="1" si="111"/>
        <v/>
      </c>
      <c r="AC219" s="310" t="e">
        <f t="shared" ca="1" si="112"/>
        <v>#N/A</v>
      </c>
      <c r="AD219" s="323" t="e">
        <f t="shared" ca="1" si="113"/>
        <v>#N/A</v>
      </c>
      <c r="AE219" s="324">
        <f t="shared" ca="1" si="92"/>
        <v>537.77216038497249</v>
      </c>
      <c r="AG219" s="306">
        <f t="shared" ca="1" si="114"/>
        <v>-24.233196281897314</v>
      </c>
      <c r="AH219" s="304">
        <f t="shared" ca="1" si="115"/>
        <v>-14.6525724816674</v>
      </c>
    </row>
    <row r="220" spans="1:34" x14ac:dyDescent="0.2">
      <c r="A220" s="347">
        <f t="shared" ca="1" si="93"/>
        <v>0.1</v>
      </c>
      <c r="B220" s="304">
        <f t="shared" ca="1" si="94"/>
        <v>3.6000000000000028</v>
      </c>
      <c r="D220" s="306">
        <f t="shared" ca="1" si="95"/>
        <v>-3.0729527415286046</v>
      </c>
      <c r="E220" s="307">
        <f t="shared" ca="1" si="96"/>
        <v>-23.686176962044311</v>
      </c>
      <c r="F220" s="304">
        <f t="shared" ca="1" si="97"/>
        <v>23.884681652242026</v>
      </c>
      <c r="G220" s="306">
        <f t="shared" ca="1" si="98"/>
        <v>35.736563976735667</v>
      </c>
      <c r="H220" s="307">
        <f t="shared" ca="1" si="99"/>
        <v>160.39046499361044</v>
      </c>
      <c r="I220" s="304">
        <f t="shared" ca="1" si="100"/>
        <v>164.32347143889669</v>
      </c>
      <c r="J220" s="306">
        <f t="shared" ca="1" si="101"/>
        <v>113.51062626026651</v>
      </c>
      <c r="K220" s="307">
        <f t="shared" ca="1" si="102"/>
        <v>553.92963776914371</v>
      </c>
      <c r="L220" s="304">
        <f t="shared" ca="1" si="87"/>
        <v>565.44027613272533</v>
      </c>
      <c r="M220" s="306">
        <f t="shared" ca="1" si="103"/>
        <v>1.35156754407772</v>
      </c>
      <c r="N220" s="304">
        <f t="shared" ca="1" si="104"/>
        <v>77.43911600251522</v>
      </c>
      <c r="P220" s="310">
        <f t="shared" ca="1" si="105"/>
        <v>23</v>
      </c>
      <c r="Q220" s="304">
        <f t="shared" ca="1" si="106"/>
        <v>0</v>
      </c>
      <c r="R220" s="306">
        <f t="shared" ca="1" si="107"/>
        <v>0</v>
      </c>
      <c r="S220" s="307">
        <f t="shared" ca="1" si="108"/>
        <v>7.4499999999999984</v>
      </c>
      <c r="T220" s="304">
        <f t="shared" ca="1" si="88"/>
        <v>73.084499999999991</v>
      </c>
      <c r="U220" s="311">
        <f t="shared" ca="1" si="89"/>
        <v>0</v>
      </c>
      <c r="V220" s="306">
        <f t="shared" ca="1" si="90"/>
        <v>1.1589723529051794</v>
      </c>
      <c r="W220" s="304">
        <f t="shared" ca="1" si="91"/>
        <v>102.71552121767142</v>
      </c>
      <c r="Y220" s="314" t="str">
        <f t="shared" ca="1" si="109"/>
        <v/>
      </c>
      <c r="Z220" s="315" t="str">
        <f t="shared" ca="1" si="110"/>
        <v/>
      </c>
      <c r="AA220" s="316" t="str">
        <f t="shared" ca="1" si="111"/>
        <v/>
      </c>
      <c r="AC220" s="310" t="e">
        <f t="shared" ca="1" si="112"/>
        <v>#N/A</v>
      </c>
      <c r="AD220" s="323" t="e">
        <f t="shared" ca="1" si="113"/>
        <v>#N/A</v>
      </c>
      <c r="AE220" s="324">
        <f t="shared" ca="1" si="92"/>
        <v>553.92963776914371</v>
      </c>
      <c r="AG220" s="306">
        <f t="shared" ca="1" si="114"/>
        <v>-23.790313293378556</v>
      </c>
      <c r="AH220" s="304">
        <f t="shared" ca="1" si="115"/>
        <v>-14.212365237131976</v>
      </c>
    </row>
    <row r="221" spans="1:34" x14ac:dyDescent="0.2">
      <c r="A221" s="347">
        <f t="shared" ca="1" si="93"/>
        <v>0.1</v>
      </c>
      <c r="B221" s="304">
        <f t="shared" ca="1" si="94"/>
        <v>3.7000000000000028</v>
      </c>
      <c r="D221" s="306">
        <f t="shared" ca="1" si="95"/>
        <v>-2.9984236434292599</v>
      </c>
      <c r="E221" s="307">
        <f t="shared" ca="1" si="96"/>
        <v>-23.267325184663257</v>
      </c>
      <c r="F221" s="304">
        <f t="shared" ca="1" si="97"/>
        <v>23.459730722971663</v>
      </c>
      <c r="G221" s="306">
        <f t="shared" ca="1" si="98"/>
        <v>35.436721612392738</v>
      </c>
      <c r="H221" s="307">
        <f t="shared" ca="1" si="99"/>
        <v>158.06373247514412</v>
      </c>
      <c r="I221" s="304">
        <f t="shared" ca="1" si="100"/>
        <v>161.98735988529523</v>
      </c>
      <c r="J221" s="306">
        <f t="shared" ca="1" si="101"/>
        <v>117.06929053972293</v>
      </c>
      <c r="K221" s="307">
        <f t="shared" ca="1" si="102"/>
        <v>569.85234764258144</v>
      </c>
      <c r="L221" s="304">
        <f t="shared" ca="1" si="87"/>
        <v>581.75331275484416</v>
      </c>
      <c r="M221" s="306">
        <f t="shared" ca="1" si="103"/>
        <v>1.3502504973065974</v>
      </c>
      <c r="N221" s="304">
        <f t="shared" ca="1" si="104"/>
        <v>77.363654781108565</v>
      </c>
      <c r="P221" s="310">
        <f t="shared" ca="1" si="105"/>
        <v>23</v>
      </c>
      <c r="Q221" s="304">
        <f t="shared" ca="1" si="106"/>
        <v>0</v>
      </c>
      <c r="R221" s="306">
        <f t="shared" ca="1" si="107"/>
        <v>0</v>
      </c>
      <c r="S221" s="307">
        <f t="shared" ca="1" si="108"/>
        <v>7.4499999999999984</v>
      </c>
      <c r="T221" s="304">
        <f t="shared" ca="1" si="88"/>
        <v>73.084499999999991</v>
      </c>
      <c r="U221" s="311">
        <f t="shared" ca="1" si="89"/>
        <v>0</v>
      </c>
      <c r="V221" s="306">
        <f t="shared" ca="1" si="90"/>
        <v>1.1571269677521858</v>
      </c>
      <c r="W221" s="304">
        <f t="shared" ca="1" si="91"/>
        <v>99.656829359658715</v>
      </c>
      <c r="Y221" s="314" t="str">
        <f t="shared" ca="1" si="109"/>
        <v/>
      </c>
      <c r="Z221" s="315" t="str">
        <f t="shared" ca="1" si="110"/>
        <v/>
      </c>
      <c r="AA221" s="316" t="str">
        <f t="shared" ca="1" si="111"/>
        <v/>
      </c>
      <c r="AC221" s="310" t="e">
        <f t="shared" ca="1" si="112"/>
        <v>#N/A</v>
      </c>
      <c r="AD221" s="323" t="e">
        <f t="shared" ca="1" si="113"/>
        <v>#N/A</v>
      </c>
      <c r="AE221" s="324">
        <f t="shared" ca="1" si="92"/>
        <v>569.85234764258144</v>
      </c>
      <c r="AG221" s="306">
        <f t="shared" ca="1" si="114"/>
        <v>-23.362520462062999</v>
      </c>
      <c r="AH221" s="304">
        <f t="shared" ca="1" si="115"/>
        <v>-13.787318284251201</v>
      </c>
    </row>
    <row r="222" spans="1:34" x14ac:dyDescent="0.2">
      <c r="A222" s="347">
        <f t="shared" ca="1" si="93"/>
        <v>0.1</v>
      </c>
      <c r="B222" s="304">
        <f t="shared" ca="1" si="94"/>
        <v>3.8000000000000029</v>
      </c>
      <c r="D222" s="306">
        <f t="shared" ca="1" si="95"/>
        <v>-2.9263293461550424</v>
      </c>
      <c r="E222" s="307">
        <f t="shared" ca="1" si="96"/>
        <v>-22.862746356284113</v>
      </c>
      <c r="F222" s="304">
        <f t="shared" ca="1" si="97"/>
        <v>23.049264074888612</v>
      </c>
      <c r="G222" s="306">
        <f t="shared" ca="1" si="98"/>
        <v>35.144088677777233</v>
      </c>
      <c r="H222" s="307">
        <f t="shared" ca="1" si="99"/>
        <v>155.77745783951571</v>
      </c>
      <c r="I222" s="304">
        <f t="shared" ca="1" si="100"/>
        <v>159.69259012218933</v>
      </c>
      <c r="J222" s="306">
        <f t="shared" ca="1" si="101"/>
        <v>120.59833105423142</v>
      </c>
      <c r="K222" s="307">
        <f t="shared" ca="1" si="102"/>
        <v>585.54440715831447</v>
      </c>
      <c r="L222" s="304">
        <f t="shared" ca="1" si="87"/>
        <v>597.83460104568053</v>
      </c>
      <c r="M222" s="306">
        <f t="shared" ca="1" si="103"/>
        <v>1.3489066287804254</v>
      </c>
      <c r="N222" s="304">
        <f t="shared" ca="1" si="104"/>
        <v>77.28665678633844</v>
      </c>
      <c r="P222" s="310">
        <f t="shared" ca="1" si="105"/>
        <v>23</v>
      </c>
      <c r="Q222" s="304">
        <f t="shared" ca="1" si="106"/>
        <v>0</v>
      </c>
      <c r="R222" s="306">
        <f t="shared" ca="1" si="107"/>
        <v>0</v>
      </c>
      <c r="S222" s="307">
        <f t="shared" ca="1" si="108"/>
        <v>7.4499999999999984</v>
      </c>
      <c r="T222" s="304">
        <f t="shared" ca="1" si="88"/>
        <v>73.084499999999991</v>
      </c>
      <c r="U222" s="311">
        <f t="shared" ca="1" si="89"/>
        <v>0</v>
      </c>
      <c r="V222" s="306">
        <f t="shared" ca="1" si="90"/>
        <v>1.1553111071942788</v>
      </c>
      <c r="W222" s="304">
        <f t="shared" ca="1" si="91"/>
        <v>96.701291551587204</v>
      </c>
      <c r="Y222" s="314" t="str">
        <f t="shared" ca="1" si="109"/>
        <v/>
      </c>
      <c r="Z222" s="315" t="str">
        <f t="shared" ca="1" si="110"/>
        <v/>
      </c>
      <c r="AA222" s="316" t="str">
        <f t="shared" ca="1" si="111"/>
        <v/>
      </c>
      <c r="AC222" s="310" t="e">
        <f t="shared" ca="1" si="112"/>
        <v>#N/A</v>
      </c>
      <c r="AD222" s="323" t="e">
        <f t="shared" ca="1" si="113"/>
        <v>#N/A</v>
      </c>
      <c r="AE222" s="324">
        <f t="shared" ca="1" si="92"/>
        <v>585.54440715831447</v>
      </c>
      <c r="AG222" s="306">
        <f t="shared" ca="1" si="114"/>
        <v>-22.949139641049868</v>
      </c>
      <c r="AH222" s="304">
        <f t="shared" ca="1" si="115"/>
        <v>-13.37675561874614</v>
      </c>
    </row>
    <row r="223" spans="1:34" x14ac:dyDescent="0.2">
      <c r="A223" s="347">
        <f t="shared" ca="1" si="93"/>
        <v>0.1</v>
      </c>
      <c r="B223" s="304">
        <f t="shared" ca="1" si="94"/>
        <v>3.900000000000003</v>
      </c>
      <c r="D223" s="306">
        <f t="shared" ca="1" si="95"/>
        <v>-2.8565611343192576</v>
      </c>
      <c r="E223" s="307">
        <f t="shared" ca="1" si="96"/>
        <v>-22.471811656217398</v>
      </c>
      <c r="F223" s="304">
        <f t="shared" ca="1" si="97"/>
        <v>22.652643568171275</v>
      </c>
      <c r="G223" s="306">
        <f t="shared" ca="1" si="98"/>
        <v>34.858432564345307</v>
      </c>
      <c r="H223" s="307">
        <f t="shared" ca="1" si="99"/>
        <v>153.53027667389398</v>
      </c>
      <c r="I223" s="304">
        <f t="shared" ca="1" si="100"/>
        <v>157.43778509749635</v>
      </c>
      <c r="J223" s="306">
        <f t="shared" ca="1" si="101"/>
        <v>124.09845711633756</v>
      </c>
      <c r="K223" s="307">
        <f t="shared" ca="1" si="102"/>
        <v>601.00979388398491</v>
      </c>
      <c r="L223" s="304">
        <f t="shared" ca="1" si="87"/>
        <v>613.6881939577504</v>
      </c>
      <c r="M223" s="306">
        <f t="shared" ca="1" si="103"/>
        <v>1.347535343881781</v>
      </c>
      <c r="N223" s="304">
        <f t="shared" ca="1" si="104"/>
        <v>77.208087949136086</v>
      </c>
      <c r="P223" s="310">
        <f t="shared" ca="1" si="105"/>
        <v>23</v>
      </c>
      <c r="Q223" s="304">
        <f t="shared" ca="1" si="106"/>
        <v>0</v>
      </c>
      <c r="R223" s="306">
        <f t="shared" ca="1" si="107"/>
        <v>0</v>
      </c>
      <c r="S223" s="307">
        <f t="shared" ca="1" si="108"/>
        <v>7.4499999999999984</v>
      </c>
      <c r="T223" s="304">
        <f t="shared" ca="1" si="88"/>
        <v>73.084499999999991</v>
      </c>
      <c r="U223" s="311">
        <f t="shared" ca="1" si="89"/>
        <v>0</v>
      </c>
      <c r="V223" s="306">
        <f t="shared" ca="1" si="90"/>
        <v>1.1535241835352696</v>
      </c>
      <c r="W223" s="304">
        <f t="shared" ca="1" si="91"/>
        <v>93.844417397254375</v>
      </c>
      <c r="Y223" s="314" t="str">
        <f t="shared" ca="1" si="109"/>
        <v/>
      </c>
      <c r="Z223" s="315" t="str">
        <f t="shared" ca="1" si="110"/>
        <v/>
      </c>
      <c r="AA223" s="316" t="str">
        <f t="shared" ca="1" si="111"/>
        <v/>
      </c>
      <c r="AC223" s="310" t="e">
        <f t="shared" ca="1" si="112"/>
        <v>#N/A</v>
      </c>
      <c r="AD223" s="323" t="e">
        <f t="shared" ca="1" si="113"/>
        <v>#N/A</v>
      </c>
      <c r="AE223" s="324">
        <f t="shared" ca="1" si="92"/>
        <v>601.00979388398491</v>
      </c>
      <c r="AG223" s="306">
        <f t="shared" ca="1" si="114"/>
        <v>-22.549530494286799</v>
      </c>
      <c r="AH223" s="304">
        <f t="shared" ca="1" si="115"/>
        <v>-12.980039134441238</v>
      </c>
    </row>
    <row r="224" spans="1:34" x14ac:dyDescent="0.2">
      <c r="A224" s="347">
        <f t="shared" ca="1" si="93"/>
        <v>0.1</v>
      </c>
      <c r="B224" s="304">
        <f t="shared" ca="1" si="94"/>
        <v>4.0000000000000027</v>
      </c>
      <c r="D224" s="306">
        <f t="shared" ca="1" si="95"/>
        <v>-2.7890163053541959</v>
      </c>
      <c r="E224" s="307">
        <f t="shared" ca="1" si="96"/>
        <v>-22.093927116304449</v>
      </c>
      <c r="F224" s="304">
        <f t="shared" ca="1" si="97"/>
        <v>22.269266430938057</v>
      </c>
      <c r="G224" s="306">
        <f t="shared" ca="1" si="98"/>
        <v>34.579530933809885</v>
      </c>
      <c r="H224" s="307">
        <f t="shared" ca="1" si="99"/>
        <v>151.32088396226354</v>
      </c>
      <c r="I224" s="304">
        <f t="shared" ca="1" si="100"/>
        <v>155.22162826978442</v>
      </c>
      <c r="J224" s="306">
        <f t="shared" ca="1" si="101"/>
        <v>127.57035529124532</v>
      </c>
      <c r="K224" s="307">
        <f t="shared" ca="1" si="102"/>
        <v>616.25235191579281</v>
      </c>
      <c r="L224" s="304">
        <f t="shared" ca="1" si="87"/>
        <v>629.31800926946369</v>
      </c>
      <c r="M224" s="306">
        <f t="shared" ca="1" si="103"/>
        <v>1.346136027888722</v>
      </c>
      <c r="N224" s="304">
        <f t="shared" ca="1" si="104"/>
        <v>77.127913048528654</v>
      </c>
      <c r="P224" s="310">
        <f t="shared" ca="1" si="105"/>
        <v>23</v>
      </c>
      <c r="Q224" s="304">
        <f t="shared" ca="1" si="106"/>
        <v>0</v>
      </c>
      <c r="R224" s="306">
        <f t="shared" ca="1" si="107"/>
        <v>0</v>
      </c>
      <c r="S224" s="307">
        <f t="shared" ca="1" si="108"/>
        <v>7.4499999999999984</v>
      </c>
      <c r="T224" s="304">
        <f t="shared" ca="1" si="88"/>
        <v>73.084499999999991</v>
      </c>
      <c r="U224" s="311">
        <f t="shared" ca="1" si="89"/>
        <v>0</v>
      </c>
      <c r="V224" s="306">
        <f t="shared" ca="1" si="90"/>
        <v>1.1517656295421033</v>
      </c>
      <c r="W224" s="304">
        <f t="shared" ca="1" si="91"/>
        <v>91.081962607369846</v>
      </c>
      <c r="Y224" s="314" t="str">
        <f t="shared" ca="1" si="109"/>
        <v/>
      </c>
      <c r="Z224" s="315" t="str">
        <f t="shared" ca="1" si="110"/>
        <v/>
      </c>
      <c r="AA224" s="316" t="str">
        <f t="shared" ca="1" si="111"/>
        <v/>
      </c>
      <c r="AC224" s="310">
        <f t="shared" ca="1" si="112"/>
        <v>4.0000000000000027</v>
      </c>
      <c r="AD224" s="323">
        <f t="shared" ca="1" si="113"/>
        <v>127.57035529124532</v>
      </c>
      <c r="AE224" s="324">
        <f t="shared" ca="1" si="92"/>
        <v>616.25235191579281</v>
      </c>
      <c r="AG224" s="306">
        <f t="shared" ca="1" si="114"/>
        <v>-22.163087962773993</v>
      </c>
      <c r="AH224" s="304">
        <f t="shared" ca="1" si="115"/>
        <v>-12.596566093591195</v>
      </c>
    </row>
    <row r="225" spans="1:34" x14ac:dyDescent="0.2">
      <c r="A225" s="347">
        <f t="shared" ca="1" si="93"/>
        <v>0.1</v>
      </c>
      <c r="B225" s="304">
        <f t="shared" ca="1" si="94"/>
        <v>4.1000000000000023</v>
      </c>
      <c r="D225" s="306">
        <f t="shared" ca="1" si="95"/>
        <v>-2.7235977725415723</v>
      </c>
      <c r="E225" s="307">
        <f t="shared" ca="1" si="96"/>
        <v>-21.728531320957806</v>
      </c>
      <c r="F225" s="304">
        <f t="shared" ca="1" si="97"/>
        <v>21.898562925279773</v>
      </c>
      <c r="G225" s="306">
        <f t="shared" ca="1" si="98"/>
        <v>34.307171156555725</v>
      </c>
      <c r="H225" s="307">
        <f t="shared" ca="1" si="99"/>
        <v>149.14803083016776</v>
      </c>
      <c r="I225" s="304">
        <f t="shared" ca="1" si="100"/>
        <v>153.04286031462522</v>
      </c>
      <c r="J225" s="306">
        <f t="shared" ca="1" si="101"/>
        <v>131.01469039576361</v>
      </c>
      <c r="K225" s="307">
        <f t="shared" ca="1" si="102"/>
        <v>631.27579765541441</v>
      </c>
      <c r="L225" s="304">
        <f t="shared" ca="1" si="87"/>
        <v>644.72783545072525</v>
      </c>
      <c r="M225" s="306">
        <f t="shared" ca="1" si="103"/>
        <v>1.344708045195101</v>
      </c>
      <c r="N225" s="304">
        <f t="shared" ca="1" si="104"/>
        <v>77.046095666966451</v>
      </c>
      <c r="P225" s="310">
        <f t="shared" ca="1" si="105"/>
        <v>23</v>
      </c>
      <c r="Q225" s="304">
        <f t="shared" ca="1" si="106"/>
        <v>0</v>
      </c>
      <c r="R225" s="306">
        <f t="shared" ca="1" si="107"/>
        <v>0</v>
      </c>
      <c r="S225" s="307">
        <f t="shared" ca="1" si="108"/>
        <v>7.4499999999999984</v>
      </c>
      <c r="T225" s="304">
        <f t="shared" ca="1" si="88"/>
        <v>73.084499999999991</v>
      </c>
      <c r="U225" s="311">
        <f t="shared" ca="1" si="89"/>
        <v>0</v>
      </c>
      <c r="V225" s="306">
        <f t="shared" ca="1" si="90"/>
        <v>1.150034897530112</v>
      </c>
      <c r="W225" s="304">
        <f t="shared" ca="1" si="91"/>
        <v>88.409912941930301</v>
      </c>
      <c r="Y225" s="314" t="str">
        <f t="shared" ca="1" si="109"/>
        <v/>
      </c>
      <c r="Z225" s="315" t="str">
        <f t="shared" ca="1" si="110"/>
        <v/>
      </c>
      <c r="AA225" s="316" t="str">
        <f t="shared" ca="1" si="111"/>
        <v/>
      </c>
      <c r="AC225" s="310" t="e">
        <f t="shared" ca="1" si="112"/>
        <v>#N/A</v>
      </c>
      <c r="AD225" s="323" t="e">
        <f t="shared" ca="1" si="113"/>
        <v>#N/A</v>
      </c>
      <c r="AE225" s="324">
        <f t="shared" ca="1" si="92"/>
        <v>631.27579765541441</v>
      </c>
      <c r="AG225" s="306">
        <f t="shared" ca="1" si="114"/>
        <v>-21.789239926265459</v>
      </c>
      <c r="AH225" s="304">
        <f t="shared" ca="1" si="115"/>
        <v>-12.225766792935552</v>
      </c>
    </row>
    <row r="226" spans="1:34" x14ac:dyDescent="0.2">
      <c r="A226" s="347">
        <f t="shared" ca="1" si="93"/>
        <v>0.1</v>
      </c>
      <c r="B226" s="304">
        <f t="shared" ca="1" si="94"/>
        <v>4.200000000000002</v>
      </c>
      <c r="D226" s="306">
        <f t="shared" ca="1" si="95"/>
        <v>-2.6602136984201108</v>
      </c>
      <c r="E226" s="307">
        <f t="shared" ca="1" si="96"/>
        <v>-21.375093283156922</v>
      </c>
      <c r="F226" s="304">
        <f t="shared" ca="1" si="97"/>
        <v>21.539994191849779</v>
      </c>
      <c r="G226" s="306">
        <f t="shared" ca="1" si="98"/>
        <v>34.041149786713717</v>
      </c>
      <c r="H226" s="307">
        <f t="shared" ca="1" si="99"/>
        <v>147.01052150185205</v>
      </c>
      <c r="I226" s="304">
        <f t="shared" ca="1" si="100"/>
        <v>150.90027604695754</v>
      </c>
      <c r="J226" s="306">
        <f t="shared" ca="1" si="101"/>
        <v>134.43210644292708</v>
      </c>
      <c r="K226" s="307">
        <f t="shared" ca="1" si="102"/>
        <v>646.08372527201539</v>
      </c>
      <c r="L226" s="304">
        <f t="shared" ca="1" si="87"/>
        <v>659.92133720925221</v>
      </c>
      <c r="M226" s="306">
        <f t="shared" ca="1" si="103"/>
        <v>1.3432507384931709</v>
      </c>
      <c r="N226" s="304">
        <f t="shared" ca="1" si="104"/>
        <v>76.962598143489728</v>
      </c>
      <c r="P226" s="310">
        <f t="shared" ca="1" si="105"/>
        <v>23</v>
      </c>
      <c r="Q226" s="304">
        <f t="shared" ca="1" si="106"/>
        <v>0</v>
      </c>
      <c r="R226" s="306">
        <f t="shared" ca="1" si="107"/>
        <v>0</v>
      </c>
      <c r="S226" s="307">
        <f t="shared" ca="1" si="108"/>
        <v>7.4499999999999984</v>
      </c>
      <c r="T226" s="304">
        <f t="shared" ca="1" si="88"/>
        <v>73.084499999999991</v>
      </c>
      <c r="U226" s="311">
        <f t="shared" ca="1" si="89"/>
        <v>0</v>
      </c>
      <c r="V226" s="306">
        <f t="shared" ca="1" si="90"/>
        <v>1.1483314584993731</v>
      </c>
      <c r="W226" s="304">
        <f t="shared" ca="1" si="91"/>
        <v>85.824469367473014</v>
      </c>
      <c r="Y226" s="314" t="str">
        <f t="shared" ca="1" si="109"/>
        <v/>
      </c>
      <c r="Z226" s="315" t="str">
        <f t="shared" ca="1" si="110"/>
        <v/>
      </c>
      <c r="AA226" s="316" t="str">
        <f t="shared" ca="1" si="111"/>
        <v/>
      </c>
      <c r="AC226" s="310" t="e">
        <f t="shared" ca="1" si="112"/>
        <v>#N/A</v>
      </c>
      <c r="AD226" s="323" t="e">
        <f t="shared" ca="1" si="113"/>
        <v>#N/A</v>
      </c>
      <c r="AE226" s="324">
        <f t="shared" ca="1" si="92"/>
        <v>646.08372527201539</v>
      </c>
      <c r="AG226" s="306">
        <f t="shared" ca="1" si="114"/>
        <v>-21.4274450432846</v>
      </c>
      <c r="AH226" s="304">
        <f t="shared" ca="1" si="115"/>
        <v>-11.867102408312794</v>
      </c>
    </row>
    <row r="227" spans="1:34" x14ac:dyDescent="0.2">
      <c r="A227" s="347">
        <f t="shared" ca="1" si="93"/>
        <v>0.1</v>
      </c>
      <c r="B227" s="304">
        <f t="shared" ca="1" si="94"/>
        <v>4.3000000000000016</v>
      </c>
      <c r="D227" s="306">
        <f t="shared" ca="1" si="95"/>
        <v>-2.5987771559356578</v>
      </c>
      <c r="E227" s="307">
        <f t="shared" ca="1" si="96"/>
        <v>-21.033110481136397</v>
      </c>
      <c r="F227" s="304">
        <f t="shared" ca="1" si="97"/>
        <v>21.193050257523169</v>
      </c>
      <c r="G227" s="306">
        <f t="shared" ca="1" si="98"/>
        <v>33.781272071120149</v>
      </c>
      <c r="H227" s="307">
        <f t="shared" ca="1" si="99"/>
        <v>144.9072104537384</v>
      </c>
      <c r="I227" s="304">
        <f t="shared" ca="1" si="100"/>
        <v>148.79272154318258</v>
      </c>
      <c r="J227" s="306">
        <f t="shared" ca="1" si="101"/>
        <v>137.82322753581877</v>
      </c>
      <c r="K227" s="307">
        <f t="shared" ca="1" si="102"/>
        <v>660.67961186979494</v>
      </c>
      <c r="L227" s="304">
        <f t="shared" ca="1" si="87"/>
        <v>674.90206073830666</v>
      </c>
      <c r="M227" s="306">
        <f t="shared" ca="1" si="103"/>
        <v>1.3417634279164488</v>
      </c>
      <c r="N227" s="304">
        <f t="shared" ca="1" si="104"/>
        <v>76.877381524618372</v>
      </c>
      <c r="P227" s="310">
        <f t="shared" ca="1" si="105"/>
        <v>23</v>
      </c>
      <c r="Q227" s="304">
        <f t="shared" ca="1" si="106"/>
        <v>0</v>
      </c>
      <c r="R227" s="306">
        <f t="shared" ca="1" si="107"/>
        <v>0</v>
      </c>
      <c r="S227" s="307">
        <f t="shared" ca="1" si="108"/>
        <v>7.4499999999999984</v>
      </c>
      <c r="T227" s="304">
        <f t="shared" ca="1" si="88"/>
        <v>73.084499999999991</v>
      </c>
      <c r="U227" s="311">
        <f t="shared" ca="1" si="89"/>
        <v>0</v>
      </c>
      <c r="V227" s="306">
        <f t="shared" ca="1" si="90"/>
        <v>1.1466548013187785</v>
      </c>
      <c r="W227" s="304">
        <f t="shared" ca="1" si="91"/>
        <v>83.322034324988167</v>
      </c>
      <c r="Y227" s="314" t="str">
        <f t="shared" ca="1" si="109"/>
        <v/>
      </c>
      <c r="Z227" s="315" t="str">
        <f t="shared" ca="1" si="110"/>
        <v/>
      </c>
      <c r="AA227" s="316" t="str">
        <f t="shared" ca="1" si="111"/>
        <v/>
      </c>
      <c r="AC227" s="310" t="e">
        <f t="shared" ca="1" si="112"/>
        <v>#N/A</v>
      </c>
      <c r="AD227" s="323" t="e">
        <f t="shared" ca="1" si="113"/>
        <v>#N/A</v>
      </c>
      <c r="AE227" s="324">
        <f t="shared" ca="1" si="92"/>
        <v>660.67961186979494</v>
      </c>
      <c r="AG227" s="306">
        <f t="shared" ca="1" si="114"/>
        <v>-21.077190753949949</v>
      </c>
      <c r="AH227" s="304">
        <f t="shared" ca="1" si="115"/>
        <v>-11.520063002345374</v>
      </c>
    </row>
    <row r="228" spans="1:34" x14ac:dyDescent="0.2">
      <c r="A228" s="347">
        <f t="shared" ca="1" si="93"/>
        <v>0.1</v>
      </c>
      <c r="B228" s="304">
        <f t="shared" ca="1" si="94"/>
        <v>4.4000000000000012</v>
      </c>
      <c r="D228" s="306">
        <f t="shared" ca="1" si="95"/>
        <v>-2.539205814954268</v>
      </c>
      <c r="E228" s="307">
        <f t="shared" ca="1" si="96"/>
        <v>-20.702107041981314</v>
      </c>
      <c r="F228" s="304">
        <f t="shared" ca="1" si="97"/>
        <v>20.857248192135746</v>
      </c>
      <c r="G228" s="306">
        <f t="shared" ca="1" si="98"/>
        <v>33.527351489624721</v>
      </c>
      <c r="H228" s="307">
        <f t="shared" ca="1" si="99"/>
        <v>142.83699974954027</v>
      </c>
      <c r="I228" s="304">
        <f t="shared" ca="1" si="100"/>
        <v>146.71909144811048</v>
      </c>
      <c r="J228" s="306">
        <f t="shared" ca="1" si="101"/>
        <v>141.18865871385603</v>
      </c>
      <c r="K228" s="307">
        <f t="shared" ca="1" si="102"/>
        <v>675.06682237995892</v>
      </c>
      <c r="L228" s="304">
        <f t="shared" ca="1" si="87"/>
        <v>689.67343868500018</v>
      </c>
      <c r="M228" s="306">
        <f t="shared" ca="1" si="103"/>
        <v>1.34024541014066</v>
      </c>
      <c r="N228" s="304">
        <f t="shared" ca="1" si="104"/>
        <v>76.79040551283984</v>
      </c>
      <c r="P228" s="310">
        <f t="shared" ca="1" si="105"/>
        <v>23</v>
      </c>
      <c r="Q228" s="304">
        <f t="shared" ca="1" si="106"/>
        <v>0</v>
      </c>
      <c r="R228" s="306">
        <f t="shared" ca="1" si="107"/>
        <v>0</v>
      </c>
      <c r="S228" s="307">
        <f t="shared" ca="1" si="108"/>
        <v>7.4499999999999984</v>
      </c>
      <c r="T228" s="304">
        <f t="shared" ca="1" si="88"/>
        <v>73.084499999999991</v>
      </c>
      <c r="U228" s="311">
        <f t="shared" ca="1" si="89"/>
        <v>0</v>
      </c>
      <c r="V228" s="306">
        <f t="shared" ca="1" si="90"/>
        <v>1.1450044319546964</v>
      </c>
      <c r="W228" s="304">
        <f t="shared" ca="1" si="91"/>
        <v>80.899199014244346</v>
      </c>
      <c r="Y228" s="314" t="str">
        <f t="shared" ca="1" si="109"/>
        <v/>
      </c>
      <c r="Z228" s="315" t="str">
        <f t="shared" ca="1" si="110"/>
        <v/>
      </c>
      <c r="AA228" s="316" t="str">
        <f t="shared" ca="1" si="111"/>
        <v/>
      </c>
      <c r="AC228" s="310" t="e">
        <f t="shared" ca="1" si="112"/>
        <v>#N/A</v>
      </c>
      <c r="AD228" s="323" t="e">
        <f t="shared" ca="1" si="113"/>
        <v>#N/A</v>
      </c>
      <c r="AE228" s="324">
        <f t="shared" ca="1" si="92"/>
        <v>675.06682237995892</v>
      </c>
      <c r="AG228" s="306">
        <f t="shared" ca="1" si="114"/>
        <v>-20.737991431605252</v>
      </c>
      <c r="AH228" s="304">
        <f t="shared" ca="1" si="115"/>
        <v>-11.184165681206467</v>
      </c>
    </row>
    <row r="229" spans="1:34" x14ac:dyDescent="0.2">
      <c r="A229" s="347">
        <f t="shared" ca="1" si="93"/>
        <v>0.1</v>
      </c>
      <c r="B229" s="304">
        <f t="shared" ca="1" si="94"/>
        <v>4.5000000000000009</v>
      </c>
      <c r="D229" s="306">
        <f t="shared" ca="1" si="95"/>
        <v>-2.4814216519866488</v>
      </c>
      <c r="E229" s="307">
        <f t="shared" ca="1" si="96"/>
        <v>-20.381632059663424</v>
      </c>
      <c r="F229" s="304">
        <f t="shared" ca="1" si="97"/>
        <v>20.53213040165214</v>
      </c>
      <c r="G229" s="306">
        <f t="shared" ca="1" si="98"/>
        <v>33.279209324426056</v>
      </c>
      <c r="H229" s="307">
        <f t="shared" ca="1" si="99"/>
        <v>140.79883654357391</v>
      </c>
      <c r="I229" s="304">
        <f t="shared" ca="1" si="100"/>
        <v>144.67832645314573</v>
      </c>
      <c r="J229" s="306">
        <f t="shared" ca="1" si="101"/>
        <v>144.52898675455856</v>
      </c>
      <c r="K229" s="307">
        <f t="shared" ca="1" si="102"/>
        <v>689.24861419461467</v>
      </c>
      <c r="L229" s="304">
        <f t="shared" ca="1" si="87"/>
        <v>704.23879485689804</v>
      </c>
      <c r="M229" s="306">
        <f t="shared" ca="1" si="103"/>
        <v>1.338695957440468</v>
      </c>
      <c r="N229" s="304">
        <f t="shared" ca="1" si="104"/>
        <v>76.701628412563693</v>
      </c>
      <c r="P229" s="310">
        <f t="shared" ca="1" si="105"/>
        <v>23</v>
      </c>
      <c r="Q229" s="304">
        <f t="shared" ca="1" si="106"/>
        <v>0</v>
      </c>
      <c r="R229" s="306">
        <f t="shared" ca="1" si="107"/>
        <v>0</v>
      </c>
      <c r="S229" s="307">
        <f t="shared" ca="1" si="108"/>
        <v>7.4499999999999984</v>
      </c>
      <c r="T229" s="304">
        <f t="shared" ca="1" si="88"/>
        <v>73.084499999999991</v>
      </c>
      <c r="U229" s="311">
        <f t="shared" ca="1" si="89"/>
        <v>0</v>
      </c>
      <c r="V229" s="306">
        <f t="shared" ca="1" si="90"/>
        <v>1.1433798727413311</v>
      </c>
      <c r="W229" s="304">
        <f t="shared" ca="1" si="91"/>
        <v>78.552731609207541</v>
      </c>
      <c r="Y229" s="314" t="str">
        <f t="shared" ca="1" si="109"/>
        <v/>
      </c>
      <c r="Z229" s="315" t="str">
        <f t="shared" ca="1" si="110"/>
        <v/>
      </c>
      <c r="AA229" s="316" t="str">
        <f t="shared" ca="1" si="111"/>
        <v/>
      </c>
      <c r="AC229" s="310" t="e">
        <f t="shared" ca="1" si="112"/>
        <v>#N/A</v>
      </c>
      <c r="AD229" s="323" t="e">
        <f t="shared" ca="1" si="113"/>
        <v>#N/A</v>
      </c>
      <c r="AE229" s="324">
        <f t="shared" ca="1" si="92"/>
        <v>689.24861419461467</v>
      </c>
      <c r="AG229" s="306">
        <f t="shared" ca="1" si="114"/>
        <v>-20.409386670585548</v>
      </c>
      <c r="AH229" s="304">
        <f t="shared" ca="1" si="115"/>
        <v>-10.858952887818035</v>
      </c>
    </row>
    <row r="230" spans="1:34" x14ac:dyDescent="0.2">
      <c r="A230" s="347">
        <f t="shared" ca="1" si="93"/>
        <v>0.1</v>
      </c>
      <c r="B230" s="304">
        <f t="shared" ca="1" si="94"/>
        <v>4.6000000000000005</v>
      </c>
      <c r="D230" s="306">
        <f t="shared" ca="1" si="95"/>
        <v>-2.4253506811759529</v>
      </c>
      <c r="E230" s="307">
        <f t="shared" ca="1" si="96"/>
        <v>-20.071258036232749</v>
      </c>
      <c r="F230" s="304">
        <f t="shared" ca="1" si="97"/>
        <v>20.217263046310656</v>
      </c>
      <c r="G230" s="306">
        <f t="shared" ca="1" si="98"/>
        <v>33.036674256308459</v>
      </c>
      <c r="H230" s="307">
        <f t="shared" ca="1" si="99"/>
        <v>138.79171073995064</v>
      </c>
      <c r="I230" s="304">
        <f t="shared" ca="1" si="100"/>
        <v>142.66941093324652</v>
      </c>
      <c r="J230" s="306">
        <f t="shared" ca="1" si="101"/>
        <v>147.84478093359527</v>
      </c>
      <c r="K230" s="307">
        <f t="shared" ca="1" si="102"/>
        <v>703.22814155879087</v>
      </c>
      <c r="L230" s="304">
        <f t="shared" ca="1" si="87"/>
        <v>718.60134868335274</v>
      </c>
      <c r="M230" s="306">
        <f t="shared" ca="1" si="103"/>
        <v>1.3371143166995347</v>
      </c>
      <c r="N230" s="304">
        <f t="shared" ca="1" si="104"/>
        <v>76.611007073402277</v>
      </c>
      <c r="P230" s="310">
        <f t="shared" ca="1" si="105"/>
        <v>23</v>
      </c>
      <c r="Q230" s="304">
        <f t="shared" ca="1" si="106"/>
        <v>0</v>
      </c>
      <c r="R230" s="306">
        <f t="shared" ca="1" si="107"/>
        <v>0</v>
      </c>
      <c r="S230" s="307">
        <f t="shared" ca="1" si="108"/>
        <v>7.4499999999999984</v>
      </c>
      <c r="T230" s="304">
        <f t="shared" ca="1" si="88"/>
        <v>73.084499999999991</v>
      </c>
      <c r="U230" s="311">
        <f t="shared" ca="1" si="89"/>
        <v>0</v>
      </c>
      <c r="V230" s="306">
        <f t="shared" ca="1" si="90"/>
        <v>1.1417806616901189</v>
      </c>
      <c r="W230" s="304">
        <f t="shared" ca="1" si="91"/>
        <v>76.279566327228594</v>
      </c>
      <c r="Y230" s="314" t="str">
        <f t="shared" ca="1" si="109"/>
        <v/>
      </c>
      <c r="Z230" s="315" t="str">
        <f t="shared" ca="1" si="110"/>
        <v/>
      </c>
      <c r="AA230" s="316" t="str">
        <f t="shared" ca="1" si="111"/>
        <v/>
      </c>
      <c r="AC230" s="310" t="e">
        <f t="shared" ca="1" si="112"/>
        <v>#N/A</v>
      </c>
      <c r="AD230" s="323" t="e">
        <f t="shared" ca="1" si="113"/>
        <v>#N/A</v>
      </c>
      <c r="AE230" s="324">
        <f t="shared" ca="1" si="92"/>
        <v>703.22814155879087</v>
      </c>
      <c r="AG230" s="306">
        <f t="shared" ca="1" si="114"/>
        <v>-20.090939698647738</v>
      </c>
      <c r="AH230" s="304">
        <f t="shared" ca="1" si="115"/>
        <v>-10.54399082002786</v>
      </c>
    </row>
    <row r="231" spans="1:34" x14ac:dyDescent="0.2">
      <c r="A231" s="347">
        <f t="shared" ca="1" si="93"/>
        <v>0.1</v>
      </c>
      <c r="B231" s="304">
        <f t="shared" ca="1" si="94"/>
        <v>4.7</v>
      </c>
      <c r="D231" s="306">
        <f t="shared" ca="1" si="95"/>
        <v>-2.3709227047836889</v>
      </c>
      <c r="E231" s="307">
        <f t="shared" ca="1" si="96"/>
        <v>-19.770579435936511</v>
      </c>
      <c r="F231" s="304">
        <f t="shared" ca="1" si="97"/>
        <v>19.912234573365556</v>
      </c>
      <c r="G231" s="306">
        <f t="shared" ca="1" si="98"/>
        <v>32.799581985830088</v>
      </c>
      <c r="H231" s="307">
        <f t="shared" ca="1" si="99"/>
        <v>136.814652796357</v>
      </c>
      <c r="I231" s="304">
        <f t="shared" ca="1" si="100"/>
        <v>140.69137073123179</v>
      </c>
      <c r="J231" s="306">
        <f t="shared" ca="1" si="101"/>
        <v>151.13659374570221</v>
      </c>
      <c r="K231" s="307">
        <f t="shared" ca="1" si="102"/>
        <v>717.00845973560627</v>
      </c>
      <c r="L231" s="304">
        <f t="shared" ca="1" si="87"/>
        <v>732.76421944680123</v>
      </c>
      <c r="M231" s="306">
        <f t="shared" ca="1" si="103"/>
        <v>1.3354997083713065</v>
      </c>
      <c r="N231" s="304">
        <f t="shared" ca="1" si="104"/>
        <v>76.518496830628123</v>
      </c>
      <c r="P231" s="310">
        <f t="shared" ca="1" si="105"/>
        <v>23</v>
      </c>
      <c r="Q231" s="304">
        <f t="shared" ca="1" si="106"/>
        <v>0</v>
      </c>
      <c r="R231" s="306">
        <f t="shared" ca="1" si="107"/>
        <v>0</v>
      </c>
      <c r="S231" s="307">
        <f t="shared" ca="1" si="108"/>
        <v>7.4499999999999984</v>
      </c>
      <c r="T231" s="304">
        <f t="shared" ca="1" si="88"/>
        <v>73.084499999999991</v>
      </c>
      <c r="U231" s="311">
        <f t="shared" ca="1" si="89"/>
        <v>0</v>
      </c>
      <c r="V231" s="306">
        <f t="shared" ca="1" si="90"/>
        <v>1.1402063518356715</v>
      </c>
      <c r="W231" s="304">
        <f t="shared" ca="1" si="91"/>
        <v>74.076793281839102</v>
      </c>
      <c r="Y231" s="314" t="str">
        <f t="shared" ca="1" si="109"/>
        <v/>
      </c>
      <c r="Z231" s="315" t="str">
        <f t="shared" ca="1" si="110"/>
        <v/>
      </c>
      <c r="AA231" s="316" t="str">
        <f t="shared" ca="1" si="111"/>
        <v/>
      </c>
      <c r="AC231" s="310" t="e">
        <f t="shared" ca="1" si="112"/>
        <v>#N/A</v>
      </c>
      <c r="AD231" s="323" t="e">
        <f t="shared" ca="1" si="113"/>
        <v>#N/A</v>
      </c>
      <c r="AE231" s="324">
        <f t="shared" ca="1" si="92"/>
        <v>717.00845973560627</v>
      </c>
      <c r="AG231" s="306">
        <f t="shared" ca="1" si="114"/>
        <v>-19.782235903665956</v>
      </c>
      <c r="AH231" s="304">
        <f t="shared" ca="1" si="115"/>
        <v>-10.23886796338639</v>
      </c>
    </row>
    <row r="232" spans="1:34" x14ac:dyDescent="0.2">
      <c r="A232" s="347">
        <f t="shared" ca="1" si="93"/>
        <v>0.1</v>
      </c>
      <c r="B232" s="304">
        <f t="shared" ca="1" si="94"/>
        <v>4.8</v>
      </c>
      <c r="D232" s="306">
        <f t="shared" ca="1" si="95"/>
        <v>-2.3180710815720542</v>
      </c>
      <c r="E232" s="307">
        <f t="shared" ca="1" si="96"/>
        <v>-19.479211342985046</v>
      </c>
      <c r="F232" s="304">
        <f t="shared" ca="1" si="97"/>
        <v>19.616654355009111</v>
      </c>
      <c r="G232" s="306">
        <f t="shared" ca="1" si="98"/>
        <v>32.567774877672882</v>
      </c>
      <c r="H232" s="307">
        <f t="shared" ca="1" si="99"/>
        <v>134.8667316620585</v>
      </c>
      <c r="I232" s="304">
        <f t="shared" ca="1" si="100"/>
        <v>138.7432710789553</v>
      </c>
      <c r="J232" s="306">
        <f t="shared" ca="1" si="101"/>
        <v>154.40496158887737</v>
      </c>
      <c r="K232" s="307">
        <f t="shared" ca="1" si="102"/>
        <v>730.59252895852705</v>
      </c>
      <c r="L232" s="304">
        <f t="shared" ca="1" si="87"/>
        <v>746.73043029816245</v>
      </c>
      <c r="M232" s="306">
        <f t="shared" ca="1" si="103"/>
        <v>1.3338513253877577</v>
      </c>
      <c r="N232" s="304">
        <f t="shared" ca="1" si="104"/>
        <v>76.424051442649599</v>
      </c>
      <c r="P232" s="310">
        <f t="shared" ca="1" si="105"/>
        <v>23</v>
      </c>
      <c r="Q232" s="304">
        <f t="shared" ca="1" si="106"/>
        <v>0</v>
      </c>
      <c r="R232" s="306">
        <f t="shared" ca="1" si="107"/>
        <v>0</v>
      </c>
      <c r="S232" s="307">
        <f t="shared" ca="1" si="108"/>
        <v>7.4499999999999984</v>
      </c>
      <c r="T232" s="304">
        <f t="shared" ca="1" si="88"/>
        <v>73.084499999999991</v>
      </c>
      <c r="U232" s="311">
        <f t="shared" ca="1" si="89"/>
        <v>0</v>
      </c>
      <c r="V232" s="306">
        <f t="shared" ca="1" si="90"/>
        <v>1.1386565106159889</v>
      </c>
      <c r="W232" s="304">
        <f t="shared" ca="1" si="91"/>
        <v>71.941649055435832</v>
      </c>
      <c r="Y232" s="314" t="str">
        <f t="shared" ca="1" si="109"/>
        <v/>
      </c>
      <c r="Z232" s="315" t="str">
        <f t="shared" ca="1" si="110"/>
        <v/>
      </c>
      <c r="AA232" s="316" t="str">
        <f t="shared" ca="1" si="111"/>
        <v/>
      </c>
      <c r="AC232" s="310" t="e">
        <f t="shared" ca="1" si="112"/>
        <v>#N/A</v>
      </c>
      <c r="AD232" s="323" t="e">
        <f t="shared" ca="1" si="113"/>
        <v>#N/A</v>
      </c>
      <c r="AE232" s="324">
        <f t="shared" ca="1" si="92"/>
        <v>730.59252895852705</v>
      </c>
      <c r="AG232" s="306">
        <f t="shared" ca="1" si="114"/>
        <v>-19.482881465152129</v>
      </c>
      <c r="AH232" s="304">
        <f t="shared" ca="1" si="115"/>
        <v>-9.9431937291059214</v>
      </c>
    </row>
    <row r="233" spans="1:34" x14ac:dyDescent="0.2">
      <c r="A233" s="347">
        <f t="shared" ca="1" si="93"/>
        <v>0.1</v>
      </c>
      <c r="B233" s="304">
        <f t="shared" ca="1" si="94"/>
        <v>4.8999999999999995</v>
      </c>
      <c r="D233" s="306">
        <f t="shared" ca="1" si="95"/>
        <v>-2.2667325116280597</v>
      </c>
      <c r="E233" s="307">
        <f t="shared" ca="1" si="96"/>
        <v>-19.19678821453612</v>
      </c>
      <c r="F233" s="304">
        <f t="shared" ca="1" si="97"/>
        <v>19.33015142292022</v>
      </c>
      <c r="G233" s="306">
        <f t="shared" ca="1" si="98"/>
        <v>32.341101626510074</v>
      </c>
      <c r="H233" s="307">
        <f t="shared" ca="1" si="99"/>
        <v>132.9470528406049</v>
      </c>
      <c r="I233" s="304">
        <f t="shared" ca="1" si="100"/>
        <v>136.82421464572286</v>
      </c>
      <c r="J233" s="306">
        <f t="shared" ca="1" si="101"/>
        <v>157.65040541408652</v>
      </c>
      <c r="K233" s="307">
        <f t="shared" ca="1" si="102"/>
        <v>743.98321818366026</v>
      </c>
      <c r="L233" s="304">
        <f t="shared" ca="1" si="87"/>
        <v>760.50291206946838</v>
      </c>
      <c r="M233" s="306">
        <f t="shared" ca="1" si="103"/>
        <v>1.3321683320131394</v>
      </c>
      <c r="N233" s="304">
        <f t="shared" ca="1" si="104"/>
        <v>76.327623025335484</v>
      </c>
      <c r="P233" s="310">
        <f t="shared" ca="1" si="105"/>
        <v>23</v>
      </c>
      <c r="Q233" s="304">
        <f t="shared" ca="1" si="106"/>
        <v>0</v>
      </c>
      <c r="R233" s="306">
        <f t="shared" ca="1" si="107"/>
        <v>0</v>
      </c>
      <c r="S233" s="307">
        <f t="shared" ca="1" si="108"/>
        <v>7.4499999999999984</v>
      </c>
      <c r="T233" s="304">
        <f t="shared" ca="1" si="88"/>
        <v>73.084499999999991</v>
      </c>
      <c r="U233" s="311">
        <f t="shared" ca="1" si="89"/>
        <v>0</v>
      </c>
      <c r="V233" s="306">
        <f t="shared" ca="1" si="90"/>
        <v>1.1371307192848006</v>
      </c>
      <c r="W233" s="304">
        <f t="shared" ca="1" si="91"/>
        <v>69.871507933915282</v>
      </c>
      <c r="Y233" s="314" t="str">
        <f t="shared" ca="1" si="109"/>
        <v/>
      </c>
      <c r="Z233" s="315" t="str">
        <f t="shared" ca="1" si="110"/>
        <v/>
      </c>
      <c r="AA233" s="316" t="str">
        <f t="shared" ca="1" si="111"/>
        <v/>
      </c>
      <c r="AC233" s="310" t="e">
        <f t="shared" ca="1" si="112"/>
        <v>#N/A</v>
      </c>
      <c r="AD233" s="323" t="e">
        <f t="shared" ca="1" si="113"/>
        <v>#N/A</v>
      </c>
      <c r="AE233" s="324">
        <f t="shared" ca="1" si="92"/>
        <v>743.98321818366026</v>
      </c>
      <c r="AG233" s="306">
        <f t="shared" ca="1" si="114"/>
        <v>-19.192502082025044</v>
      </c>
      <c r="AH233" s="304">
        <f t="shared" ca="1" si="115"/>
        <v>-9.6565971886491067</v>
      </c>
    </row>
    <row r="234" spans="1:34" x14ac:dyDescent="0.2">
      <c r="A234" s="347">
        <f t="shared" ca="1" si="93"/>
        <v>0.1</v>
      </c>
      <c r="B234" s="304">
        <f t="shared" ca="1" si="94"/>
        <v>4.9999999999999991</v>
      </c>
      <c r="D234" s="306">
        <f t="shared" ca="1" si="95"/>
        <v>-2.2168468363069351</v>
      </c>
      <c r="E234" s="307">
        <f t="shared" ca="1" si="96"/>
        <v>-18.922962721233976</v>
      </c>
      <c r="F234" s="304">
        <f t="shared" ca="1" si="97"/>
        <v>19.052373291662505</v>
      </c>
      <c r="G234" s="306">
        <f t="shared" ca="1" si="98"/>
        <v>32.119416942879383</v>
      </c>
      <c r="H234" s="307">
        <f t="shared" ca="1" si="99"/>
        <v>131.05475656848151</v>
      </c>
      <c r="I234" s="304">
        <f t="shared" ca="1" si="100"/>
        <v>134.93333970510949</v>
      </c>
      <c r="J234" s="306">
        <f t="shared" ca="1" si="101"/>
        <v>160.87343134255599</v>
      </c>
      <c r="K234" s="307">
        <f t="shared" ca="1" si="102"/>
        <v>757.18330865411463</v>
      </c>
      <c r="L234" s="304">
        <f t="shared" ca="1" si="87"/>
        <v>774.08450689593337</v>
      </c>
      <c r="M234" s="306">
        <f t="shared" ca="1" si="103"/>
        <v>1.3304498626395955</v>
      </c>
      <c r="N234" s="304">
        <f t="shared" ca="1" si="104"/>
        <v>76.229161983008922</v>
      </c>
      <c r="P234" s="310">
        <f t="shared" ca="1" si="105"/>
        <v>23</v>
      </c>
      <c r="Q234" s="304">
        <f t="shared" ca="1" si="106"/>
        <v>0</v>
      </c>
      <c r="R234" s="306">
        <f t="shared" ca="1" si="107"/>
        <v>0</v>
      </c>
      <c r="S234" s="307">
        <f t="shared" ca="1" si="108"/>
        <v>7.4499999999999984</v>
      </c>
      <c r="T234" s="304">
        <f t="shared" ca="1" si="88"/>
        <v>73.084499999999991</v>
      </c>
      <c r="U234" s="311">
        <f t="shared" ca="1" si="89"/>
        <v>0</v>
      </c>
      <c r="V234" s="306">
        <f t="shared" ca="1" si="90"/>
        <v>1.1356285723540751</v>
      </c>
      <c r="W234" s="304">
        <f t="shared" ca="1" si="91"/>
        <v>67.863873750529947</v>
      </c>
      <c r="Y234" s="314" t="str">
        <f t="shared" ca="1" si="109"/>
        <v/>
      </c>
      <c r="Z234" s="315" t="str">
        <f t="shared" ca="1" si="110"/>
        <v/>
      </c>
      <c r="AA234" s="316" t="str">
        <f t="shared" ca="1" si="111"/>
        <v/>
      </c>
      <c r="AC234" s="310">
        <f t="shared" ca="1" si="112"/>
        <v>4.9999999999999991</v>
      </c>
      <c r="AD234" s="323">
        <f t="shared" ca="1" si="113"/>
        <v>160.87343134255599</v>
      </c>
      <c r="AE234" s="324">
        <f t="shared" ca="1" si="92"/>
        <v>757.18330865411463</v>
      </c>
      <c r="AG234" s="306">
        <f t="shared" ca="1" si="114"/>
        <v>-18.91074178882549</v>
      </c>
      <c r="AH234" s="304">
        <f t="shared" ca="1" si="115"/>
        <v>-9.3787258971698382</v>
      </c>
    </row>
    <row r="235" spans="1:34" x14ac:dyDescent="0.2">
      <c r="A235" s="347">
        <f t="shared" ca="1" si="93"/>
        <v>0.1</v>
      </c>
      <c r="B235" s="304">
        <f t="shared" ca="1" si="94"/>
        <v>5.0999999999999988</v>
      </c>
      <c r="D235" s="306">
        <f t="shared" ca="1" si="95"/>
        <v>-2.1683568520912275</v>
      </c>
      <c r="E235" s="307">
        <f t="shared" ca="1" si="96"/>
        <v>-18.657404668328319</v>
      </c>
      <c r="F235" s="304">
        <f t="shared" ca="1" si="97"/>
        <v>18.782984863854047</v>
      </c>
      <c r="G235" s="306">
        <f t="shared" ca="1" si="98"/>
        <v>31.90258125767026</v>
      </c>
      <c r="H235" s="307">
        <f t="shared" ca="1" si="99"/>
        <v>129.18901610164869</v>
      </c>
      <c r="I235" s="304">
        <f t="shared" ca="1" si="100"/>
        <v>133.06981841204376</v>
      </c>
      <c r="J235" s="306">
        <f t="shared" ca="1" si="101"/>
        <v>164.07453125258348</v>
      </c>
      <c r="K235" s="307">
        <f t="shared" ca="1" si="102"/>
        <v>770.19549728762115</v>
      </c>
      <c r="L235" s="304">
        <f t="shared" ca="1" si="87"/>
        <v>787.47797165881468</v>
      </c>
      <c r="M235" s="306">
        <f t="shared" ca="1" si="103"/>
        <v>1.3286950205213028</v>
      </c>
      <c r="N235" s="304">
        <f t="shared" ca="1" si="104"/>
        <v>76.128616935918956</v>
      </c>
      <c r="P235" s="310">
        <f t="shared" ca="1" si="105"/>
        <v>23</v>
      </c>
      <c r="Q235" s="304">
        <f t="shared" ca="1" si="106"/>
        <v>0</v>
      </c>
      <c r="R235" s="306">
        <f t="shared" ca="1" si="107"/>
        <v>0</v>
      </c>
      <c r="S235" s="307">
        <f t="shared" ca="1" si="108"/>
        <v>7.4499999999999984</v>
      </c>
      <c r="T235" s="304">
        <f t="shared" ca="1" si="88"/>
        <v>73.084499999999991</v>
      </c>
      <c r="U235" s="311">
        <f t="shared" ca="1" si="89"/>
        <v>0</v>
      </c>
      <c r="V235" s="306">
        <f t="shared" ca="1" si="90"/>
        <v>1.1341496770648551</v>
      </c>
      <c r="W235" s="304">
        <f t="shared" ca="1" si="91"/>
        <v>65.916372290925537</v>
      </c>
      <c r="Y235" s="314" t="str">
        <f t="shared" ca="1" si="109"/>
        <v/>
      </c>
      <c r="Z235" s="315" t="str">
        <f t="shared" ca="1" si="110"/>
        <v/>
      </c>
      <c r="AA235" s="316" t="str">
        <f t="shared" ca="1" si="111"/>
        <v/>
      </c>
      <c r="AC235" s="310" t="e">
        <f t="shared" ca="1" si="112"/>
        <v>#N/A</v>
      </c>
      <c r="AD235" s="323" t="e">
        <f t="shared" ca="1" si="113"/>
        <v>#N/A</v>
      </c>
      <c r="AE235" s="324">
        <f t="shared" ca="1" si="92"/>
        <v>770.19549728762115</v>
      </c>
      <c r="AG235" s="306">
        <f t="shared" ca="1" si="114"/>
        <v>-18.63726185327242</v>
      </c>
      <c r="AH235" s="304">
        <f t="shared" ca="1" si="115"/>
        <v>-9.1092447987288541</v>
      </c>
    </row>
    <row r="236" spans="1:34" x14ac:dyDescent="0.2">
      <c r="A236" s="347">
        <f t="shared" ca="1" si="93"/>
        <v>0.1</v>
      </c>
      <c r="B236" s="304">
        <f t="shared" ca="1" si="94"/>
        <v>5.1999999999999984</v>
      </c>
      <c r="D236" s="306">
        <f t="shared" ca="1" si="95"/>
        <v>-2.1212081372691083</v>
      </c>
      <c r="E236" s="307">
        <f t="shared" ca="1" si="96"/>
        <v>-18.399799991018632</v>
      </c>
      <c r="F236" s="304">
        <f t="shared" ca="1" si="97"/>
        <v>18.521667410660033</v>
      </c>
      <c r="G236" s="306">
        <f t="shared" ca="1" si="98"/>
        <v>31.690460443943348</v>
      </c>
      <c r="H236" s="307">
        <f t="shared" ca="1" si="99"/>
        <v>127.34903610254683</v>
      </c>
      <c r="I236" s="304">
        <f t="shared" ca="1" si="100"/>
        <v>131.23285518267485</v>
      </c>
      <c r="J236" s="306">
        <f t="shared" ca="1" si="101"/>
        <v>167.25418333766416</v>
      </c>
      <c r="K236" s="307">
        <f t="shared" ca="1" si="102"/>
        <v>783.02239989783095</v>
      </c>
      <c r="L236" s="304">
        <f t="shared" ca="1" si="87"/>
        <v>800.68598125963695</v>
      </c>
      <c r="M236" s="306">
        <f t="shared" ca="1" si="103"/>
        <v>1.3269028764435757</v>
      </c>
      <c r="N236" s="304">
        <f t="shared" ca="1" si="104"/>
        <v>76.025934643985835</v>
      </c>
      <c r="P236" s="310">
        <f t="shared" ca="1" si="105"/>
        <v>23</v>
      </c>
      <c r="Q236" s="304">
        <f t="shared" ca="1" si="106"/>
        <v>0</v>
      </c>
      <c r="R236" s="306">
        <f t="shared" ca="1" si="107"/>
        <v>0</v>
      </c>
      <c r="S236" s="307">
        <f t="shared" ca="1" si="108"/>
        <v>7.4499999999999984</v>
      </c>
      <c r="T236" s="304">
        <f t="shared" ca="1" si="88"/>
        <v>73.084499999999991</v>
      </c>
      <c r="U236" s="311">
        <f t="shared" ca="1" si="89"/>
        <v>0</v>
      </c>
      <c r="V236" s="306">
        <f t="shared" ca="1" si="90"/>
        <v>1.1326936528847162</v>
      </c>
      <c r="W236" s="304">
        <f t="shared" ca="1" si="91"/>
        <v>64.026744215551361</v>
      </c>
      <c r="Y236" s="314" t="str">
        <f t="shared" ca="1" si="109"/>
        <v/>
      </c>
      <c r="Z236" s="315" t="str">
        <f t="shared" ca="1" si="110"/>
        <v/>
      </c>
      <c r="AA236" s="316" t="str">
        <f t="shared" ca="1" si="111"/>
        <v/>
      </c>
      <c r="AC236" s="310" t="e">
        <f t="shared" ca="1" si="112"/>
        <v>#N/A</v>
      </c>
      <c r="AD236" s="323" t="e">
        <f t="shared" ca="1" si="113"/>
        <v>#N/A</v>
      </c>
      <c r="AE236" s="324">
        <f t="shared" ca="1" si="92"/>
        <v>783.02239989783095</v>
      </c>
      <c r="AG236" s="306">
        <f t="shared" ca="1" si="114"/>
        <v>-18.371739748682302</v>
      </c>
      <c r="AH236" s="304">
        <f t="shared" ca="1" si="115"/>
        <v>-8.8478352068356436</v>
      </c>
    </row>
    <row r="237" spans="1:34" x14ac:dyDescent="0.2">
      <c r="A237" s="347">
        <f t="shared" ca="1" si="93"/>
        <v>0.1</v>
      </c>
      <c r="B237" s="304">
        <f t="shared" ca="1" si="94"/>
        <v>5.299999999999998</v>
      </c>
      <c r="D237" s="306">
        <f t="shared" ca="1" si="95"/>
        <v>-2.0753488904320845</v>
      </c>
      <c r="E237" s="307">
        <f t="shared" ca="1" si="96"/>
        <v>-18.14984981822905</v>
      </c>
      <c r="F237" s="304">
        <f t="shared" ca="1" si="97"/>
        <v>18.268117621727935</v>
      </c>
      <c r="G237" s="306">
        <f t="shared" ca="1" si="98"/>
        <v>31.482925554900138</v>
      </c>
      <c r="H237" s="307">
        <f t="shared" ca="1" si="99"/>
        <v>125.53405112072393</v>
      </c>
      <c r="I237" s="304">
        <f t="shared" ca="1" si="100"/>
        <v>129.42168517012871</v>
      </c>
      <c r="J237" s="306">
        <f t="shared" ca="1" si="101"/>
        <v>170.41285263760633</v>
      </c>
      <c r="K237" s="307">
        <f t="shared" ca="1" si="102"/>
        <v>795.66655425899444</v>
      </c>
      <c r="L237" s="304">
        <f t="shared" ca="1" si="87"/>
        <v>813.71113173562264</v>
      </c>
      <c r="M237" s="306">
        <f t="shared" ca="1" si="103"/>
        <v>1.3250724673231395</v>
      </c>
      <c r="N237" s="304">
        <f t="shared" ca="1" si="104"/>
        <v>75.921059926602581</v>
      </c>
      <c r="P237" s="310">
        <f t="shared" ca="1" si="105"/>
        <v>23</v>
      </c>
      <c r="Q237" s="304">
        <f t="shared" ca="1" si="106"/>
        <v>0</v>
      </c>
      <c r="R237" s="306">
        <f t="shared" ca="1" si="107"/>
        <v>0</v>
      </c>
      <c r="S237" s="307">
        <f t="shared" ca="1" si="108"/>
        <v>7.4499999999999984</v>
      </c>
      <c r="T237" s="304">
        <f t="shared" ca="1" si="88"/>
        <v>73.084499999999991</v>
      </c>
      <c r="U237" s="311">
        <f t="shared" ca="1" si="89"/>
        <v>0</v>
      </c>
      <c r="V237" s="306">
        <f t="shared" ca="1" si="90"/>
        <v>1.1312601310302652</v>
      </c>
      <c r="W237" s="304">
        <f t="shared" ca="1" si="91"/>
        <v>62.192838459454784</v>
      </c>
      <c r="Y237" s="314" t="str">
        <f t="shared" ca="1" si="109"/>
        <v/>
      </c>
      <c r="Z237" s="315" t="str">
        <f t="shared" ca="1" si="110"/>
        <v/>
      </c>
      <c r="AA237" s="316" t="str">
        <f t="shared" ca="1" si="111"/>
        <v/>
      </c>
      <c r="AC237" s="310" t="e">
        <f t="shared" ca="1" si="112"/>
        <v>#N/A</v>
      </c>
      <c r="AD237" s="323" t="e">
        <f t="shared" ca="1" si="113"/>
        <v>#N/A</v>
      </c>
      <c r="AE237" s="324">
        <f t="shared" ca="1" si="92"/>
        <v>795.66655425899444</v>
      </c>
      <c r="AG237" s="306">
        <f t="shared" ca="1" si="114"/>
        <v>-18.113868195339695</v>
      </c>
      <c r="AH237" s="304">
        <f t="shared" ca="1" si="115"/>
        <v>-8.5941938544364262</v>
      </c>
    </row>
    <row r="238" spans="1:34" x14ac:dyDescent="0.2">
      <c r="A238" s="347">
        <f t="shared" ca="1" si="93"/>
        <v>0.1</v>
      </c>
      <c r="B238" s="304">
        <f t="shared" ca="1" si="94"/>
        <v>5.3999999999999977</v>
      </c>
      <c r="D238" s="306">
        <f t="shared" ca="1" si="95"/>
        <v>-2.0307297798795352</v>
      </c>
      <c r="E238" s="307">
        <f t="shared" ca="1" si="96"/>
        <v>-17.90726959952412</v>
      </c>
      <c r="F238" s="304">
        <f t="shared" ca="1" si="97"/>
        <v>18.022046719197306</v>
      </c>
      <c r="G238" s="306">
        <f t="shared" ca="1" si="98"/>
        <v>31.279852576912184</v>
      </c>
      <c r="H238" s="307">
        <f t="shared" ca="1" si="99"/>
        <v>123.74332416077152</v>
      </c>
      <c r="I238" s="304">
        <f t="shared" ca="1" si="100"/>
        <v>127.63557282979984</v>
      </c>
      <c r="J238" s="306">
        <f t="shared" ca="1" si="101"/>
        <v>173.55099154419696</v>
      </c>
      <c r="K238" s="307">
        <f t="shared" ca="1" si="102"/>
        <v>808.13042302306917</v>
      </c>
      <c r="L238" s="304">
        <f t="shared" ca="1" si="87"/>
        <v>826.55594322551372</v>
      </c>
      <c r="M238" s="306">
        <f t="shared" ca="1" si="103"/>
        <v>1.323202794735528</v>
      </c>
      <c r="N238" s="304">
        <f t="shared" ca="1" si="104"/>
        <v>75.813935578261137</v>
      </c>
      <c r="P238" s="310">
        <f t="shared" ca="1" si="105"/>
        <v>23</v>
      </c>
      <c r="Q238" s="304">
        <f t="shared" ca="1" si="106"/>
        <v>0</v>
      </c>
      <c r="R238" s="306">
        <f t="shared" ca="1" si="107"/>
        <v>0</v>
      </c>
      <c r="S238" s="307">
        <f t="shared" ca="1" si="108"/>
        <v>7.4499999999999984</v>
      </c>
      <c r="T238" s="304">
        <f t="shared" ca="1" si="88"/>
        <v>73.084499999999991</v>
      </c>
      <c r="U238" s="311">
        <f t="shared" ca="1" si="89"/>
        <v>0</v>
      </c>
      <c r="V238" s="306">
        <f t="shared" ca="1" si="90"/>
        <v>1.1298487540131981</v>
      </c>
      <c r="W238" s="304">
        <f t="shared" ca="1" si="91"/>
        <v>60.412606072923403</v>
      </c>
      <c r="Y238" s="314" t="str">
        <f t="shared" ca="1" si="109"/>
        <v/>
      </c>
      <c r="Z238" s="315" t="str">
        <f t="shared" ca="1" si="110"/>
        <v/>
      </c>
      <c r="AA238" s="316" t="str">
        <f t="shared" ca="1" si="111"/>
        <v/>
      </c>
      <c r="AC238" s="310" t="e">
        <f t="shared" ca="1" si="112"/>
        <v>#N/A</v>
      </c>
      <c r="AD238" s="323" t="e">
        <f t="shared" ca="1" si="113"/>
        <v>#N/A</v>
      </c>
      <c r="AE238" s="324">
        <f t="shared" ca="1" si="92"/>
        <v>808.13042302306917</v>
      </c>
      <c r="AG238" s="306">
        <f t="shared" ca="1" si="114"/>
        <v>-17.863354265417293</v>
      </c>
      <c r="AH238" s="304">
        <f t="shared" ca="1" si="115"/>
        <v>-8.3480320079805104</v>
      </c>
    </row>
    <row r="239" spans="1:34" x14ac:dyDescent="0.2">
      <c r="A239" s="347">
        <f t="shared" ca="1" si="93"/>
        <v>0.1</v>
      </c>
      <c r="B239" s="304">
        <f t="shared" ca="1" si="94"/>
        <v>5.4999999999999973</v>
      </c>
      <c r="D239" s="306">
        <f t="shared" ca="1" si="95"/>
        <v>-1.9873038030964008</v>
      </c>
      <c r="E239" s="307">
        <f t="shared" ca="1" si="96"/>
        <v>-17.671788290332401</v>
      </c>
      <c r="F239" s="304">
        <f t="shared" ca="1" si="97"/>
        <v>17.783179630879591</v>
      </c>
      <c r="G239" s="306">
        <f t="shared" ca="1" si="98"/>
        <v>31.081122196602543</v>
      </c>
      <c r="H239" s="307">
        <f t="shared" ca="1" si="99"/>
        <v>121.97614533173828</v>
      </c>
      <c r="I239" s="304">
        <f t="shared" ca="1" si="100"/>
        <v>125.87381056832068</v>
      </c>
      <c r="J239" s="306">
        <f t="shared" ca="1" si="101"/>
        <v>176.66904028287269</v>
      </c>
      <c r="K239" s="307">
        <f t="shared" ca="1" si="102"/>
        <v>820.41639649769468</v>
      </c>
      <c r="L239" s="304">
        <f t="shared" ca="1" si="87"/>
        <v>839.22286279434377</v>
      </c>
      <c r="M239" s="306">
        <f t="shared" ca="1" si="103"/>
        <v>1.321292823365295</v>
      </c>
      <c r="N239" s="304">
        <f t="shared" ca="1" si="104"/>
        <v>75.704502279755971</v>
      </c>
      <c r="P239" s="310">
        <f t="shared" ca="1" si="105"/>
        <v>23</v>
      </c>
      <c r="Q239" s="304">
        <f t="shared" ca="1" si="106"/>
        <v>0</v>
      </c>
      <c r="R239" s="306">
        <f t="shared" ca="1" si="107"/>
        <v>0</v>
      </c>
      <c r="S239" s="307">
        <f t="shared" ca="1" si="108"/>
        <v>7.4499999999999984</v>
      </c>
      <c r="T239" s="304">
        <f t="shared" ca="1" si="88"/>
        <v>73.084499999999991</v>
      </c>
      <c r="U239" s="311">
        <f t="shared" ca="1" si="89"/>
        <v>0</v>
      </c>
      <c r="V239" s="306">
        <f t="shared" ca="1" si="90"/>
        <v>1.1284591752085484</v>
      </c>
      <c r="W239" s="304">
        <f t="shared" ca="1" si="91"/>
        <v>58.68409446956413</v>
      </c>
      <c r="Y239" s="314" t="str">
        <f t="shared" ca="1" si="109"/>
        <v/>
      </c>
      <c r="Z239" s="315" t="str">
        <f t="shared" ca="1" si="110"/>
        <v/>
      </c>
      <c r="AA239" s="316" t="str">
        <f t="shared" ca="1" si="111"/>
        <v/>
      </c>
      <c r="AC239" s="310" t="e">
        <f t="shared" ca="1" si="112"/>
        <v>#N/A</v>
      </c>
      <c r="AD239" s="323" t="e">
        <f t="shared" ca="1" si="113"/>
        <v>#N/A</v>
      </c>
      <c r="AE239" s="324">
        <f t="shared" ca="1" si="92"/>
        <v>820.41639649769468</v>
      </c>
      <c r="AG239" s="306">
        <f t="shared" ca="1" si="114"/>
        <v>-17.61991854650454</v>
      </c>
      <c r="AH239" s="304">
        <f t="shared" ca="1" si="115"/>
        <v>-8.1090746406608609</v>
      </c>
    </row>
    <row r="240" spans="1:34" x14ac:dyDescent="0.2">
      <c r="A240" s="347">
        <f t="shared" ca="1" si="93"/>
        <v>0.1</v>
      </c>
      <c r="B240" s="304">
        <f t="shared" ca="1" si="94"/>
        <v>5.599999999999997</v>
      </c>
      <c r="D240" s="306">
        <f t="shared" ca="1" si="95"/>
        <v>-1.9450261555417074</v>
      </c>
      <c r="E240" s="307">
        <f t="shared" ca="1" si="96"/>
        <v>-17.44314759105837</v>
      </c>
      <c r="F240" s="304">
        <f t="shared" ca="1" si="97"/>
        <v>17.55125421812318</v>
      </c>
      <c r="G240" s="306">
        <f t="shared" ca="1" si="98"/>
        <v>30.886619581048372</v>
      </c>
      <c r="H240" s="307">
        <f t="shared" ca="1" si="99"/>
        <v>120.23183057263245</v>
      </c>
      <c r="I240" s="304">
        <f t="shared" ca="1" si="100"/>
        <v>124.13571747080127</v>
      </c>
      <c r="J240" s="306">
        <f t="shared" ca="1" si="101"/>
        <v>179.76742737175522</v>
      </c>
      <c r="K240" s="307">
        <f t="shared" ca="1" si="102"/>
        <v>832.52679529291322</v>
      </c>
      <c r="L240" s="304">
        <f t="shared" ca="1" si="87"/>
        <v>851.71426712515949</v>
      </c>
      <c r="M240" s="306">
        <f t="shared" ca="1" si="103"/>
        <v>1.3193414793744369</v>
      </c>
      <c r="N240" s="304">
        <f t="shared" ca="1" si="104"/>
        <v>75.592698504701588</v>
      </c>
      <c r="P240" s="310">
        <f t="shared" ca="1" si="105"/>
        <v>23</v>
      </c>
      <c r="Q240" s="304">
        <f t="shared" ca="1" si="106"/>
        <v>0</v>
      </c>
      <c r="R240" s="306">
        <f t="shared" ca="1" si="107"/>
        <v>0</v>
      </c>
      <c r="S240" s="307">
        <f t="shared" ca="1" si="108"/>
        <v>7.4499999999999984</v>
      </c>
      <c r="T240" s="304">
        <f t="shared" ca="1" si="88"/>
        <v>73.084499999999991</v>
      </c>
      <c r="U240" s="311">
        <f t="shared" ca="1" si="89"/>
        <v>0</v>
      </c>
      <c r="V240" s="306">
        <f t="shared" ca="1" si="90"/>
        <v>1.1270910584438321</v>
      </c>
      <c r="W240" s="304">
        <f t="shared" ca="1" si="91"/>
        <v>57.005442051234624</v>
      </c>
      <c r="Y240" s="314" t="str">
        <f t="shared" ca="1" si="109"/>
        <v/>
      </c>
      <c r="Z240" s="315" t="str">
        <f t="shared" ca="1" si="110"/>
        <v/>
      </c>
      <c r="AA240" s="316" t="str">
        <f t="shared" ca="1" si="111"/>
        <v/>
      </c>
      <c r="AC240" s="310" t="e">
        <f t="shared" ca="1" si="112"/>
        <v>#N/A</v>
      </c>
      <c r="AD240" s="323" t="e">
        <f t="shared" ca="1" si="113"/>
        <v>#N/A</v>
      </c>
      <c r="AE240" s="324">
        <f t="shared" ca="1" si="92"/>
        <v>832.52679529291322</v>
      </c>
      <c r="AG240" s="306">
        <f t="shared" ca="1" si="114"/>
        <v>-17.383294359220486</v>
      </c>
      <c r="AH240" s="304">
        <f t="shared" ca="1" si="115"/>
        <v>-7.8770596603441803</v>
      </c>
    </row>
    <row r="241" spans="1:34" x14ac:dyDescent="0.2">
      <c r="A241" s="347">
        <f t="shared" ca="1" si="93"/>
        <v>0.1</v>
      </c>
      <c r="B241" s="304">
        <f t="shared" ca="1" si="94"/>
        <v>5.6999999999999966</v>
      </c>
      <c r="D241" s="306">
        <f t="shared" ca="1" si="95"/>
        <v>-1.9038541080502325</v>
      </c>
      <c r="E241" s="307">
        <f t="shared" ca="1" si="96"/>
        <v>-17.221101236036791</v>
      </c>
      <c r="F241" s="304">
        <f t="shared" ca="1" si="97"/>
        <v>17.326020554257912</v>
      </c>
      <c r="G241" s="306">
        <f t="shared" ca="1" si="98"/>
        <v>30.696234170243347</v>
      </c>
      <c r="H241" s="307">
        <f t="shared" ca="1" si="99"/>
        <v>118.50972044902876</v>
      </c>
      <c r="I241" s="304">
        <f t="shared" ca="1" si="100"/>
        <v>122.42063810134859</v>
      </c>
      <c r="J241" s="306">
        <f t="shared" ca="1" si="101"/>
        <v>182.84657005931982</v>
      </c>
      <c r="K241" s="307">
        <f t="shared" ca="1" si="102"/>
        <v>844.46387284399623</v>
      </c>
      <c r="L241" s="304">
        <f t="shared" ca="1" si="87"/>
        <v>864.03246508516031</v>
      </c>
      <c r="M241" s="306">
        <f t="shared" ca="1" si="103"/>
        <v>1.3173476486841227</v>
      </c>
      <c r="N241" s="304">
        <f t="shared" ca="1" si="104"/>
        <v>75.478460421082929</v>
      </c>
      <c r="P241" s="310">
        <f t="shared" ca="1" si="105"/>
        <v>23</v>
      </c>
      <c r="Q241" s="304">
        <f t="shared" ca="1" si="106"/>
        <v>0</v>
      </c>
      <c r="R241" s="306">
        <f t="shared" ca="1" si="107"/>
        <v>0</v>
      </c>
      <c r="S241" s="307">
        <f t="shared" ca="1" si="108"/>
        <v>7.4499999999999984</v>
      </c>
      <c r="T241" s="304">
        <f t="shared" ca="1" si="88"/>
        <v>73.084499999999991</v>
      </c>
      <c r="U241" s="311">
        <f t="shared" ca="1" si="89"/>
        <v>0</v>
      </c>
      <c r="V241" s="306">
        <f t="shared" ca="1" si="90"/>
        <v>1.1257440776079071</v>
      </c>
      <c r="W241" s="304">
        <f t="shared" ca="1" si="91"/>
        <v>55.374873181811772</v>
      </c>
      <c r="Y241" s="314" t="str">
        <f t="shared" ca="1" si="109"/>
        <v/>
      </c>
      <c r="Z241" s="315" t="str">
        <f t="shared" ca="1" si="110"/>
        <v/>
      </c>
      <c r="AA241" s="316" t="str">
        <f t="shared" ca="1" si="111"/>
        <v/>
      </c>
      <c r="AC241" s="310" t="e">
        <f t="shared" ca="1" si="112"/>
        <v>#N/A</v>
      </c>
      <c r="AD241" s="323" t="e">
        <f t="shared" ca="1" si="113"/>
        <v>#N/A</v>
      </c>
      <c r="AE241" s="324">
        <f t="shared" ca="1" si="92"/>
        <v>844.46387284399623</v>
      </c>
      <c r="AG241" s="306">
        <f t="shared" ca="1" si="114"/>
        <v>-17.15322702476298</v>
      </c>
      <c r="AH241" s="304">
        <f t="shared" ca="1" si="115"/>
        <v>-7.6517371880851863</v>
      </c>
    </row>
    <row r="242" spans="1:34" x14ac:dyDescent="0.2">
      <c r="A242" s="347">
        <f t="shared" ca="1" si="93"/>
        <v>0.1</v>
      </c>
      <c r="B242" s="304">
        <f t="shared" ca="1" si="94"/>
        <v>5.7999999999999963</v>
      </c>
      <c r="D242" s="306">
        <f t="shared" ca="1" si="95"/>
        <v>-1.8637468922083098</v>
      </c>
      <c r="E242" s="307">
        <f t="shared" ca="1" si="96"/>
        <v>-17.005414328623555</v>
      </c>
      <c r="F242" s="304">
        <f t="shared" ca="1" si="97"/>
        <v>17.107240249858286</v>
      </c>
      <c r="G242" s="306">
        <f t="shared" ca="1" si="98"/>
        <v>30.509859481022517</v>
      </c>
      <c r="H242" s="307">
        <f t="shared" ca="1" si="99"/>
        <v>116.80917901616641</v>
      </c>
      <c r="I242" s="304">
        <f t="shared" ca="1" si="100"/>
        <v>120.72794137225463</v>
      </c>
      <c r="J242" s="306">
        <f t="shared" ca="1" si="101"/>
        <v>185.90687474188312</v>
      </c>
      <c r="K242" s="307">
        <f t="shared" ca="1" si="102"/>
        <v>856.22981781725593</v>
      </c>
      <c r="L242" s="304">
        <f t="shared" ca="1" si="87"/>
        <v>876.17970017323819</v>
      </c>
      <c r="M242" s="306">
        <f t="shared" ca="1" si="103"/>
        <v>1.3153101751644849</v>
      </c>
      <c r="N242" s="304">
        <f t="shared" ca="1" si="104"/>
        <v>75.361721787538016</v>
      </c>
      <c r="P242" s="310">
        <f t="shared" ca="1" si="105"/>
        <v>23</v>
      </c>
      <c r="Q242" s="304">
        <f t="shared" ca="1" si="106"/>
        <v>0</v>
      </c>
      <c r="R242" s="306">
        <f t="shared" ca="1" si="107"/>
        <v>0</v>
      </c>
      <c r="S242" s="307">
        <f t="shared" ca="1" si="108"/>
        <v>7.4499999999999984</v>
      </c>
      <c r="T242" s="304">
        <f t="shared" ca="1" si="88"/>
        <v>73.084499999999991</v>
      </c>
      <c r="U242" s="311">
        <f t="shared" ca="1" si="89"/>
        <v>0</v>
      </c>
      <c r="V242" s="306">
        <f t="shared" ca="1" si="90"/>
        <v>1.1244179162784167</v>
      </c>
      <c r="W242" s="304">
        <f t="shared" ca="1" si="91"/>
        <v>53.790693484105915</v>
      </c>
      <c r="Y242" s="314" t="str">
        <f t="shared" ca="1" si="109"/>
        <v/>
      </c>
      <c r="Z242" s="315" t="str">
        <f t="shared" ca="1" si="110"/>
        <v/>
      </c>
      <c r="AA242" s="316" t="str">
        <f t="shared" ca="1" si="111"/>
        <v/>
      </c>
      <c r="AC242" s="310" t="e">
        <f t="shared" ca="1" si="112"/>
        <v>#N/A</v>
      </c>
      <c r="AD242" s="323" t="e">
        <f t="shared" ca="1" si="113"/>
        <v>#N/A</v>
      </c>
      <c r="AE242" s="324">
        <f t="shared" ca="1" si="92"/>
        <v>856.22981781725593</v>
      </c>
      <c r="AG242" s="306">
        <f t="shared" ca="1" si="114"/>
        <v>-16.929473178587724</v>
      </c>
      <c r="AH242" s="304">
        <f t="shared" ca="1" si="115"/>
        <v>-7.4328688834646686</v>
      </c>
    </row>
    <row r="243" spans="1:34" x14ac:dyDescent="0.2">
      <c r="A243" s="347">
        <f t="shared" ca="1" si="93"/>
        <v>0.1</v>
      </c>
      <c r="B243" s="304">
        <f t="shared" ca="1" si="94"/>
        <v>5.8999999999999959</v>
      </c>
      <c r="D243" s="306">
        <f t="shared" ca="1" si="95"/>
        <v>-1.8246655931179112</v>
      </c>
      <c r="E243" s="307">
        <f t="shared" ca="1" si="96"/>
        <v>-16.795862719024441</v>
      </c>
      <c r="F243" s="304">
        <f t="shared" ca="1" si="97"/>
        <v>16.894685821376598</v>
      </c>
      <c r="G243" s="306">
        <f t="shared" ca="1" si="98"/>
        <v>30.327392921710725</v>
      </c>
      <c r="H243" s="307">
        <f t="shared" ca="1" si="99"/>
        <v>115.12959274426396</v>
      </c>
      <c r="I243" s="304">
        <f t="shared" ca="1" si="100"/>
        <v>119.05701947759277</v>
      </c>
      <c r="J243" s="306">
        <f t="shared" ca="1" si="101"/>
        <v>188.94873736201978</v>
      </c>
      <c r="K243" s="307">
        <f t="shared" ca="1" si="102"/>
        <v>867.82675640527748</v>
      </c>
      <c r="L243" s="304">
        <f t="shared" ca="1" si="87"/>
        <v>888.15815285545079</v>
      </c>
      <c r="M243" s="306">
        <f t="shared" ca="1" si="103"/>
        <v>1.3132278587268871</v>
      </c>
      <c r="N243" s="304">
        <f t="shared" ca="1" si="104"/>
        <v>75.242413844052948</v>
      </c>
      <c r="P243" s="310">
        <f t="shared" ca="1" si="105"/>
        <v>23</v>
      </c>
      <c r="Q243" s="304">
        <f t="shared" ca="1" si="106"/>
        <v>0</v>
      </c>
      <c r="R243" s="306">
        <f t="shared" ca="1" si="107"/>
        <v>0</v>
      </c>
      <c r="S243" s="307">
        <f t="shared" ca="1" si="108"/>
        <v>7.4499999999999984</v>
      </c>
      <c r="T243" s="304">
        <f t="shared" ca="1" si="88"/>
        <v>73.084499999999991</v>
      </c>
      <c r="U243" s="311">
        <f t="shared" ca="1" si="89"/>
        <v>0</v>
      </c>
      <c r="V243" s="306">
        <f t="shared" ca="1" si="90"/>
        <v>1.1231122673667824</v>
      </c>
      <c r="W243" s="304">
        <f t="shared" ca="1" si="91"/>
        <v>52.251285436346855</v>
      </c>
      <c r="Y243" s="314" t="str">
        <f t="shared" ca="1" si="109"/>
        <v/>
      </c>
      <c r="Z243" s="315" t="str">
        <f t="shared" ca="1" si="110"/>
        <v/>
      </c>
      <c r="AA243" s="316" t="str">
        <f t="shared" ca="1" si="111"/>
        <v/>
      </c>
      <c r="AC243" s="310" t="e">
        <f t="shared" ca="1" si="112"/>
        <v>#N/A</v>
      </c>
      <c r="AD243" s="323" t="e">
        <f t="shared" ca="1" si="113"/>
        <v>#N/A</v>
      </c>
      <c r="AE243" s="324">
        <f t="shared" ca="1" si="92"/>
        <v>867.82675640527748</v>
      </c>
      <c r="AG243" s="306">
        <f t="shared" ca="1" si="114"/>
        <v>-16.711800126718973</v>
      </c>
      <c r="AH243" s="304">
        <f t="shared" ca="1" si="115"/>
        <v>-7.220227313302809</v>
      </c>
    </row>
    <row r="244" spans="1:34" x14ac:dyDescent="0.2">
      <c r="A244" s="347">
        <f t="shared" ca="1" si="93"/>
        <v>0.1</v>
      </c>
      <c r="B244" s="304">
        <f t="shared" ca="1" si="94"/>
        <v>5.9999999999999956</v>
      </c>
      <c r="D244" s="306">
        <f t="shared" ca="1" si="95"/>
        <v>-1.7865730490114822</v>
      </c>
      <c r="E244" s="307">
        <f t="shared" ca="1" si="96"/>
        <v>-16.592232421743141</v>
      </c>
      <c r="F244" s="304">
        <f t="shared" ca="1" si="97"/>
        <v>16.688140099981137</v>
      </c>
      <c r="G244" s="306">
        <f t="shared" ca="1" si="98"/>
        <v>30.148735616809578</v>
      </c>
      <c r="H244" s="307">
        <f t="shared" ca="1" si="99"/>
        <v>113.47036950208964</v>
      </c>
      <c r="I244" s="304">
        <f t="shared" ca="1" si="100"/>
        <v>117.40728688728412</v>
      </c>
      <c r="J244" s="306">
        <f t="shared" ca="1" si="101"/>
        <v>191.97254378894581</v>
      </c>
      <c r="K244" s="307">
        <f t="shared" ca="1" si="102"/>
        <v>879.25675451759514</v>
      </c>
      <c r="L244" s="304">
        <f t="shared" ca="1" si="87"/>
        <v>899.96994279454316</v>
      </c>
      <c r="M244" s="306">
        <f t="shared" ca="1" si="103"/>
        <v>1.3110994533126854</v>
      </c>
      <c r="N244" s="304">
        <f t="shared" ca="1" si="104"/>
        <v>75.1204651967264</v>
      </c>
      <c r="P244" s="310">
        <f t="shared" ca="1" si="105"/>
        <v>23</v>
      </c>
      <c r="Q244" s="304">
        <f t="shared" ca="1" si="106"/>
        <v>0</v>
      </c>
      <c r="R244" s="306">
        <f t="shared" ca="1" si="107"/>
        <v>0</v>
      </c>
      <c r="S244" s="307">
        <f t="shared" ca="1" si="108"/>
        <v>7.4499999999999984</v>
      </c>
      <c r="T244" s="304">
        <f t="shared" ca="1" si="88"/>
        <v>73.084499999999991</v>
      </c>
      <c r="U244" s="311">
        <f t="shared" ca="1" si="89"/>
        <v>0</v>
      </c>
      <c r="V244" s="306">
        <f t="shared" ca="1" si="90"/>
        <v>1.1218268327797629</v>
      </c>
      <c r="W244" s="304">
        <f t="shared" ca="1" si="91"/>
        <v>50.755104246588687</v>
      </c>
      <c r="Y244" s="314" t="str">
        <f t="shared" ca="1" si="109"/>
        <v/>
      </c>
      <c r="Z244" s="315" t="str">
        <f t="shared" ca="1" si="110"/>
        <v/>
      </c>
      <c r="AA244" s="316" t="str">
        <f t="shared" ca="1" si="111"/>
        <v/>
      </c>
      <c r="AC244" s="310">
        <f t="shared" ca="1" si="112"/>
        <v>5.9999999999999956</v>
      </c>
      <c r="AD244" s="323">
        <f t="shared" ca="1" si="113"/>
        <v>191.97254378894581</v>
      </c>
      <c r="AE244" s="324">
        <f t="shared" ca="1" si="92"/>
        <v>879.25675451759514</v>
      </c>
      <c r="AG244" s="306">
        <f t="shared" ca="1" si="114"/>
        <v>-16.499985241474061</v>
      </c>
      <c r="AH244" s="304">
        <f t="shared" ca="1" si="115"/>
        <v>-7.013595360583472</v>
      </c>
    </row>
    <row r="245" spans="1:34" x14ac:dyDescent="0.2">
      <c r="A245" s="347">
        <f t="shared" ca="1" si="93"/>
        <v>0.1</v>
      </c>
      <c r="B245" s="304">
        <f t="shared" ca="1" si="94"/>
        <v>6.0999999999999952</v>
      </c>
      <c r="D245" s="306">
        <f t="shared" ca="1" si="95"/>
        <v>-1.7494337572240171</v>
      </c>
      <c r="E245" s="307">
        <f t="shared" ca="1" si="96"/>
        <v>-16.394319069784096</v>
      </c>
      <c r="F245" s="304">
        <f t="shared" ca="1" si="97"/>
        <v>16.487395677692746</v>
      </c>
      <c r="G245" s="306">
        <f t="shared" ca="1" si="98"/>
        <v>29.973792241087175</v>
      </c>
      <c r="H245" s="307">
        <f t="shared" ca="1" si="99"/>
        <v>111.83093759511122</v>
      </c>
      <c r="I245" s="304">
        <f t="shared" ca="1" si="100"/>
        <v>115.77817939799156</v>
      </c>
      <c r="J245" s="306">
        <f t="shared" ca="1" si="101"/>
        <v>194.97867018184064</v>
      </c>
      <c r="K245" s="307">
        <f t="shared" ca="1" si="102"/>
        <v>890.52181987245524</v>
      </c>
      <c r="L245" s="304">
        <f t="shared" ca="1" si="87"/>
        <v>911.61713097924428</v>
      </c>
      <c r="M245" s="306">
        <f t="shared" ca="1" si="103"/>
        <v>1.3089236647721032</v>
      </c>
      <c r="N245" s="304">
        <f t="shared" ca="1" si="104"/>
        <v>74.995801696238104</v>
      </c>
      <c r="P245" s="310">
        <f t="shared" ca="1" si="105"/>
        <v>23</v>
      </c>
      <c r="Q245" s="304">
        <f t="shared" ca="1" si="106"/>
        <v>0</v>
      </c>
      <c r="R245" s="306">
        <f t="shared" ca="1" si="107"/>
        <v>0</v>
      </c>
      <c r="S245" s="307">
        <f t="shared" ca="1" si="108"/>
        <v>7.4499999999999984</v>
      </c>
      <c r="T245" s="304">
        <f t="shared" ca="1" si="88"/>
        <v>73.084499999999991</v>
      </c>
      <c r="U245" s="311">
        <f t="shared" ca="1" si="89"/>
        <v>0</v>
      </c>
      <c r="V245" s="306">
        <f t="shared" ca="1" si="90"/>
        <v>1.1205613230966756</v>
      </c>
      <c r="W245" s="304">
        <f t="shared" ca="1" si="91"/>
        <v>49.300673985130771</v>
      </c>
      <c r="Y245" s="314" t="str">
        <f t="shared" ca="1" si="109"/>
        <v/>
      </c>
      <c r="Z245" s="315" t="str">
        <f t="shared" ca="1" si="110"/>
        <v/>
      </c>
      <c r="AA245" s="316" t="str">
        <f t="shared" ca="1" si="111"/>
        <v/>
      </c>
      <c r="AC245" s="310" t="e">
        <f t="shared" ca="1" si="112"/>
        <v>#N/A</v>
      </c>
      <c r="AD245" s="323" t="e">
        <f t="shared" ca="1" si="113"/>
        <v>#N/A</v>
      </c>
      <c r="AE245" s="324">
        <f t="shared" ca="1" si="92"/>
        <v>890.52181987245524</v>
      </c>
      <c r="AG245" s="306">
        <f t="shared" ca="1" si="114"/>
        <v>-16.293815393637331</v>
      </c>
      <c r="AH245" s="304">
        <f t="shared" ca="1" si="115"/>
        <v>-6.8127656706830466</v>
      </c>
    </row>
    <row r="246" spans="1:34" x14ac:dyDescent="0.2">
      <c r="A246" s="347">
        <f t="shared" ca="1" si="93"/>
        <v>0.1</v>
      </c>
      <c r="B246" s="304">
        <f t="shared" ca="1" si="94"/>
        <v>6.1999999999999948</v>
      </c>
      <c r="D246" s="306">
        <f t="shared" ca="1" si="95"/>
        <v>-1.7132137860688188</v>
      </c>
      <c r="E246" s="307">
        <f t="shared" ca="1" si="96"/>
        <v>-16.201927402977063</v>
      </c>
      <c r="F246" s="304">
        <f t="shared" ca="1" si="97"/>
        <v>16.292254388147619</v>
      </c>
      <c r="G246" s="306">
        <f t="shared" ca="1" si="98"/>
        <v>29.802470862480291</v>
      </c>
      <c r="H246" s="307">
        <f t="shared" ca="1" si="99"/>
        <v>110.21074485481351</v>
      </c>
      <c r="I246" s="304">
        <f t="shared" ca="1" si="100"/>
        <v>114.16915323747386</v>
      </c>
      <c r="J246" s="306">
        <f t="shared" ca="1" si="101"/>
        <v>197.96748333701902</v>
      </c>
      <c r="K246" s="307">
        <f t="shared" ca="1" si="102"/>
        <v>901.62390399495143</v>
      </c>
      <c r="L246" s="304">
        <f t="shared" ca="1" si="87"/>
        <v>923.10172175870753</v>
      </c>
      <c r="M246" s="306">
        <f t="shared" ca="1" si="103"/>
        <v>1.3066991486263955</v>
      </c>
      <c r="N246" s="304">
        <f t="shared" ca="1" si="104"/>
        <v>74.86834630963034</v>
      </c>
      <c r="P246" s="310">
        <f t="shared" ca="1" si="105"/>
        <v>23</v>
      </c>
      <c r="Q246" s="304">
        <f t="shared" ca="1" si="106"/>
        <v>0</v>
      </c>
      <c r="R246" s="306">
        <f t="shared" ca="1" si="107"/>
        <v>0</v>
      </c>
      <c r="S246" s="307">
        <f t="shared" ca="1" si="108"/>
        <v>7.4499999999999984</v>
      </c>
      <c r="T246" s="304">
        <f t="shared" ca="1" si="88"/>
        <v>73.084499999999991</v>
      </c>
      <c r="U246" s="311">
        <f t="shared" ca="1" si="89"/>
        <v>0</v>
      </c>
      <c r="V246" s="306">
        <f t="shared" ca="1" si="90"/>
        <v>1.119315457261413</v>
      </c>
      <c r="W246" s="304">
        <f t="shared" ca="1" si="91"/>
        <v>47.886583956645367</v>
      </c>
      <c r="Y246" s="314" t="str">
        <f t="shared" ca="1" si="109"/>
        <v/>
      </c>
      <c r="Z246" s="315" t="str">
        <f t="shared" ca="1" si="110"/>
        <v/>
      </c>
      <c r="AA246" s="316" t="str">
        <f t="shared" ca="1" si="111"/>
        <v/>
      </c>
      <c r="AC246" s="310" t="e">
        <f t="shared" ca="1" si="112"/>
        <v>#N/A</v>
      </c>
      <c r="AD246" s="323" t="e">
        <f t="shared" ca="1" si="113"/>
        <v>#N/A</v>
      </c>
      <c r="AE246" s="324">
        <f t="shared" ca="1" si="92"/>
        <v>901.62390399495143</v>
      </c>
      <c r="AG246" s="306">
        <f t="shared" ca="1" si="114"/>
        <v>-16.093086418349444</v>
      </c>
      <c r="AH246" s="304">
        <f t="shared" ca="1" si="115"/>
        <v>-6.6175401322323193</v>
      </c>
    </row>
    <row r="247" spans="1:34" x14ac:dyDescent="0.2">
      <c r="A247" s="347">
        <f t="shared" ca="1" si="93"/>
        <v>0.1</v>
      </c>
      <c r="B247" s="304">
        <f t="shared" ca="1" si="94"/>
        <v>6.2999999999999945</v>
      </c>
      <c r="D247" s="306">
        <f t="shared" ca="1" si="95"/>
        <v>-1.6778806921998648</v>
      </c>
      <c r="E247" s="307">
        <f t="shared" ca="1" si="96"/>
        <v>-16.014870788001076</v>
      </c>
      <c r="F247" s="304">
        <f t="shared" ca="1" si="97"/>
        <v>16.102526819528272</v>
      </c>
      <c r="G247" s="306">
        <f t="shared" ca="1" si="98"/>
        <v>29.634682793260303</v>
      </c>
      <c r="H247" s="307">
        <f t="shared" ca="1" si="99"/>
        <v>108.60925777601341</v>
      </c>
      <c r="I247" s="304">
        <f t="shared" ca="1" si="100"/>
        <v>112.57968421928392</v>
      </c>
      <c r="J247" s="306">
        <f t="shared" ca="1" si="101"/>
        <v>200.93934101980605</v>
      </c>
      <c r="K247" s="307">
        <f t="shared" ca="1" si="102"/>
        <v>912.56490412649282</v>
      </c>
      <c r="L247" s="304">
        <f t="shared" ca="1" si="87"/>
        <v>934.42566478712945</v>
      </c>
      <c r="M247" s="306">
        <f t="shared" ca="1" si="103"/>
        <v>1.3044245077060064</v>
      </c>
      <c r="N247" s="304">
        <f t="shared" ca="1" si="104"/>
        <v>74.738018984984294</v>
      </c>
      <c r="P247" s="310">
        <f t="shared" ca="1" si="105"/>
        <v>23</v>
      </c>
      <c r="Q247" s="304">
        <f t="shared" ca="1" si="106"/>
        <v>0</v>
      </c>
      <c r="R247" s="306">
        <f t="shared" ca="1" si="107"/>
        <v>0</v>
      </c>
      <c r="S247" s="307">
        <f t="shared" ca="1" si="108"/>
        <v>7.4499999999999984</v>
      </c>
      <c r="T247" s="304">
        <f t="shared" ca="1" si="88"/>
        <v>73.084499999999991</v>
      </c>
      <c r="U247" s="311">
        <f t="shared" ca="1" si="89"/>
        <v>0</v>
      </c>
      <c r="V247" s="306">
        <f t="shared" ca="1" si="90"/>
        <v>1.1180889622884693</v>
      </c>
      <c r="W247" s="304">
        <f t="shared" ca="1" si="91"/>
        <v>46.51148529515585</v>
      </c>
      <c r="Y247" s="314" t="str">
        <f t="shared" ca="1" si="109"/>
        <v/>
      </c>
      <c r="Z247" s="315" t="str">
        <f t="shared" ca="1" si="110"/>
        <v/>
      </c>
      <c r="AA247" s="316" t="str">
        <f t="shared" ca="1" si="111"/>
        <v/>
      </c>
      <c r="AC247" s="310" t="e">
        <f t="shared" ca="1" si="112"/>
        <v>#N/A</v>
      </c>
      <c r="AD247" s="323" t="e">
        <f t="shared" ca="1" si="113"/>
        <v>#N/A</v>
      </c>
      <c r="AE247" s="324">
        <f t="shared" ca="1" si="92"/>
        <v>912.56490412649282</v>
      </c>
      <c r="AG247" s="306">
        <f t="shared" ca="1" si="114"/>
        <v>-15.897602612186608</v>
      </c>
      <c r="AH247" s="304">
        <f t="shared" ca="1" si="115"/>
        <v>-6.4277293901537416</v>
      </c>
    </row>
    <row r="248" spans="1:34" x14ac:dyDescent="0.2">
      <c r="A248" s="347">
        <f t="shared" ca="1" si="93"/>
        <v>0.1</v>
      </c>
      <c r="B248" s="304">
        <f t="shared" ca="1" si="94"/>
        <v>6.3999999999999941</v>
      </c>
      <c r="D248" s="306">
        <f t="shared" ca="1" si="95"/>
        <v>-1.6434034430769582</v>
      </c>
      <c r="E248" s="307">
        <f t="shared" ca="1" si="96"/>
        <v>-15.83297076787764</v>
      </c>
      <c r="F248" s="304">
        <f t="shared" ca="1" si="97"/>
        <v>15.918031857399491</v>
      </c>
      <c r="G248" s="306">
        <f t="shared" ca="1" si="98"/>
        <v>29.470342448952607</v>
      </c>
      <c r="H248" s="307">
        <f t="shared" ca="1" si="99"/>
        <v>107.02596069922565</v>
      </c>
      <c r="I248" s="304">
        <f t="shared" ca="1" si="100"/>
        <v>111.00926694493</v>
      </c>
      <c r="J248" s="306">
        <f t="shared" ca="1" si="101"/>
        <v>203.89459228191669</v>
      </c>
      <c r="K248" s="307">
        <f t="shared" ca="1" si="102"/>
        <v>923.34666505025473</v>
      </c>
      <c r="L248" s="304">
        <f t="shared" ca="1" si="87"/>
        <v>945.59085688326979</v>
      </c>
      <c r="M248" s="306">
        <f t="shared" ca="1" si="103"/>
        <v>1.3020982896569162</v>
      </c>
      <c r="N248" s="304">
        <f t="shared" ca="1" si="104"/>
        <v>74.604736508544278</v>
      </c>
      <c r="P248" s="310">
        <f t="shared" ca="1" si="105"/>
        <v>23</v>
      </c>
      <c r="Q248" s="304">
        <f t="shared" ca="1" si="106"/>
        <v>0</v>
      </c>
      <c r="R248" s="306">
        <f t="shared" ca="1" si="107"/>
        <v>0</v>
      </c>
      <c r="S248" s="307">
        <f t="shared" ca="1" si="108"/>
        <v>7.4499999999999984</v>
      </c>
      <c r="T248" s="304">
        <f t="shared" ca="1" si="88"/>
        <v>73.084499999999991</v>
      </c>
      <c r="U248" s="311">
        <f t="shared" ca="1" si="89"/>
        <v>0</v>
      </c>
      <c r="V248" s="306">
        <f t="shared" ca="1" si="90"/>
        <v>1.1168815729822115</v>
      </c>
      <c r="W248" s="304">
        <f t="shared" ca="1" si="91"/>
        <v>45.174087766334132</v>
      </c>
      <c r="Y248" s="314" t="str">
        <f t="shared" ca="1" si="109"/>
        <v/>
      </c>
      <c r="Z248" s="315" t="str">
        <f t="shared" ca="1" si="110"/>
        <v/>
      </c>
      <c r="AA248" s="316" t="str">
        <f t="shared" ca="1" si="111"/>
        <v/>
      </c>
      <c r="AC248" s="310" t="e">
        <f t="shared" ca="1" si="112"/>
        <v>#N/A</v>
      </c>
      <c r="AD248" s="323" t="e">
        <f t="shared" ca="1" si="113"/>
        <v>#N/A</v>
      </c>
      <c r="AE248" s="324">
        <f t="shared" ca="1" si="92"/>
        <v>923.34666505025473</v>
      </c>
      <c r="AG248" s="306">
        <f t="shared" ca="1" si="114"/>
        <v>-15.707176259094084</v>
      </c>
      <c r="AH248" s="304">
        <f t="shared" ca="1" si="115"/>
        <v>-6.2431523886115246</v>
      </c>
    </row>
    <row r="249" spans="1:34" x14ac:dyDescent="0.2">
      <c r="A249" s="347">
        <f t="shared" ca="1" si="93"/>
        <v>0.1</v>
      </c>
      <c r="B249" s="304">
        <f t="shared" ca="1" si="94"/>
        <v>6.4999999999999938</v>
      </c>
      <c r="D249" s="306">
        <f t="shared" ca="1" si="95"/>
        <v>-1.6097523441801684</v>
      </c>
      <c r="E249" s="307">
        <f t="shared" ca="1" si="96"/>
        <v>-15.656056638878189</v>
      </c>
      <c r="F249" s="304">
        <f t="shared" ca="1" si="97"/>
        <v>15.738596255363925</v>
      </c>
      <c r="G249" s="306">
        <f t="shared" ca="1" si="98"/>
        <v>29.309367214534589</v>
      </c>
      <c r="H249" s="307">
        <f t="shared" ca="1" si="99"/>
        <v>105.46035503533783</v>
      </c>
      <c r="I249" s="304">
        <f t="shared" ca="1" si="100"/>
        <v>109.45741405083504</v>
      </c>
      <c r="J249" s="306">
        <f t="shared" ca="1" si="101"/>
        <v>206.83357776509104</v>
      </c>
      <c r="K249" s="307">
        <f t="shared" ca="1" si="102"/>
        <v>933.9709808369829</v>
      </c>
      <c r="L249" s="304">
        <f t="shared" ca="1" si="87"/>
        <v>956.59914380930945</v>
      </c>
      <c r="M249" s="306">
        <f t="shared" ca="1" si="103"/>
        <v>1.2997189843068311</v>
      </c>
      <c r="N249" s="304">
        <f t="shared" ca="1" si="104"/>
        <v>74.468412353811502</v>
      </c>
      <c r="P249" s="310">
        <f t="shared" ca="1" si="105"/>
        <v>23</v>
      </c>
      <c r="Q249" s="304">
        <f t="shared" ca="1" si="106"/>
        <v>0</v>
      </c>
      <c r="R249" s="306">
        <f t="shared" ca="1" si="107"/>
        <v>0</v>
      </c>
      <c r="S249" s="307">
        <f t="shared" ca="1" si="108"/>
        <v>7.4499999999999984</v>
      </c>
      <c r="T249" s="304">
        <f t="shared" ca="1" si="88"/>
        <v>73.084499999999991</v>
      </c>
      <c r="U249" s="311">
        <f t="shared" ca="1" si="89"/>
        <v>0</v>
      </c>
      <c r="V249" s="306">
        <f t="shared" ca="1" si="90"/>
        <v>1.1156930316687044</v>
      </c>
      <c r="W249" s="304">
        <f t="shared" ca="1" si="91"/>
        <v>43.873156762797805</v>
      </c>
      <c r="Y249" s="314" t="str">
        <f t="shared" ca="1" si="109"/>
        <v/>
      </c>
      <c r="Z249" s="315" t="str">
        <f t="shared" ca="1" si="110"/>
        <v/>
      </c>
      <c r="AA249" s="316" t="str">
        <f t="shared" ca="1" si="111"/>
        <v/>
      </c>
      <c r="AC249" s="310" t="e">
        <f t="shared" ca="1" si="112"/>
        <v>#N/A</v>
      </c>
      <c r="AD249" s="323" t="e">
        <f t="shared" ca="1" si="113"/>
        <v>#N/A</v>
      </c>
      <c r="AE249" s="324">
        <f t="shared" ca="1" si="92"/>
        <v>933.9709808369829</v>
      </c>
      <c r="AG249" s="306">
        <f t="shared" ca="1" si="114"/>
        <v>-15.521627183009842</v>
      </c>
      <c r="AH249" s="304">
        <f t="shared" ca="1" si="115"/>
        <v>-6.0636359417898174</v>
      </c>
    </row>
    <row r="250" spans="1:34" x14ac:dyDescent="0.2">
      <c r="A250" s="347">
        <f t="shared" ca="1" si="93"/>
        <v>0.1</v>
      </c>
      <c r="B250" s="304">
        <f t="shared" ca="1" si="94"/>
        <v>6.5999999999999934</v>
      </c>
      <c r="D250" s="306">
        <f t="shared" ca="1" si="95"/>
        <v>-1.5768989706478249</v>
      </c>
      <c r="E250" s="307">
        <f t="shared" ca="1" si="96"/>
        <v>-15.483965052951049</v>
      </c>
      <c r="F250" s="304">
        <f t="shared" ca="1" si="97"/>
        <v>15.564054231614575</v>
      </c>
      <c r="G250" s="306">
        <f t="shared" ca="1" si="98"/>
        <v>29.151677317469808</v>
      </c>
      <c r="H250" s="307">
        <f t="shared" ca="1" si="99"/>
        <v>103.91195853004272</v>
      </c>
      <c r="I250" s="304">
        <f t="shared" ca="1" si="100"/>
        <v>107.92365549763036</v>
      </c>
      <c r="J250" s="306">
        <f t="shared" ca="1" si="101"/>
        <v>209.75662999169126</v>
      </c>
      <c r="K250" s="307">
        <f t="shared" ca="1" si="102"/>
        <v>944.43959651525188</v>
      </c>
      <c r="L250" s="304">
        <f t="shared" ca="1" si="87"/>
        <v>967.45232197321377</v>
      </c>
      <c r="M250" s="306">
        <f t="shared" ca="1" si="103"/>
        <v>1.2972850208822779</v>
      </c>
      <c r="N250" s="304">
        <f t="shared" ca="1" si="104"/>
        <v>74.328956522095396</v>
      </c>
      <c r="P250" s="310">
        <f t="shared" ca="1" si="105"/>
        <v>23</v>
      </c>
      <c r="Q250" s="304">
        <f t="shared" ca="1" si="106"/>
        <v>0</v>
      </c>
      <c r="R250" s="306">
        <f t="shared" ca="1" si="107"/>
        <v>0</v>
      </c>
      <c r="S250" s="307">
        <f t="shared" ca="1" si="108"/>
        <v>7.4499999999999984</v>
      </c>
      <c r="T250" s="304">
        <f t="shared" ca="1" si="88"/>
        <v>73.084499999999991</v>
      </c>
      <c r="U250" s="311">
        <f t="shared" ca="1" si="89"/>
        <v>0</v>
      </c>
      <c r="V250" s="306">
        <f t="shared" ca="1" si="90"/>
        <v>1.1145230879394192</v>
      </c>
      <c r="W250" s="304">
        <f t="shared" ca="1" si="91"/>
        <v>42.607510479192577</v>
      </c>
      <c r="Y250" s="314" t="str">
        <f t="shared" ca="1" si="109"/>
        <v/>
      </c>
      <c r="Z250" s="315" t="str">
        <f t="shared" ca="1" si="110"/>
        <v/>
      </c>
      <c r="AA250" s="316" t="str">
        <f t="shared" ca="1" si="111"/>
        <v/>
      </c>
      <c r="AC250" s="310" t="e">
        <f t="shared" ca="1" si="112"/>
        <v>#N/A</v>
      </c>
      <c r="AD250" s="323" t="e">
        <f t="shared" ca="1" si="113"/>
        <v>#N/A</v>
      </c>
      <c r="AE250" s="324">
        <f t="shared" ca="1" si="92"/>
        <v>944.43959651525188</v>
      </c>
      <c r="AG250" s="306">
        <f t="shared" ca="1" si="114"/>
        <v>-15.340782325170505</v>
      </c>
      <c r="AH250" s="304">
        <f t="shared" ca="1" si="115"/>
        <v>-5.8890143305768881</v>
      </c>
    </row>
    <row r="251" spans="1:34" x14ac:dyDescent="0.2">
      <c r="A251" s="347">
        <f t="shared" ca="1" si="93"/>
        <v>0.1</v>
      </c>
      <c r="B251" s="304">
        <f t="shared" ca="1" si="94"/>
        <v>6.6999999999999931</v>
      </c>
      <c r="D251" s="306">
        <f t="shared" ca="1" si="95"/>
        <v>-1.5448161030376535</v>
      </c>
      <c r="E251" s="307">
        <f t="shared" ca="1" si="96"/>
        <v>-15.316539643919313</v>
      </c>
      <c r="F251" s="304">
        <f t="shared" ca="1" si="97"/>
        <v>15.39424708960969</v>
      </c>
      <c r="G251" s="306">
        <f t="shared" ca="1" si="98"/>
        <v>28.997195707166043</v>
      </c>
      <c r="H251" s="307">
        <f t="shared" ca="1" si="99"/>
        <v>102.38030456565079</v>
      </c>
      <c r="I251" s="304">
        <f t="shared" ca="1" si="100"/>
        <v>106.4075378995074</v>
      </c>
      <c r="J251" s="306">
        <f t="shared" ca="1" si="101"/>
        <v>212.66407364292306</v>
      </c>
      <c r="K251" s="307">
        <f t="shared" ca="1" si="102"/>
        <v>954.75420967003652</v>
      </c>
      <c r="L251" s="304">
        <f t="shared" ca="1" si="87"/>
        <v>978.15214005851806</v>
      </c>
      <c r="M251" s="306">
        <f t="shared" ca="1" si="103"/>
        <v>1.2947947650670422</v>
      </c>
      <c r="N251" s="304">
        <f t="shared" ca="1" si="104"/>
        <v>74.186275373974468</v>
      </c>
      <c r="P251" s="310">
        <f t="shared" ca="1" si="105"/>
        <v>23</v>
      </c>
      <c r="Q251" s="304">
        <f t="shared" ca="1" si="106"/>
        <v>0</v>
      </c>
      <c r="R251" s="306">
        <f t="shared" ca="1" si="107"/>
        <v>0</v>
      </c>
      <c r="S251" s="307">
        <f t="shared" ca="1" si="108"/>
        <v>7.4499999999999984</v>
      </c>
      <c r="T251" s="304">
        <f t="shared" ca="1" si="88"/>
        <v>73.084499999999991</v>
      </c>
      <c r="U251" s="311">
        <f t="shared" ca="1" si="89"/>
        <v>0</v>
      </c>
      <c r="V251" s="306">
        <f t="shared" ca="1" si="90"/>
        <v>1.1133714984062117</v>
      </c>
      <c r="W251" s="304">
        <f t="shared" ca="1" si="91"/>
        <v>41.376017254858809</v>
      </c>
      <c r="Y251" s="314" t="str">
        <f t="shared" ca="1" si="109"/>
        <v/>
      </c>
      <c r="Z251" s="315" t="str">
        <f t="shared" ca="1" si="110"/>
        <v/>
      </c>
      <c r="AA251" s="316" t="str">
        <f t="shared" ca="1" si="111"/>
        <v/>
      </c>
      <c r="AC251" s="310" t="e">
        <f t="shared" ca="1" si="112"/>
        <v>#N/A</v>
      </c>
      <c r="AD251" s="323" t="e">
        <f t="shared" ca="1" si="113"/>
        <v>#N/A</v>
      </c>
      <c r="AE251" s="324">
        <f t="shared" ca="1" si="92"/>
        <v>954.75420967003652</v>
      </c>
      <c r="AG251" s="306">
        <f t="shared" ca="1" si="114"/>
        <v>-15.164475344232738</v>
      </c>
      <c r="AH251" s="304">
        <f t="shared" ca="1" si="115"/>
        <v>-5.7191289233815548</v>
      </c>
    </row>
    <row r="252" spans="1:34" x14ac:dyDescent="0.2">
      <c r="A252" s="347">
        <f t="shared" ca="1" si="93"/>
        <v>0.1</v>
      </c>
      <c r="B252" s="304">
        <f t="shared" ca="1" si="94"/>
        <v>6.7999999999999927</v>
      </c>
      <c r="D252" s="306">
        <f t="shared" ca="1" si="95"/>
        <v>-1.5134776669338796</v>
      </c>
      <c r="E252" s="307">
        <f t="shared" ca="1" si="96"/>
        <v>-15.153630675834924</v>
      </c>
      <c r="F252" s="304">
        <f t="shared" ca="1" si="97"/>
        <v>15.229022861231538</v>
      </c>
      <c r="G252" s="306">
        <f t="shared" ca="1" si="98"/>
        <v>28.845847940472655</v>
      </c>
      <c r="H252" s="307">
        <f t="shared" ca="1" si="99"/>
        <v>100.8649414980673</v>
      </c>
      <c r="I252" s="304">
        <f t="shared" ca="1" si="100"/>
        <v>104.9086238915248</v>
      </c>
      <c r="J252" s="306">
        <f t="shared" ca="1" si="101"/>
        <v>215.55622582530498</v>
      </c>
      <c r="K252" s="307">
        <f t="shared" ca="1" si="102"/>
        <v>964.91647197322243</v>
      </c>
      <c r="L252" s="304">
        <f t="shared" ca="1" si="87"/>
        <v>988.70030058521797</v>
      </c>
      <c r="M252" s="306">
        <f t="shared" ca="1" si="103"/>
        <v>1.292246515891702</v>
      </c>
      <c r="N252" s="304">
        <f t="shared" ca="1" si="104"/>
        <v>74.040271451079789</v>
      </c>
      <c r="P252" s="310">
        <f t="shared" ca="1" si="105"/>
        <v>23</v>
      </c>
      <c r="Q252" s="304">
        <f t="shared" ca="1" si="106"/>
        <v>0</v>
      </c>
      <c r="R252" s="306">
        <f t="shared" ca="1" si="107"/>
        <v>0</v>
      </c>
      <c r="S252" s="307">
        <f t="shared" ca="1" si="108"/>
        <v>7.4499999999999984</v>
      </c>
      <c r="T252" s="304">
        <f t="shared" ca="1" si="88"/>
        <v>73.084499999999991</v>
      </c>
      <c r="U252" s="311">
        <f t="shared" ca="1" si="89"/>
        <v>0</v>
      </c>
      <c r="V252" s="306">
        <f t="shared" ca="1" si="90"/>
        <v>1.1122380264669909</v>
      </c>
      <c r="W252" s="304">
        <f t="shared" ca="1" si="91"/>
        <v>40.177593072807106</v>
      </c>
      <c r="Y252" s="314" t="str">
        <f t="shared" ca="1" si="109"/>
        <v/>
      </c>
      <c r="Z252" s="315" t="str">
        <f t="shared" ca="1" si="110"/>
        <v/>
      </c>
      <c r="AA252" s="316" t="str">
        <f t="shared" ca="1" si="111"/>
        <v/>
      </c>
      <c r="AC252" s="310" t="e">
        <f t="shared" ca="1" si="112"/>
        <v>#N/A</v>
      </c>
      <c r="AD252" s="323" t="e">
        <f t="shared" ca="1" si="113"/>
        <v>#N/A</v>
      </c>
      <c r="AE252" s="324">
        <f t="shared" ca="1" si="92"/>
        <v>964.91647197322243</v>
      </c>
      <c r="AG252" s="306">
        <f t="shared" ca="1" si="114"/>
        <v>-14.992546237471586</v>
      </c>
      <c r="AH252" s="304">
        <f t="shared" ca="1" si="115"/>
        <v>-5.5538278194441366</v>
      </c>
    </row>
    <row r="253" spans="1:34" x14ac:dyDescent="0.2">
      <c r="A253" s="347">
        <f t="shared" ca="1" si="93"/>
        <v>0.1</v>
      </c>
      <c r="B253" s="304">
        <f t="shared" ca="1" si="94"/>
        <v>6.8999999999999924</v>
      </c>
      <c r="D253" s="306">
        <f t="shared" ca="1" si="95"/>
        <v>-1.4828586761443969</v>
      </c>
      <c r="E253" s="307">
        <f t="shared" ca="1" si="96"/>
        <v>-14.995094711996718</v>
      </c>
      <c r="F253" s="304">
        <f t="shared" ca="1" si="97"/>
        <v>15.068235970914731</v>
      </c>
      <c r="G253" s="306">
        <f t="shared" ca="1" si="98"/>
        <v>28.697562072858215</v>
      </c>
      <c r="H253" s="307">
        <f t="shared" ca="1" si="99"/>
        <v>99.365432026867623</v>
      </c>
      <c r="I253" s="304">
        <f t="shared" ca="1" si="100"/>
        <v>103.42649153293173</v>
      </c>
      <c r="J253" s="306">
        <f t="shared" ca="1" si="101"/>
        <v>218.43339632597153</v>
      </c>
      <c r="K253" s="307">
        <f t="shared" ca="1" si="102"/>
        <v>974.92799064946917</v>
      </c>
      <c r="L253" s="304">
        <f t="shared" ca="1" si="87"/>
        <v>999.09846140523621</v>
      </c>
      <c r="M253" s="306">
        <f t="shared" ca="1" si="103"/>
        <v>1.289638502443289</v>
      </c>
      <c r="N253" s="304">
        <f t="shared" ca="1" si="104"/>
        <v>73.890843287572366</v>
      </c>
      <c r="P253" s="310">
        <f t="shared" ca="1" si="105"/>
        <v>23</v>
      </c>
      <c r="Q253" s="304">
        <f t="shared" ca="1" si="106"/>
        <v>0</v>
      </c>
      <c r="R253" s="306">
        <f t="shared" ca="1" si="107"/>
        <v>0</v>
      </c>
      <c r="S253" s="307">
        <f t="shared" ca="1" si="108"/>
        <v>7.4499999999999984</v>
      </c>
      <c r="T253" s="304">
        <f t="shared" ca="1" si="88"/>
        <v>73.084499999999991</v>
      </c>
      <c r="U253" s="311">
        <f t="shared" ca="1" si="89"/>
        <v>0</v>
      </c>
      <c r="V253" s="306">
        <f t="shared" ca="1" si="90"/>
        <v>1.1111224420815167</v>
      </c>
      <c r="W253" s="304">
        <f t="shared" ca="1" si="91"/>
        <v>39.011199204576371</v>
      </c>
      <c r="Y253" s="314" t="str">
        <f t="shared" ca="1" si="109"/>
        <v/>
      </c>
      <c r="Z253" s="315" t="str">
        <f t="shared" ca="1" si="110"/>
        <v/>
      </c>
      <c r="AA253" s="316" t="str">
        <f t="shared" ca="1" si="111"/>
        <v/>
      </c>
      <c r="AC253" s="310" t="e">
        <f t="shared" ca="1" si="112"/>
        <v>#N/A</v>
      </c>
      <c r="AD253" s="323" t="e">
        <f t="shared" ca="1" si="113"/>
        <v>#N/A</v>
      </c>
      <c r="AE253" s="324">
        <f t="shared" ca="1" si="92"/>
        <v>974.92799064946917</v>
      </c>
      <c r="AG253" s="306">
        <f t="shared" ca="1" si="114"/>
        <v>-14.824840981432821</v>
      </c>
      <c r="AH253" s="304">
        <f t="shared" ca="1" si="115"/>
        <v>-5.3929655131284715</v>
      </c>
    </row>
    <row r="254" spans="1:34" x14ac:dyDescent="0.2">
      <c r="A254" s="347">
        <f t="shared" ca="1" si="93"/>
        <v>0.1</v>
      </c>
      <c r="B254" s="304">
        <f t="shared" ca="1" si="94"/>
        <v>6.999999999999992</v>
      </c>
      <c r="D254" s="306">
        <f t="shared" ca="1" si="95"/>
        <v>-1.4529351792515659</v>
      </c>
      <c r="E254" s="307">
        <f t="shared" ca="1" si="96"/>
        <v>-14.840794303252366</v>
      </c>
      <c r="F254" s="304">
        <f t="shared" ca="1" si="97"/>
        <v>14.911746919343644</v>
      </c>
      <c r="G254" s="306">
        <f t="shared" ca="1" si="98"/>
        <v>28.552268554933057</v>
      </c>
      <c r="H254" s="307">
        <f t="shared" ca="1" si="99"/>
        <v>97.881352596542385</v>
      </c>
      <c r="I254" s="304">
        <f t="shared" ca="1" si="100"/>
        <v>101.96073374471996</v>
      </c>
      <c r="J254" s="306">
        <f t="shared" ca="1" si="101"/>
        <v>221.29588785736109</v>
      </c>
      <c r="K254" s="307">
        <f t="shared" ca="1" si="102"/>
        <v>984.79032988063966</v>
      </c>
      <c r="L254" s="304">
        <f t="shared" ca="1" si="87"/>
        <v>1009.3482371357255</v>
      </c>
      <c r="M254" s="306">
        <f t="shared" ca="1" si="103"/>
        <v>1.2869688803833175</v>
      </c>
      <c r="N254" s="304">
        <f t="shared" ca="1" si="104"/>
        <v>73.737885210640982</v>
      </c>
      <c r="P254" s="310">
        <f t="shared" ca="1" si="105"/>
        <v>23</v>
      </c>
      <c r="Q254" s="304">
        <f t="shared" ca="1" si="106"/>
        <v>0</v>
      </c>
      <c r="R254" s="306">
        <f t="shared" ca="1" si="107"/>
        <v>0</v>
      </c>
      <c r="S254" s="307">
        <f t="shared" ca="1" si="108"/>
        <v>7.4499999999999984</v>
      </c>
      <c r="T254" s="304">
        <f t="shared" ca="1" si="88"/>
        <v>73.084499999999991</v>
      </c>
      <c r="U254" s="311">
        <f t="shared" ca="1" si="89"/>
        <v>0</v>
      </c>
      <c r="V254" s="306">
        <f t="shared" ca="1" si="90"/>
        <v>1.110024521556833</v>
      </c>
      <c r="W254" s="304">
        <f t="shared" ca="1" si="91"/>
        <v>37.87583999132719</v>
      </c>
      <c r="Y254" s="314" t="str">
        <f t="shared" ca="1" si="109"/>
        <v/>
      </c>
      <c r="Z254" s="315" t="str">
        <f t="shared" ca="1" si="110"/>
        <v/>
      </c>
      <c r="AA254" s="316" t="str">
        <f t="shared" ca="1" si="111"/>
        <v/>
      </c>
      <c r="AC254" s="310">
        <f t="shared" ca="1" si="112"/>
        <v>6.999999999999992</v>
      </c>
      <c r="AD254" s="323">
        <f t="shared" ca="1" si="113"/>
        <v>221.29588785736109</v>
      </c>
      <c r="AE254" s="324">
        <f t="shared" ca="1" si="92"/>
        <v>984.79032988063966</v>
      </c>
      <c r="AG254" s="306">
        <f t="shared" ca="1" si="114"/>
        <v>-14.661211190521136</v>
      </c>
      <c r="AH254" s="304">
        <f t="shared" ca="1" si="115"/>
        <v>-5.236402577795487</v>
      </c>
    </row>
    <row r="255" spans="1:34" x14ac:dyDescent="0.2">
      <c r="A255" s="347">
        <f t="shared" ca="1" si="93"/>
        <v>0.1</v>
      </c>
      <c r="B255" s="304">
        <f t="shared" ca="1" si="94"/>
        <v>7.0999999999999917</v>
      </c>
      <c r="D255" s="306">
        <f t="shared" ca="1" si="95"/>
        <v>-1.4236842092981592</v>
      </c>
      <c r="E255" s="307">
        <f t="shared" ca="1" si="96"/>
        <v>-14.690597694307078</v>
      </c>
      <c r="F255" s="304">
        <f t="shared" ca="1" si="97"/>
        <v>14.759421985422918</v>
      </c>
      <c r="G255" s="306">
        <f t="shared" ca="1" si="98"/>
        <v>28.409900134003241</v>
      </c>
      <c r="H255" s="307">
        <f t="shared" ca="1" si="99"/>
        <v>96.412292827111671</v>
      </c>
      <c r="I255" s="304">
        <f t="shared" ca="1" si="100"/>
        <v>100.51095777976033</v>
      </c>
      <c r="J255" s="306">
        <f t="shared" ca="1" si="101"/>
        <v>224.14399629180792</v>
      </c>
      <c r="K255" s="307">
        <f t="shared" ca="1" si="102"/>
        <v>994.50501215182237</v>
      </c>
      <c r="L255" s="304">
        <f t="shared" ca="1" si="87"/>
        <v>1019.4512005332862</v>
      </c>
      <c r="M255" s="306">
        <f t="shared" ca="1" si="103"/>
        <v>1.2842357282615822</v>
      </c>
      <c r="N255" s="304">
        <f t="shared" ca="1" si="104"/>
        <v>73.581287129298317</v>
      </c>
      <c r="P255" s="310">
        <f t="shared" ca="1" si="105"/>
        <v>23</v>
      </c>
      <c r="Q255" s="304">
        <f t="shared" ca="1" si="106"/>
        <v>0</v>
      </c>
      <c r="R255" s="306">
        <f t="shared" ca="1" si="107"/>
        <v>0</v>
      </c>
      <c r="S255" s="307">
        <f t="shared" ca="1" si="108"/>
        <v>7.4499999999999984</v>
      </c>
      <c r="T255" s="304">
        <f t="shared" ca="1" si="88"/>
        <v>73.084499999999991</v>
      </c>
      <c r="U255" s="311">
        <f t="shared" ca="1" si="89"/>
        <v>0</v>
      </c>
      <c r="V255" s="306">
        <f t="shared" ca="1" si="90"/>
        <v>1.1089440473418319</v>
      </c>
      <c r="W255" s="304">
        <f t="shared" ca="1" si="91"/>
        <v>36.770560752236236</v>
      </c>
      <c r="Y255" s="314" t="str">
        <f t="shared" ca="1" si="109"/>
        <v/>
      </c>
      <c r="Z255" s="315" t="str">
        <f t="shared" ca="1" si="110"/>
        <v/>
      </c>
      <c r="AA255" s="316" t="str">
        <f t="shared" ca="1" si="111"/>
        <v/>
      </c>
      <c r="AC255" s="310" t="e">
        <f t="shared" ca="1" si="112"/>
        <v>#N/A</v>
      </c>
      <c r="AD255" s="323" t="e">
        <f t="shared" ca="1" si="113"/>
        <v>#N/A</v>
      </c>
      <c r="AE255" s="324">
        <f t="shared" ca="1" si="92"/>
        <v>994.50501215182237</v>
      </c>
      <c r="AG255" s="306">
        <f t="shared" ca="1" si="114"/>
        <v>-14.501513792100294</v>
      </c>
      <c r="AH255" s="304">
        <f t="shared" ca="1" si="115"/>
        <v>-5.0840053679633828</v>
      </c>
    </row>
    <row r="256" spans="1:34" x14ac:dyDescent="0.2">
      <c r="A256" s="347">
        <f t="shared" ca="1" si="93"/>
        <v>0.1</v>
      </c>
      <c r="B256" s="304">
        <f t="shared" ca="1" si="94"/>
        <v>7.1999999999999913</v>
      </c>
      <c r="D256" s="306">
        <f t="shared" ca="1" si="95"/>
        <v>-1.3950837364063795</v>
      </c>
      <c r="E256" s="307">
        <f t="shared" ca="1" si="96"/>
        <v>-14.544378546856233</v>
      </c>
      <c r="F256" s="304">
        <f t="shared" ca="1" si="97"/>
        <v>14.611132945320749</v>
      </c>
      <c r="G256" s="306">
        <f t="shared" ca="1" si="98"/>
        <v>28.270391760362603</v>
      </c>
      <c r="H256" s="307">
        <f t="shared" ca="1" si="99"/>
        <v>94.957854972426048</v>
      </c>
      <c r="I256" s="304">
        <f t="shared" ca="1" si="100"/>
        <v>99.076784724014317</v>
      </c>
      <c r="J256" s="306">
        <f t="shared" ca="1" si="101"/>
        <v>226.97801088652622</v>
      </c>
      <c r="K256" s="307">
        <f t="shared" ca="1" si="102"/>
        <v>1004.0735195417992</v>
      </c>
      <c r="L256" s="304">
        <f t="shared" ca="1" si="87"/>
        <v>1029.4088838119962</v>
      </c>
      <c r="M256" s="306">
        <f t="shared" ca="1" si="103"/>
        <v>1.2814370436122171</v>
      </c>
      <c r="N256" s="304">
        <f t="shared" ca="1" si="104"/>
        <v>73.420934310701654</v>
      </c>
      <c r="P256" s="310">
        <f t="shared" ca="1" si="105"/>
        <v>23</v>
      </c>
      <c r="Q256" s="304">
        <f t="shared" ca="1" si="106"/>
        <v>0</v>
      </c>
      <c r="R256" s="306">
        <f t="shared" ca="1" si="107"/>
        <v>0</v>
      </c>
      <c r="S256" s="307">
        <f t="shared" ca="1" si="108"/>
        <v>7.4499999999999984</v>
      </c>
      <c r="T256" s="304">
        <f t="shared" ca="1" si="88"/>
        <v>73.084499999999991</v>
      </c>
      <c r="U256" s="311">
        <f t="shared" ca="1" si="89"/>
        <v>0</v>
      </c>
      <c r="V256" s="306">
        <f t="shared" ca="1" si="90"/>
        <v>1.1078808078305056</v>
      </c>
      <c r="W256" s="304">
        <f t="shared" ca="1" si="91"/>
        <v>35.69444581191474</v>
      </c>
      <c r="Y256" s="314" t="str">
        <f t="shared" ca="1" si="109"/>
        <v/>
      </c>
      <c r="Z256" s="315" t="str">
        <f t="shared" ca="1" si="110"/>
        <v/>
      </c>
      <c r="AA256" s="316" t="str">
        <f t="shared" ca="1" si="111"/>
        <v/>
      </c>
      <c r="AC256" s="310" t="e">
        <f t="shared" ca="1" si="112"/>
        <v>#N/A</v>
      </c>
      <c r="AD256" s="323" t="e">
        <f t="shared" ca="1" si="113"/>
        <v>#N/A</v>
      </c>
      <c r="AE256" s="324">
        <f t="shared" ca="1" si="92"/>
        <v>1004.0735195417992</v>
      </c>
      <c r="AG256" s="306">
        <f t="shared" ca="1" si="114"/>
        <v>-14.345610716765965</v>
      </c>
      <c r="AH256" s="304">
        <f t="shared" ca="1" si="115"/>
        <v>-4.9356457385552002</v>
      </c>
    </row>
    <row r="257" spans="1:34" x14ac:dyDescent="0.2">
      <c r="A257" s="347">
        <f t="shared" ca="1" si="93"/>
        <v>0.1</v>
      </c>
      <c r="B257" s="304">
        <f t="shared" ca="1" si="94"/>
        <v>7.2999999999999909</v>
      </c>
      <c r="D257" s="306">
        <f t="shared" ca="1" si="95"/>
        <v>-1.3671126231430455</v>
      </c>
      <c r="E257" s="307">
        <f t="shared" ca="1" si="96"/>
        <v>-14.40201567844581</v>
      </c>
      <c r="F257" s="304">
        <f t="shared" ca="1" si="97"/>
        <v>14.46675680747264</v>
      </c>
      <c r="G257" s="306">
        <f t="shared" ca="1" si="98"/>
        <v>28.1336804980483</v>
      </c>
      <c r="H257" s="307">
        <f t="shared" ca="1" si="99"/>
        <v>93.517653404581466</v>
      </c>
      <c r="I257" s="304">
        <f t="shared" ca="1" si="100"/>
        <v>97.657849027437067</v>
      </c>
      <c r="J257" s="306">
        <f t="shared" ca="1" si="101"/>
        <v>229.79821449944677</v>
      </c>
      <c r="K257" s="307">
        <f t="shared" ca="1" si="102"/>
        <v>1013.4972949606496</v>
      </c>
      <c r="L257" s="304">
        <f t="shared" ca="1" si="87"/>
        <v>1039.2227799079885</v>
      </c>
      <c r="M257" s="306">
        <f t="shared" ca="1" si="103"/>
        <v>1.2785707388175307</v>
      </c>
      <c r="N257" s="304">
        <f t="shared" ca="1" si="104"/>
        <v>73.256707143168001</v>
      </c>
      <c r="P257" s="310">
        <f t="shared" ca="1" si="105"/>
        <v>23</v>
      </c>
      <c r="Q257" s="304">
        <f t="shared" ca="1" si="106"/>
        <v>0</v>
      </c>
      <c r="R257" s="306">
        <f t="shared" ca="1" si="107"/>
        <v>0</v>
      </c>
      <c r="S257" s="307">
        <f t="shared" ca="1" si="108"/>
        <v>7.4499999999999984</v>
      </c>
      <c r="T257" s="304">
        <f t="shared" ca="1" si="88"/>
        <v>73.084499999999991</v>
      </c>
      <c r="U257" s="311">
        <f t="shared" ca="1" si="89"/>
        <v>0</v>
      </c>
      <c r="V257" s="306">
        <f t="shared" ca="1" si="90"/>
        <v>1.1068345971734526</v>
      </c>
      <c r="W257" s="304">
        <f t="shared" ca="1" si="91"/>
        <v>34.646616639175114</v>
      </c>
      <c r="Y257" s="314" t="str">
        <f t="shared" ca="1" si="109"/>
        <v/>
      </c>
      <c r="Z257" s="315" t="str">
        <f t="shared" ca="1" si="110"/>
        <v/>
      </c>
      <c r="AA257" s="316" t="str">
        <f t="shared" ca="1" si="111"/>
        <v/>
      </c>
      <c r="AC257" s="310" t="e">
        <f t="shared" ca="1" si="112"/>
        <v>#N/A</v>
      </c>
      <c r="AD257" s="323" t="e">
        <f t="shared" ca="1" si="113"/>
        <v>#N/A</v>
      </c>
      <c r="AE257" s="324">
        <f t="shared" ca="1" si="92"/>
        <v>1013.4972949606496</v>
      </c>
      <c r="AG257" s="306">
        <f t="shared" ca="1" si="114"/>
        <v>-14.193368602528039</v>
      </c>
      <c r="AH257" s="304">
        <f t="shared" ca="1" si="115"/>
        <v>-4.7912007801227849</v>
      </c>
    </row>
    <row r="258" spans="1:34" x14ac:dyDescent="0.2">
      <c r="A258" s="347">
        <f t="shared" ca="1" si="93"/>
        <v>0.1</v>
      </c>
      <c r="B258" s="304">
        <f t="shared" ca="1" si="94"/>
        <v>7.3999999999999906</v>
      </c>
      <c r="D258" s="306">
        <f t="shared" ca="1" si="95"/>
        <v>-1.3397505824579183</v>
      </c>
      <c r="E258" s="307">
        <f t="shared" ca="1" si="96"/>
        <v>-14.263392816044007</v>
      </c>
      <c r="F258" s="304">
        <f t="shared" ca="1" si="97"/>
        <v>14.326175562513958</v>
      </c>
      <c r="G258" s="306">
        <f t="shared" ca="1" si="98"/>
        <v>27.999705439802508</v>
      </c>
      <c r="H258" s="307">
        <f t="shared" ca="1" si="99"/>
        <v>92.091314122977067</v>
      </c>
      <c r="I258" s="304">
        <f t="shared" ca="1" si="100"/>
        <v>96.253798063310427</v>
      </c>
      <c r="J258" s="306">
        <f t="shared" ca="1" si="101"/>
        <v>232.60488379633932</v>
      </c>
      <c r="K258" s="307">
        <f t="shared" ca="1" si="102"/>
        <v>1022.7777433370275</v>
      </c>
      <c r="L258" s="304">
        <f t="shared" ca="1" si="87"/>
        <v>1048.8943436931534</v>
      </c>
      <c r="M258" s="306">
        <f t="shared" ca="1" si="103"/>
        <v>1.2756346367240872</v>
      </c>
      <c r="N258" s="304">
        <f t="shared" ca="1" si="104"/>
        <v>73.088480884994169</v>
      </c>
      <c r="P258" s="310">
        <f t="shared" ca="1" si="105"/>
        <v>23</v>
      </c>
      <c r="Q258" s="304">
        <f t="shared" ca="1" si="106"/>
        <v>0</v>
      </c>
      <c r="R258" s="306">
        <f t="shared" ca="1" si="107"/>
        <v>0</v>
      </c>
      <c r="S258" s="307">
        <f t="shared" ca="1" si="108"/>
        <v>7.4499999999999984</v>
      </c>
      <c r="T258" s="304">
        <f t="shared" ca="1" si="88"/>
        <v>73.084499999999991</v>
      </c>
      <c r="U258" s="311">
        <f t="shared" ca="1" si="89"/>
        <v>0</v>
      </c>
      <c r="V258" s="306">
        <f t="shared" ca="1" si="90"/>
        <v>1.105805215097234</v>
      </c>
      <c r="W258" s="304">
        <f t="shared" ca="1" si="91"/>
        <v>33.626230090025963</v>
      </c>
      <c r="Y258" s="314" t="str">
        <f t="shared" ca="1" si="109"/>
        <v/>
      </c>
      <c r="Z258" s="315" t="str">
        <f t="shared" ca="1" si="110"/>
        <v/>
      </c>
      <c r="AA258" s="316" t="str">
        <f t="shared" ca="1" si="111"/>
        <v/>
      </c>
      <c r="AC258" s="310" t="e">
        <f t="shared" ca="1" si="112"/>
        <v>#N/A</v>
      </c>
      <c r="AD258" s="323" t="e">
        <f t="shared" ca="1" si="113"/>
        <v>#N/A</v>
      </c>
      <c r="AE258" s="324">
        <f t="shared" ca="1" si="92"/>
        <v>1022.7777433370275</v>
      </c>
      <c r="AG258" s="306">
        <f t="shared" ca="1" si="114"/>
        <v>-14.044658511706537</v>
      </c>
      <c r="AH258" s="304">
        <f t="shared" ca="1" si="115"/>
        <v>-4.6505525690167948</v>
      </c>
    </row>
    <row r="259" spans="1:34" x14ac:dyDescent="0.2">
      <c r="A259" s="347">
        <f t="shared" ca="1" si="93"/>
        <v>0.1</v>
      </c>
      <c r="B259" s="304">
        <f t="shared" ca="1" si="94"/>
        <v>7.4999999999999902</v>
      </c>
      <c r="D259" s="306">
        <f t="shared" ca="1" si="95"/>
        <v>-1.3129781380350449</v>
      </c>
      <c r="E259" s="307">
        <f t="shared" ca="1" si="96"/>
        <v>-14.128398363380775</v>
      </c>
      <c r="F259" s="304">
        <f t="shared" ca="1" si="97"/>
        <v>14.189275947184147</v>
      </c>
      <c r="G259" s="306">
        <f t="shared" ca="1" si="98"/>
        <v>27.868407625999005</v>
      </c>
      <c r="H259" s="307">
        <f t="shared" ca="1" si="99"/>
        <v>90.678474286638988</v>
      </c>
      <c r="I259" s="304">
        <f t="shared" ca="1" si="100"/>
        <v>94.864291714857004</v>
      </c>
      <c r="J259" s="306">
        <f t="shared" ca="1" si="101"/>
        <v>235.3982894496294</v>
      </c>
      <c r="K259" s="307">
        <f t="shared" ca="1" si="102"/>
        <v>1031.9162327575082</v>
      </c>
      <c r="L259" s="304">
        <f t="shared" ca="1" si="87"/>
        <v>1058.4249931404017</v>
      </c>
      <c r="M259" s="306">
        <f t="shared" ca="1" si="103"/>
        <v>1.2726264659943656</v>
      </c>
      <c r="N259" s="304">
        <f t="shared" ca="1" si="104"/>
        <v>72.916125398126326</v>
      </c>
      <c r="P259" s="310">
        <f t="shared" ca="1" si="105"/>
        <v>23</v>
      </c>
      <c r="Q259" s="304">
        <f t="shared" ca="1" si="106"/>
        <v>0</v>
      </c>
      <c r="R259" s="306">
        <f t="shared" ca="1" si="107"/>
        <v>0</v>
      </c>
      <c r="S259" s="307">
        <f t="shared" ca="1" si="108"/>
        <v>7.4499999999999984</v>
      </c>
      <c r="T259" s="304">
        <f t="shared" ca="1" si="88"/>
        <v>73.084499999999991</v>
      </c>
      <c r="U259" s="311">
        <f t="shared" ca="1" si="89"/>
        <v>0</v>
      </c>
      <c r="V259" s="306">
        <f t="shared" ca="1" si="90"/>
        <v>1.1047924667311964</v>
      </c>
      <c r="W259" s="304">
        <f t="shared" ca="1" si="91"/>
        <v>32.632476748283828</v>
      </c>
      <c r="Y259" s="314" t="str">
        <f t="shared" ca="1" si="109"/>
        <v/>
      </c>
      <c r="Z259" s="315" t="str">
        <f t="shared" ca="1" si="110"/>
        <v/>
      </c>
      <c r="AA259" s="316" t="str">
        <f t="shared" ca="1" si="111"/>
        <v/>
      </c>
      <c r="AC259" s="310" t="e">
        <f t="shared" ca="1" si="112"/>
        <v>#N/A</v>
      </c>
      <c r="AD259" s="323" t="e">
        <f t="shared" ca="1" si="113"/>
        <v>#N/A</v>
      </c>
      <c r="AE259" s="324">
        <f t="shared" ca="1" si="92"/>
        <v>1031.9162327575082</v>
      </c>
      <c r="AG259" s="306">
        <f t="shared" ca="1" si="114"/>
        <v>-13.899355659405373</v>
      </c>
      <c r="AH259" s="304">
        <f t="shared" ca="1" si="115"/>
        <v>-4.5135879315471099</v>
      </c>
    </row>
    <row r="260" spans="1:34" x14ac:dyDescent="0.2">
      <c r="A260" s="347">
        <f t="shared" ca="1" si="93"/>
        <v>0.1</v>
      </c>
      <c r="B260" s="304">
        <f t="shared" ca="1" si="94"/>
        <v>7.5999999999999899</v>
      </c>
      <c r="D260" s="306">
        <f t="shared" ca="1" si="95"/>
        <v>-1.2867765869087908</v>
      </c>
      <c r="E260" s="307">
        <f t="shared" ca="1" si="96"/>
        <v>-13.996925181179062</v>
      </c>
      <c r="F260" s="304">
        <f t="shared" ca="1" si="97"/>
        <v>14.055949221313414</v>
      </c>
      <c r="G260" s="306">
        <f t="shared" ca="1" si="98"/>
        <v>27.739729967308126</v>
      </c>
      <c r="H260" s="307">
        <f t="shared" ca="1" si="99"/>
        <v>89.278781768521085</v>
      </c>
      <c r="I260" s="304">
        <f t="shared" ca="1" si="100"/>
        <v>93.489001988096888</v>
      </c>
      <c r="J260" s="306">
        <f t="shared" ca="1" si="101"/>
        <v>238.17869632929475</v>
      </c>
      <c r="K260" s="307">
        <f t="shared" ca="1" si="102"/>
        <v>1040.9140955602661</v>
      </c>
      <c r="L260" s="304">
        <f t="shared" ref="L260:L323" ca="1" si="116">SQRT(pos_x^2+pos_z^2)</f>
        <v>1067.8161104427902</v>
      </c>
      <c r="M260" s="306">
        <f t="shared" ca="1" si="103"/>
        <v>1.2695438561761296</v>
      </c>
      <c r="N260" s="304">
        <f t="shared" ca="1" si="104"/>
        <v>72.739504865655817</v>
      </c>
      <c r="P260" s="310">
        <f t="shared" ca="1" si="105"/>
        <v>23</v>
      </c>
      <c r="Q260" s="304">
        <f t="shared" ca="1" si="106"/>
        <v>0</v>
      </c>
      <c r="R260" s="306">
        <f t="shared" ca="1" si="107"/>
        <v>0</v>
      </c>
      <c r="S260" s="307">
        <f t="shared" ca="1" si="108"/>
        <v>7.4499999999999984</v>
      </c>
      <c r="T260" s="304">
        <f t="shared" ref="T260:T323" ca="1" si="117">m*g</f>
        <v>73.084499999999991</v>
      </c>
      <c r="U260" s="311">
        <f t="shared" ref="U260:U323" ca="1" si="118">IF(pos_xz&lt;L_rampe,Poids*COS(Beta),0)</f>
        <v>0</v>
      </c>
      <c r="V260" s="306">
        <f t="shared" ref="V260:V323" ca="1" si="119">Rho_moyen*(20000-Alt_rampe-pos_z)/(20000+Alt_rampe+pos_z)</f>
        <v>1.1037961624414043</v>
      </c>
      <c r="W260" s="304">
        <f t="shared" ref="W260:W323" ca="1" si="120">1/2*Rho*Sref*Cx*vit_xz^2</f>
        <v>31.66457935766126</v>
      </c>
      <c r="Y260" s="314" t="str">
        <f t="shared" ca="1" si="109"/>
        <v/>
      </c>
      <c r="Z260" s="315" t="str">
        <f t="shared" ca="1" si="110"/>
        <v/>
      </c>
      <c r="AA260" s="316" t="str">
        <f t="shared" ca="1" si="111"/>
        <v/>
      </c>
      <c r="AC260" s="310" t="e">
        <f t="shared" ca="1" si="112"/>
        <v>#N/A</v>
      </c>
      <c r="AD260" s="323" t="e">
        <f t="shared" ca="1" si="113"/>
        <v>#N/A</v>
      </c>
      <c r="AE260" s="324">
        <f t="shared" ref="AE260:AE323" ca="1" si="121">IF(t&lt;T_para, pos_z, NA())</f>
        <v>1040.9140955602661</v>
      </c>
      <c r="AG260" s="306">
        <f t="shared" ca="1" si="114"/>
        <v>-13.757339152480366</v>
      </c>
      <c r="AH260" s="304">
        <f t="shared" ca="1" si="115"/>
        <v>-4.3801982212461521</v>
      </c>
    </row>
    <row r="261" spans="1:34" x14ac:dyDescent="0.2">
      <c r="A261" s="347">
        <f t="shared" ref="A261:A324" ca="1" si="122">IF(B260+0.01&lt;=T_ini+ROUNDUP(Temps_fin_propu,0), 0.01, IF(K260&gt;0, 0.1, 0.0001))</f>
        <v>0.1</v>
      </c>
      <c r="B261" s="304">
        <f t="shared" ref="B261:B324" ca="1" si="123">B260+pas</f>
        <v>7.6999999999999895</v>
      </c>
      <c r="D261" s="306">
        <f t="shared" ref="D261:D324" ca="1" si="124">IF(AND(L260&lt;L_rampe,Poussee&lt;Poids*SIN(M260)),0,(-W260+Poussee)/m*COS(M260)-U260/m*SIN(M260))</f>
        <v>-1.2611279642071809</v>
      </c>
      <c r="E261" s="307">
        <f t="shared" ref="E261:E324" ca="1" si="125">IF(AND(L260&lt;L_rampe,Poussee&lt;Poids*SIN(M260)),0,(-W260+Poussee)/m*SIN(M260)+U260/m*COS(M260)-Poids/m)</f>
        <v>-13.868870379463834</v>
      </c>
      <c r="F261" s="304">
        <f t="shared" ref="F261:F324" ca="1" si="126">SQRT(acc_x^2+acc_z^2)</f>
        <v>13.926090957065972</v>
      </c>
      <c r="G261" s="306">
        <f t="shared" ref="G261:G324" ca="1" si="127">G260+acc_x*pas</f>
        <v>27.613617170887409</v>
      </c>
      <c r="H261" s="307">
        <f t="shared" ref="H261:H324" ca="1" si="128">H260+acc_z*pas</f>
        <v>87.891894730574705</v>
      </c>
      <c r="I261" s="304">
        <f t="shared" ref="I261:I324" ca="1" si="129">SQRT(vit_x^2+vit_z^2)</f>
        <v>92.127612650012551</v>
      </c>
      <c r="J261" s="306">
        <f t="shared" ref="J261:J324" ca="1" si="130">J260+0.5*(vit_x+G260)*pas*(K260&gt;=0)</f>
        <v>240.94636368620453</v>
      </c>
      <c r="K261" s="307">
        <f t="shared" ref="K261:K324" ca="1" si="131">K260+0.5*(vit_z+H260)*pas</f>
        <v>1049.7726293852209</v>
      </c>
      <c r="L261" s="304">
        <f t="shared" ca="1" si="116"/>
        <v>1077.06904308868</v>
      </c>
      <c r="M261" s="306">
        <f t="shared" ref="M261:M324" ca="1" si="132">IF(AND(L260&gt;L_rampe,G261&gt;0),ATAN2(G261,H261),$M$4)</f>
        <v>1.2663843324703183</v>
      </c>
      <c r="N261" s="304">
        <f t="shared" ref="N261:N324" ca="1" si="133">DEGREES(Beta)</f>
        <v>72.558477492041305</v>
      </c>
      <c r="P261" s="310">
        <f t="shared" ref="P261:P324" ca="1" si="134">MATCH(t-pas/2-T_ini,CdP_t)</f>
        <v>23</v>
      </c>
      <c r="Q261" s="304">
        <f t="shared" ref="Q261:Q324" ca="1" si="135">(INDEX(CdP,2,i_P+1)-INDEX(CdP,2,i_P+0))/(INDEX(CdP,1,i_P+1)-INDEX(CdP,1,i_P+0))*(t-pas/2-T_ini-INDEX(CdP,1,i_P+0))+INDEX(CdP,2,i_P+0)</f>
        <v>0</v>
      </c>
      <c r="R261" s="306">
        <f t="shared" ref="R261:R324" ca="1" si="136">Poussee/(g*ISP)</f>
        <v>0</v>
      </c>
      <c r="S261" s="307">
        <f t="shared" ref="S261:S324" ca="1" si="137">S260-Débit*pas</f>
        <v>7.4499999999999984</v>
      </c>
      <c r="T261" s="304">
        <f t="shared" ca="1" si="117"/>
        <v>73.084499999999991</v>
      </c>
      <c r="U261" s="311">
        <f t="shared" ca="1" si="118"/>
        <v>0</v>
      </c>
      <c r="V261" s="306">
        <f t="shared" ca="1" si="119"/>
        <v>1.1028161176713429</v>
      </c>
      <c r="W261" s="304">
        <f t="shared" ca="1" si="120"/>
        <v>30.721791339623071</v>
      </c>
      <c r="Y261" s="314" t="str">
        <f t="shared" ref="Y261:Y324" ca="1" si="138">IF(AND(pos_z&lt;=0,K260&gt;0),"Impact balistique","") &amp; IF(AND(H262&lt;0,vit_z&gt;=0),"Apogée","") &amp; IF(AND(Poussee=0,Q260&gt;0),"Fin de propulsion","") &amp; IF(AND(L262&gt;L_rampe,pos_xz&lt;=L_rampe),"Sortie de rampe","")</f>
        <v/>
      </c>
      <c r="Z261" s="315" t="str">
        <f t="shared" ref="Z261:Z324" ca="1" si="139">IF(ABS(t-T_para)&lt;pas/2,"Para","")</f>
        <v/>
      </c>
      <c r="AA261" s="316" t="str">
        <f t="shared" ref="AA261:AA324" ca="1" si="140">IF(ABS(t-T_satellite)&lt;pas/2,"Satellite","")</f>
        <v/>
      </c>
      <c r="AC261" s="310" t="e">
        <f t="shared" ref="AC261:AC324" ca="1" si="141">IF(ABS(t-ROUND(t,0))&lt;0.001,t,NA())</f>
        <v>#N/A</v>
      </c>
      <c r="AD261" s="323" t="e">
        <f t="shared" ref="AD261:AD324" ca="1" si="142">IF(ABS(t-ROUND(t,0))&lt;0.001,pos_x,NA())</f>
        <v>#N/A</v>
      </c>
      <c r="AE261" s="324">
        <f t="shared" ca="1" si="121"/>
        <v>1049.7726293852209</v>
      </c>
      <c r="AG261" s="306">
        <f t="shared" ref="AG261:AG324" ca="1" si="143">IF(AND(L260&lt;L_rampe,Poussee&lt;Poids*SIN(M260)),0,(-W260+Poussee)/m-Poids*SIN(M260)/m)</f>
        <v>-13.618491737963879</v>
      </c>
      <c r="AH261" s="304">
        <f t="shared" ref="AH261:AH324" ca="1" si="144">IF(AND(L260&lt;L_rampe,Poussee&lt;Poids*SIN(M260)), g*SIN(M260), (-W260+Poussee)/m)</f>
        <v>-4.2502791084109086</v>
      </c>
    </row>
    <row r="262" spans="1:34" x14ac:dyDescent="0.2">
      <c r="A262" s="347">
        <f t="shared" ca="1" si="122"/>
        <v>0.1</v>
      </c>
      <c r="B262" s="304">
        <f t="shared" ca="1" si="123"/>
        <v>7.7999999999999892</v>
      </c>
      <c r="D262" s="306">
        <f t="shared" ca="1" si="124"/>
        <v>-1.2360150098953446</v>
      </c>
      <c r="E262" s="307">
        <f t="shared" ca="1" si="125"/>
        <v>-13.744135121191755</v>
      </c>
      <c r="F262" s="304">
        <f t="shared" ca="1" si="126"/>
        <v>13.799600839671532</v>
      </c>
      <c r="G262" s="306">
        <f t="shared" ca="1" si="127"/>
        <v>27.490015669897875</v>
      </c>
      <c r="H262" s="307">
        <f t="shared" ca="1" si="128"/>
        <v>86.517481218455529</v>
      </c>
      <c r="I262" s="304">
        <f t="shared" ca="1" si="129"/>
        <v>90.779818891188782</v>
      </c>
      <c r="J262" s="306">
        <f t="shared" ca="1" si="130"/>
        <v>243.70154532824381</v>
      </c>
      <c r="K262" s="307">
        <f t="shared" ca="1" si="131"/>
        <v>1058.4930981826724</v>
      </c>
      <c r="L262" s="304">
        <f t="shared" ca="1" si="116"/>
        <v>1086.1851048949836</v>
      </c>
      <c r="M262" s="306">
        <f t="shared" ca="1" si="132"/>
        <v>1.263145310176885</v>
      </c>
      <c r="N262" s="304">
        <f t="shared" ca="1" si="133"/>
        <v>72.372895184878786</v>
      </c>
      <c r="P262" s="310">
        <f t="shared" ca="1" si="134"/>
        <v>23</v>
      </c>
      <c r="Q262" s="304">
        <f t="shared" ca="1" si="135"/>
        <v>0</v>
      </c>
      <c r="R262" s="306">
        <f t="shared" ca="1" si="136"/>
        <v>0</v>
      </c>
      <c r="S262" s="307">
        <f t="shared" ca="1" si="137"/>
        <v>7.4499999999999984</v>
      </c>
      <c r="T262" s="304">
        <f t="shared" ca="1" si="117"/>
        <v>73.084499999999991</v>
      </c>
      <c r="U262" s="311">
        <f t="shared" ca="1" si="118"/>
        <v>0</v>
      </c>
      <c r="V262" s="306">
        <f t="shared" ca="1" si="119"/>
        <v>1.1018521527890641</v>
      </c>
      <c r="W262" s="304">
        <f t="shared" ca="1" si="120"/>
        <v>29.8033953917015</v>
      </c>
      <c r="Y262" s="314" t="str">
        <f t="shared" ca="1" si="138"/>
        <v/>
      </c>
      <c r="Z262" s="315" t="str">
        <f t="shared" ca="1" si="139"/>
        <v/>
      </c>
      <c r="AA262" s="316" t="str">
        <f t="shared" ca="1" si="140"/>
        <v/>
      </c>
      <c r="AC262" s="310" t="e">
        <f t="shared" ca="1" si="141"/>
        <v>#N/A</v>
      </c>
      <c r="AD262" s="323" t="e">
        <f t="shared" ca="1" si="142"/>
        <v>#N/A</v>
      </c>
      <c r="AE262" s="324">
        <f t="shared" ca="1" si="121"/>
        <v>1058.4930981826724</v>
      </c>
      <c r="AG262" s="306">
        <f t="shared" ca="1" si="143"/>
        <v>-13.4826995599471</v>
      </c>
      <c r="AH262" s="304">
        <f t="shared" ca="1" si="144"/>
        <v>-4.1237303811574604</v>
      </c>
    </row>
    <row r="263" spans="1:34" x14ac:dyDescent="0.2">
      <c r="A263" s="347">
        <f t="shared" ca="1" si="122"/>
        <v>0.1</v>
      </c>
      <c r="B263" s="304">
        <f t="shared" ca="1" si="123"/>
        <v>7.8999999999999888</v>
      </c>
      <c r="D263" s="306">
        <f t="shared" ca="1" si="124"/>
        <v>-1.2114211374011363</v>
      </c>
      <c r="E263" s="307">
        <f t="shared" ca="1" si="125"/>
        <v>-13.622624436497174</v>
      </c>
      <c r="F263" s="304">
        <f t="shared" ca="1" si="126"/>
        <v>13.67638247893032</v>
      </c>
      <c r="G263" s="306">
        <f t="shared" ca="1" si="127"/>
        <v>27.368873556157762</v>
      </c>
      <c r="H263" s="307">
        <f t="shared" ca="1" si="128"/>
        <v>85.155218774805817</v>
      </c>
      <c r="I263" s="304">
        <f t="shared" ca="1" si="129"/>
        <v>89.445327012192166</v>
      </c>
      <c r="J263" s="306">
        <f t="shared" ca="1" si="130"/>
        <v>246.44448978954659</v>
      </c>
      <c r="K263" s="307">
        <f t="shared" ca="1" si="131"/>
        <v>1067.0767331823354</v>
      </c>
      <c r="L263" s="304">
        <f t="shared" ca="1" si="116"/>
        <v>1095.1655770004438</v>
      </c>
      <c r="M263" s="306">
        <f t="shared" ca="1" si="132"/>
        <v>1.25982408879649</v>
      </c>
      <c r="N263" s="304">
        <f t="shared" ca="1" si="133"/>
        <v>72.182603216953538</v>
      </c>
      <c r="P263" s="310">
        <f t="shared" ca="1" si="134"/>
        <v>23</v>
      </c>
      <c r="Q263" s="304">
        <f t="shared" ca="1" si="135"/>
        <v>0</v>
      </c>
      <c r="R263" s="306">
        <f t="shared" ca="1" si="136"/>
        <v>0</v>
      </c>
      <c r="S263" s="307">
        <f t="shared" ca="1" si="137"/>
        <v>7.4499999999999984</v>
      </c>
      <c r="T263" s="304">
        <f t="shared" ca="1" si="117"/>
        <v>73.084499999999991</v>
      </c>
      <c r="U263" s="311">
        <f t="shared" ca="1" si="118"/>
        <v>0</v>
      </c>
      <c r="V263" s="306">
        <f t="shared" ca="1" si="119"/>
        <v>1.1009040929404823</v>
      </c>
      <c r="W263" s="304">
        <f t="shared" ca="1" si="120"/>
        <v>28.908702161330194</v>
      </c>
      <c r="Y263" s="314" t="str">
        <f t="shared" ca="1" si="138"/>
        <v/>
      </c>
      <c r="Z263" s="315" t="str">
        <f t="shared" ca="1" si="139"/>
        <v/>
      </c>
      <c r="AA263" s="316" t="str">
        <f t="shared" ca="1" si="140"/>
        <v/>
      </c>
      <c r="AC263" s="310" t="e">
        <f t="shared" ca="1" si="141"/>
        <v>#N/A</v>
      </c>
      <c r="AD263" s="323" t="e">
        <f t="shared" ca="1" si="142"/>
        <v>#N/A</v>
      </c>
      <c r="AE263" s="324">
        <f t="shared" ca="1" si="121"/>
        <v>1067.0767331823354</v>
      </c>
      <c r="AG263" s="306">
        <f t="shared" ca="1" si="143"/>
        <v>-13.349851923953871</v>
      </c>
      <c r="AH263" s="304">
        <f t="shared" ca="1" si="144"/>
        <v>-4.0004557572753701</v>
      </c>
    </row>
    <row r="264" spans="1:34" x14ac:dyDescent="0.2">
      <c r="A264" s="347">
        <f t="shared" ca="1" si="122"/>
        <v>0.1</v>
      </c>
      <c r="B264" s="304">
        <f t="shared" ca="1" si="123"/>
        <v>7.9999999999999885</v>
      </c>
      <c r="D264" s="306">
        <f t="shared" ca="1" si="124"/>
        <v>-1.1873304040138049</v>
      </c>
      <c r="E264" s="307">
        <f t="shared" ca="1" si="125"/>
        <v>-13.504247046898495</v>
      </c>
      <c r="F264" s="304">
        <f t="shared" ca="1" si="126"/>
        <v>13.556343230826014</v>
      </c>
      <c r="G264" s="306">
        <f t="shared" ca="1" si="127"/>
        <v>27.250140515756382</v>
      </c>
      <c r="H264" s="307">
        <f t="shared" ca="1" si="128"/>
        <v>83.804794070115975</v>
      </c>
      <c r="I264" s="304">
        <f t="shared" ca="1" si="129"/>
        <v>88.123854133049662</v>
      </c>
      <c r="J264" s="306">
        <f t="shared" ca="1" si="130"/>
        <v>249.1754404931423</v>
      </c>
      <c r="K264" s="307">
        <f t="shared" ca="1" si="131"/>
        <v>1075.5247338245815</v>
      </c>
      <c r="L264" s="304">
        <f t="shared" ca="1" si="116"/>
        <v>1104.0117088207844</v>
      </c>
      <c r="M264" s="306">
        <f t="shared" ca="1" si="132"/>
        <v>1.2564178457643513</v>
      </c>
      <c r="N264" s="304">
        <f t="shared" ca="1" si="133"/>
        <v>71.987439867216153</v>
      </c>
      <c r="P264" s="310">
        <f t="shared" ca="1" si="134"/>
        <v>23</v>
      </c>
      <c r="Q264" s="304">
        <f t="shared" ca="1" si="135"/>
        <v>0</v>
      </c>
      <c r="R264" s="306">
        <f t="shared" ca="1" si="136"/>
        <v>0</v>
      </c>
      <c r="S264" s="307">
        <f t="shared" ca="1" si="137"/>
        <v>7.4499999999999984</v>
      </c>
      <c r="T264" s="304">
        <f t="shared" ca="1" si="117"/>
        <v>73.084499999999991</v>
      </c>
      <c r="U264" s="311">
        <f t="shared" ca="1" si="118"/>
        <v>0</v>
      </c>
      <c r="V264" s="306">
        <f t="shared" ca="1" si="119"/>
        <v>1.0999717679085259</v>
      </c>
      <c r="W264" s="304">
        <f t="shared" ca="1" si="120"/>
        <v>28.037048990596126</v>
      </c>
      <c r="Y264" s="314" t="str">
        <f t="shared" ca="1" si="138"/>
        <v/>
      </c>
      <c r="Z264" s="315" t="str">
        <f t="shared" ca="1" si="139"/>
        <v/>
      </c>
      <c r="AA264" s="316" t="str">
        <f t="shared" ca="1" si="140"/>
        <v/>
      </c>
      <c r="AC264" s="310">
        <f t="shared" ca="1" si="141"/>
        <v>7.9999999999999885</v>
      </c>
      <c r="AD264" s="323">
        <f t="shared" ca="1" si="142"/>
        <v>249.1754404931423</v>
      </c>
      <c r="AE264" s="324">
        <f t="shared" ca="1" si="121"/>
        <v>1075.5247338245815</v>
      </c>
      <c r="AG264" s="306">
        <f t="shared" ca="1" si="143"/>
        <v>-13.219841067866227</v>
      </c>
      <c r="AH264" s="304">
        <f t="shared" ca="1" si="144"/>
        <v>-3.8803627062188188</v>
      </c>
    </row>
    <row r="265" spans="1:34" x14ac:dyDescent="0.2">
      <c r="A265" s="347">
        <f t="shared" ca="1" si="122"/>
        <v>0.1</v>
      </c>
      <c r="B265" s="304">
        <f t="shared" ca="1" si="123"/>
        <v>8.099999999999989</v>
      </c>
      <c r="D265" s="306">
        <f t="shared" ca="1" si="124"/>
        <v>-1.163727482954561</v>
      </c>
      <c r="E265" s="307">
        <f t="shared" ca="1" si="125"/>
        <v>-13.388915198853768</v>
      </c>
      <c r="F265" s="304">
        <f t="shared" ca="1" si="126"/>
        <v>13.439394028626484</v>
      </c>
      <c r="G265" s="306">
        <f t="shared" ca="1" si="127"/>
        <v>27.133767767460924</v>
      </c>
      <c r="H265" s="307">
        <f t="shared" ca="1" si="128"/>
        <v>82.465902550230595</v>
      </c>
      <c r="I265" s="304">
        <f t="shared" ca="1" si="129"/>
        <v>86.815127925279427</v>
      </c>
      <c r="J265" s="306">
        <f t="shared" ca="1" si="130"/>
        <v>251.89463590730318</v>
      </c>
      <c r="K265" s="307">
        <f t="shared" ca="1" si="131"/>
        <v>1083.8382686555988</v>
      </c>
      <c r="L265" s="304">
        <f t="shared" ca="1" si="116"/>
        <v>1112.7247189674717</v>
      </c>
      <c r="M265" s="306">
        <f t="shared" ca="1" si="132"/>
        <v>1.2529236297908124</v>
      </c>
      <c r="N265" s="304">
        <f t="shared" ca="1" si="133"/>
        <v>71.787236039225164</v>
      </c>
      <c r="P265" s="310">
        <f t="shared" ca="1" si="134"/>
        <v>23</v>
      </c>
      <c r="Q265" s="304">
        <f t="shared" ca="1" si="135"/>
        <v>0</v>
      </c>
      <c r="R265" s="306">
        <f t="shared" ca="1" si="136"/>
        <v>0</v>
      </c>
      <c r="S265" s="307">
        <f t="shared" ca="1" si="137"/>
        <v>7.4499999999999984</v>
      </c>
      <c r="T265" s="304">
        <f t="shared" ca="1" si="117"/>
        <v>73.084499999999991</v>
      </c>
      <c r="U265" s="311">
        <f t="shared" ca="1" si="118"/>
        <v>0</v>
      </c>
      <c r="V265" s="306">
        <f t="shared" ca="1" si="119"/>
        <v>1.0990550119778766</v>
      </c>
      <c r="W265" s="304">
        <f t="shared" ca="1" si="120"/>
        <v>27.187798727623637</v>
      </c>
      <c r="Y265" s="314" t="str">
        <f t="shared" ca="1" si="138"/>
        <v/>
      </c>
      <c r="Z265" s="315" t="str">
        <f t="shared" ca="1" si="139"/>
        <v/>
      </c>
      <c r="AA265" s="316" t="str">
        <f t="shared" ca="1" si="140"/>
        <v/>
      </c>
      <c r="AC265" s="310" t="e">
        <f t="shared" ca="1" si="141"/>
        <v>#N/A</v>
      </c>
      <c r="AD265" s="323" t="e">
        <f t="shared" ca="1" si="142"/>
        <v>#N/A</v>
      </c>
      <c r="AE265" s="324">
        <f t="shared" ca="1" si="121"/>
        <v>1083.8382686555988</v>
      </c>
      <c r="AG265" s="306">
        <f t="shared" ca="1" si="143"/>
        <v>-13.092561938482451</v>
      </c>
      <c r="AH265" s="304">
        <f t="shared" ca="1" si="144"/>
        <v>-3.7633622806169305</v>
      </c>
    </row>
    <row r="266" spans="1:34" x14ac:dyDescent="0.2">
      <c r="A266" s="347">
        <f t="shared" ca="1" si="122"/>
        <v>0.1</v>
      </c>
      <c r="B266" s="304">
        <f t="shared" ca="1" si="123"/>
        <v>8.1999999999999886</v>
      </c>
      <c r="D266" s="306">
        <f t="shared" ca="1" si="124"/>
        <v>-1.1405976370254842</v>
      </c>
      <c r="E266" s="307">
        <f t="shared" ca="1" si="125"/>
        <v>-13.27654450609565</v>
      </c>
      <c r="F266" s="304">
        <f t="shared" ca="1" si="126"/>
        <v>13.325449222894015</v>
      </c>
      <c r="G266" s="306">
        <f t="shared" ca="1" si="127"/>
        <v>27.019708003758375</v>
      </c>
      <c r="H266" s="307">
        <f t="shared" ca="1" si="128"/>
        <v>81.138248099621023</v>
      </c>
      <c r="I266" s="304">
        <f t="shared" ca="1" si="129"/>
        <v>85.518886366018705</v>
      </c>
      <c r="J266" s="306">
        <f t="shared" ca="1" si="130"/>
        <v>254.60230969586414</v>
      </c>
      <c r="K266" s="307">
        <f t="shared" ca="1" si="131"/>
        <v>1092.0184761880914</v>
      </c>
      <c r="L266" s="304">
        <f t="shared" ca="1" si="116"/>
        <v>1121.3057961317377</v>
      </c>
      <c r="M266" s="306">
        <f t="shared" ca="1" si="132"/>
        <v>1.2493383537813378</v>
      </c>
      <c r="N266" s="304">
        <f t="shared" ca="1" si="133"/>
        <v>71.581814855492766</v>
      </c>
      <c r="P266" s="310">
        <f t="shared" ca="1" si="134"/>
        <v>23</v>
      </c>
      <c r="Q266" s="304">
        <f t="shared" ca="1" si="135"/>
        <v>0</v>
      </c>
      <c r="R266" s="306">
        <f t="shared" ca="1" si="136"/>
        <v>0</v>
      </c>
      <c r="S266" s="307">
        <f t="shared" ca="1" si="137"/>
        <v>7.4499999999999984</v>
      </c>
      <c r="T266" s="304">
        <f t="shared" ca="1" si="117"/>
        <v>73.084499999999991</v>
      </c>
      <c r="U266" s="311">
        <f t="shared" ca="1" si="118"/>
        <v>0</v>
      </c>
      <c r="V266" s="306">
        <f t="shared" ca="1" si="119"/>
        <v>1.098153663805042</v>
      </c>
      <c r="W266" s="304">
        <f t="shared" ca="1" si="120"/>
        <v>26.360338600594766</v>
      </c>
      <c r="Y266" s="314" t="str">
        <f t="shared" ca="1" si="138"/>
        <v/>
      </c>
      <c r="Z266" s="315" t="str">
        <f t="shared" ca="1" si="139"/>
        <v/>
      </c>
      <c r="AA266" s="316" t="str">
        <f t="shared" ca="1" si="140"/>
        <v/>
      </c>
      <c r="AC266" s="310" t="e">
        <f t="shared" ca="1" si="141"/>
        <v>#N/A</v>
      </c>
      <c r="AD266" s="323" t="e">
        <f t="shared" ca="1" si="142"/>
        <v>#N/A</v>
      </c>
      <c r="AE266" s="324">
        <f t="shared" ca="1" si="121"/>
        <v>1092.0184761880914</v>
      </c>
      <c r="AG266" s="306">
        <f t="shared" ca="1" si="143"/>
        <v>-12.967911972802915</v>
      </c>
      <c r="AH266" s="304">
        <f t="shared" ca="1" si="144"/>
        <v>-3.6493689567280057</v>
      </c>
    </row>
    <row r="267" spans="1:34" x14ac:dyDescent="0.2">
      <c r="A267" s="347">
        <f t="shared" ca="1" si="122"/>
        <v>0.1</v>
      </c>
      <c r="B267" s="304">
        <f t="shared" ca="1" si="123"/>
        <v>8.2999999999999883</v>
      </c>
      <c r="D267" s="306">
        <f t="shared" ca="1" si="124"/>
        <v>-1.117926693750156</v>
      </c>
      <c r="E267" s="307">
        <f t="shared" ca="1" si="125"/>
        <v>-13.167053800213983</v>
      </c>
      <c r="F267" s="304">
        <f t="shared" ca="1" si="126"/>
        <v>13.214426429865529</v>
      </c>
      <c r="G267" s="306">
        <f t="shared" ca="1" si="127"/>
        <v>26.907915334383357</v>
      </c>
      <c r="H267" s="307">
        <f t="shared" ca="1" si="128"/>
        <v>79.82154271959962</v>
      </c>
      <c r="I267" s="304">
        <f t="shared" ca="1" si="129"/>
        <v>84.23487751388501</v>
      </c>
      <c r="J267" s="306">
        <f t="shared" ca="1" si="130"/>
        <v>257.2986908627712</v>
      </c>
      <c r="K267" s="307">
        <f t="shared" ca="1" si="131"/>
        <v>1100.0664657290524</v>
      </c>
      <c r="L267" s="304">
        <f t="shared" ca="1" si="116"/>
        <v>1129.7560999354259</v>
      </c>
      <c r="M267" s="306">
        <f t="shared" ca="1" si="132"/>
        <v>1.2456587873066569</v>
      </c>
      <c r="N267" s="304">
        <f t="shared" ca="1" si="133"/>
        <v>71.370991226055722</v>
      </c>
      <c r="P267" s="310">
        <f t="shared" ca="1" si="134"/>
        <v>23</v>
      </c>
      <c r="Q267" s="304">
        <f t="shared" ca="1" si="135"/>
        <v>0</v>
      </c>
      <c r="R267" s="306">
        <f t="shared" ca="1" si="136"/>
        <v>0</v>
      </c>
      <c r="S267" s="307">
        <f t="shared" ca="1" si="137"/>
        <v>7.4499999999999984</v>
      </c>
      <c r="T267" s="304">
        <f t="shared" ca="1" si="117"/>
        <v>73.084499999999991</v>
      </c>
      <c r="U267" s="311">
        <f t="shared" ca="1" si="118"/>
        <v>0</v>
      </c>
      <c r="V267" s="306">
        <f t="shared" ca="1" si="119"/>
        <v>1.0972675662935145</v>
      </c>
      <c r="W267" s="304">
        <f t="shared" ca="1" si="120"/>
        <v>25.554079150679144</v>
      </c>
      <c r="Y267" s="314" t="str">
        <f t="shared" ca="1" si="138"/>
        <v/>
      </c>
      <c r="Z267" s="315" t="str">
        <f t="shared" ca="1" si="139"/>
        <v/>
      </c>
      <c r="AA267" s="316" t="str">
        <f t="shared" ca="1" si="140"/>
        <v/>
      </c>
      <c r="AC267" s="310" t="e">
        <f t="shared" ca="1" si="141"/>
        <v>#N/A</v>
      </c>
      <c r="AD267" s="323" t="e">
        <f t="shared" ca="1" si="142"/>
        <v>#N/A</v>
      </c>
      <c r="AE267" s="324">
        <f t="shared" ca="1" si="121"/>
        <v>1100.0664657290524</v>
      </c>
      <c r="AG267" s="306">
        <f t="shared" ca="1" si="143"/>
        <v>-12.845790883147806</v>
      </c>
      <c r="AH267" s="304">
        <f t="shared" ca="1" si="144"/>
        <v>-3.5383004833013114</v>
      </c>
    </row>
    <row r="268" spans="1:34" x14ac:dyDescent="0.2">
      <c r="A268" s="347">
        <f t="shared" ca="1" si="122"/>
        <v>0.1</v>
      </c>
      <c r="B268" s="304">
        <f t="shared" ca="1" si="123"/>
        <v>8.3999999999999879</v>
      </c>
      <c r="D268" s="306">
        <f t="shared" ca="1" si="124"/>
        <v>-1.0957010219259684</v>
      </c>
      <c r="E268" s="307">
        <f t="shared" ca="1" si="125"/>
        <v>-13.060364988989473</v>
      </c>
      <c r="F268" s="304">
        <f t="shared" ca="1" si="126"/>
        <v>13.106246387698944</v>
      </c>
      <c r="G268" s="306">
        <f t="shared" ca="1" si="127"/>
        <v>26.798345232190762</v>
      </c>
      <c r="H268" s="307">
        <f t="shared" ca="1" si="128"/>
        <v>78.515506220700672</v>
      </c>
      <c r="I268" s="304">
        <f t="shared" ca="1" si="129"/>
        <v>82.96285930629783</v>
      </c>
      <c r="J268" s="306">
        <f t="shared" ca="1" si="130"/>
        <v>259.98400389109992</v>
      </c>
      <c r="K268" s="307">
        <f t="shared" ca="1" si="131"/>
        <v>1107.9833181760675</v>
      </c>
      <c r="L268" s="304">
        <f t="shared" ca="1" si="116"/>
        <v>1138.0767617501451</v>
      </c>
      <c r="M268" s="306">
        <f t="shared" ca="1" si="132"/>
        <v>1.2418815485916423</v>
      </c>
      <c r="N268" s="304">
        <f t="shared" ca="1" si="133"/>
        <v>71.154571389471968</v>
      </c>
      <c r="P268" s="310">
        <f t="shared" ca="1" si="134"/>
        <v>23</v>
      </c>
      <c r="Q268" s="304">
        <f t="shared" ca="1" si="135"/>
        <v>0</v>
      </c>
      <c r="R268" s="306">
        <f t="shared" ca="1" si="136"/>
        <v>0</v>
      </c>
      <c r="S268" s="307">
        <f t="shared" ca="1" si="137"/>
        <v>7.4499999999999984</v>
      </c>
      <c r="T268" s="304">
        <f t="shared" ca="1" si="117"/>
        <v>73.084499999999991</v>
      </c>
      <c r="U268" s="311">
        <f t="shared" ca="1" si="118"/>
        <v>0</v>
      </c>
      <c r="V268" s="306">
        <f t="shared" ca="1" si="119"/>
        <v>1.0963965664737922</v>
      </c>
      <c r="W268" s="304">
        <f t="shared" ca="1" si="120"/>
        <v>24.768453220395482</v>
      </c>
      <c r="Y268" s="314" t="str">
        <f t="shared" ca="1" si="138"/>
        <v/>
      </c>
      <c r="Z268" s="315" t="str">
        <f t="shared" ca="1" si="139"/>
        <v/>
      </c>
      <c r="AA268" s="316" t="str">
        <f t="shared" ca="1" si="140"/>
        <v/>
      </c>
      <c r="AC268" s="310" t="e">
        <f t="shared" ca="1" si="141"/>
        <v>#N/A</v>
      </c>
      <c r="AD268" s="323" t="e">
        <f t="shared" ca="1" si="142"/>
        <v>#N/A</v>
      </c>
      <c r="AE268" s="324">
        <f t="shared" ca="1" si="121"/>
        <v>1107.9833181760675</v>
      </c>
      <c r="AG268" s="306">
        <f t="shared" ca="1" si="143"/>
        <v>-12.726100445213632</v>
      </c>
      <c r="AH268" s="304">
        <f t="shared" ca="1" si="144"/>
        <v>-3.4300777383461947</v>
      </c>
    </row>
    <row r="269" spans="1:34" x14ac:dyDescent="0.2">
      <c r="A269" s="347">
        <f t="shared" ca="1" si="122"/>
        <v>0.1</v>
      </c>
      <c r="B269" s="304">
        <f t="shared" ca="1" si="123"/>
        <v>8.4999999999999876</v>
      </c>
      <c r="D269" s="306">
        <f t="shared" ca="1" si="124"/>
        <v>-1.0739075095141852</v>
      </c>
      <c r="E269" s="307">
        <f t="shared" ca="1" si="125"/>
        <v>-12.956402922014494</v>
      </c>
      <c r="F269" s="304">
        <f t="shared" ca="1" si="126"/>
        <v>13.000832820114898</v>
      </c>
      <c r="G269" s="306">
        <f t="shared" ca="1" si="127"/>
        <v>26.690954481239345</v>
      </c>
      <c r="H269" s="307">
        <f t="shared" ca="1" si="128"/>
        <v>77.219865928499217</v>
      </c>
      <c r="I269" s="304">
        <f t="shared" ca="1" si="129"/>
        <v>81.702599378079668</v>
      </c>
      <c r="J269" s="306">
        <f t="shared" ca="1" si="130"/>
        <v>262.65846887677139</v>
      </c>
      <c r="K269" s="307">
        <f t="shared" ca="1" si="131"/>
        <v>1115.7700867835276</v>
      </c>
      <c r="L269" s="304">
        <f t="shared" ca="1" si="116"/>
        <v>1146.2688854861283</v>
      </c>
      <c r="M269" s="306">
        <f t="shared" ca="1" si="132"/>
        <v>1.2380030959892498</v>
      </c>
      <c r="N269" s="304">
        <f t="shared" ca="1" si="133"/>
        <v>70.932352424313351</v>
      </c>
      <c r="P269" s="310">
        <f t="shared" ca="1" si="134"/>
        <v>23</v>
      </c>
      <c r="Q269" s="304">
        <f t="shared" ca="1" si="135"/>
        <v>0</v>
      </c>
      <c r="R269" s="306">
        <f t="shared" ca="1" si="136"/>
        <v>0</v>
      </c>
      <c r="S269" s="307">
        <f t="shared" ca="1" si="137"/>
        <v>7.4499999999999984</v>
      </c>
      <c r="T269" s="304">
        <f t="shared" ca="1" si="117"/>
        <v>73.084499999999991</v>
      </c>
      <c r="U269" s="311">
        <f t="shared" ca="1" si="118"/>
        <v>0</v>
      </c>
      <c r="V269" s="306">
        <f t="shared" ca="1" si="119"/>
        <v>1.09554051538804</v>
      </c>
      <c r="W269" s="304">
        <f t="shared" ca="1" si="120"/>
        <v>24.002914994157006</v>
      </c>
      <c r="Y269" s="314" t="str">
        <f t="shared" ca="1" si="138"/>
        <v/>
      </c>
      <c r="Z269" s="315" t="str">
        <f t="shared" ca="1" si="139"/>
        <v/>
      </c>
      <c r="AA269" s="316" t="str">
        <f t="shared" ca="1" si="140"/>
        <v/>
      </c>
      <c r="AC269" s="310" t="e">
        <f t="shared" ca="1" si="141"/>
        <v>#N/A</v>
      </c>
      <c r="AD269" s="323" t="e">
        <f t="shared" ca="1" si="142"/>
        <v>#N/A</v>
      </c>
      <c r="AE269" s="324">
        <f t="shared" ca="1" si="121"/>
        <v>1115.7700867835276</v>
      </c>
      <c r="AG269" s="306">
        <f t="shared" ca="1" si="143"/>
        <v>-12.608744288172444</v>
      </c>
      <c r="AH269" s="304">
        <f t="shared" ca="1" si="144"/>
        <v>-3.3246245933416763</v>
      </c>
    </row>
    <row r="270" spans="1:34" x14ac:dyDescent="0.2">
      <c r="A270" s="347">
        <f t="shared" ca="1" si="122"/>
        <v>0.1</v>
      </c>
      <c r="B270" s="304">
        <f t="shared" ca="1" si="123"/>
        <v>8.5999999999999872</v>
      </c>
      <c r="D270" s="306">
        <f t="shared" ca="1" si="124"/>
        <v>-1.0525335427995506</v>
      </c>
      <c r="E270" s="307">
        <f t="shared" ca="1" si="125"/>
        <v>-12.855095263167062</v>
      </c>
      <c r="F270" s="304">
        <f t="shared" ca="1" si="126"/>
        <v>12.898112306993546</v>
      </c>
      <c r="G270" s="306">
        <f t="shared" ca="1" si="127"/>
        <v>26.585701126959389</v>
      </c>
      <c r="H270" s="307">
        <f t="shared" ca="1" si="128"/>
        <v>75.934356402182516</v>
      </c>
      <c r="I270" s="304">
        <f t="shared" ca="1" si="129"/>
        <v>80.453874901248142</v>
      </c>
      <c r="J270" s="306">
        <f t="shared" ca="1" si="130"/>
        <v>265.32230165718136</v>
      </c>
      <c r="K270" s="307">
        <f t="shared" ca="1" si="131"/>
        <v>1123.4277979000617</v>
      </c>
      <c r="L270" s="304">
        <f t="shared" ca="1" si="116"/>
        <v>1154.3335483521416</v>
      </c>
      <c r="M270" s="306">
        <f t="shared" ca="1" si="132"/>
        <v>1.2340197189034159</v>
      </c>
      <c r="N270" s="304">
        <f t="shared" ca="1" si="133"/>
        <v>70.704121729085941</v>
      </c>
      <c r="P270" s="310">
        <f t="shared" ca="1" si="134"/>
        <v>23</v>
      </c>
      <c r="Q270" s="304">
        <f t="shared" ca="1" si="135"/>
        <v>0</v>
      </c>
      <c r="R270" s="306">
        <f t="shared" ca="1" si="136"/>
        <v>0</v>
      </c>
      <c r="S270" s="307">
        <f t="shared" ca="1" si="137"/>
        <v>7.4499999999999984</v>
      </c>
      <c r="T270" s="304">
        <f t="shared" ca="1" si="117"/>
        <v>73.084499999999991</v>
      </c>
      <c r="U270" s="311">
        <f t="shared" ca="1" si="118"/>
        <v>0</v>
      </c>
      <c r="V270" s="306">
        <f t="shared" ca="1" si="119"/>
        <v>1.0946992679791878</v>
      </c>
      <c r="W270" s="304">
        <f t="shared" ca="1" si="120"/>
        <v>23.256939087967165</v>
      </c>
      <c r="Y270" s="314" t="str">
        <f t="shared" ca="1" si="138"/>
        <v/>
      </c>
      <c r="Z270" s="315" t="str">
        <f t="shared" ca="1" si="139"/>
        <v/>
      </c>
      <c r="AA270" s="316" t="str">
        <f t="shared" ca="1" si="140"/>
        <v/>
      </c>
      <c r="AC270" s="310" t="e">
        <f t="shared" ca="1" si="141"/>
        <v>#N/A</v>
      </c>
      <c r="AD270" s="323" t="e">
        <f t="shared" ca="1" si="142"/>
        <v>#N/A</v>
      </c>
      <c r="AE270" s="324">
        <f t="shared" ca="1" si="121"/>
        <v>1123.4277979000617</v>
      </c>
      <c r="AG270" s="306">
        <f t="shared" ca="1" si="143"/>
        <v>-12.49362768590874</v>
      </c>
      <c r="AH270" s="304">
        <f t="shared" ca="1" si="144"/>
        <v>-3.2218677844506054</v>
      </c>
    </row>
    <row r="271" spans="1:34" x14ac:dyDescent="0.2">
      <c r="A271" s="347">
        <f t="shared" ca="1" si="122"/>
        <v>0.1</v>
      </c>
      <c r="B271" s="304">
        <f t="shared" ca="1" si="123"/>
        <v>8.6999999999999869</v>
      </c>
      <c r="D271" s="306">
        <f t="shared" ca="1" si="124"/>
        <v>-1.0315669867566597</v>
      </c>
      <c r="E271" s="307">
        <f t="shared" ca="1" si="125"/>
        <v>-12.75637236953188</v>
      </c>
      <c r="F271" s="304">
        <f t="shared" ca="1" si="126"/>
        <v>12.798014161514379</v>
      </c>
      <c r="G271" s="306">
        <f t="shared" ca="1" si="127"/>
        <v>26.482544428283724</v>
      </c>
      <c r="H271" s="307">
        <f t="shared" ca="1" si="128"/>
        <v>74.658719165229328</v>
      </c>
      <c r="I271" s="304">
        <f t="shared" ca="1" si="129"/>
        <v>79.216472446004573</v>
      </c>
      <c r="J271" s="306">
        <f t="shared" ca="1" si="130"/>
        <v>267.97571393494349</v>
      </c>
      <c r="K271" s="307">
        <f t="shared" ca="1" si="131"/>
        <v>1130.9574516784323</v>
      </c>
      <c r="L271" s="304">
        <f t="shared" ca="1" si="116"/>
        <v>1162.2718015876992</v>
      </c>
      <c r="M271" s="306">
        <f t="shared" ca="1" si="132"/>
        <v>1.2299275281222322</v>
      </c>
      <c r="N271" s="304">
        <f t="shared" ca="1" si="133"/>
        <v>70.469656468361777</v>
      </c>
      <c r="P271" s="310">
        <f t="shared" ca="1" si="134"/>
        <v>23</v>
      </c>
      <c r="Q271" s="304">
        <f t="shared" ca="1" si="135"/>
        <v>0</v>
      </c>
      <c r="R271" s="306">
        <f t="shared" ca="1" si="136"/>
        <v>0</v>
      </c>
      <c r="S271" s="307">
        <f t="shared" ca="1" si="137"/>
        <v>7.4499999999999984</v>
      </c>
      <c r="T271" s="304">
        <f t="shared" ca="1" si="117"/>
        <v>73.084499999999991</v>
      </c>
      <c r="U271" s="311">
        <f t="shared" ca="1" si="118"/>
        <v>0</v>
      </c>
      <c r="V271" s="306">
        <f t="shared" ca="1" si="119"/>
        <v>1.0938726829842691</v>
      </c>
      <c r="W271" s="304">
        <f t="shared" ca="1" si="120"/>
        <v>22.530019685429366</v>
      </c>
      <c r="Y271" s="314" t="str">
        <f t="shared" ca="1" si="138"/>
        <v/>
      </c>
      <c r="Z271" s="315" t="str">
        <f t="shared" ca="1" si="139"/>
        <v/>
      </c>
      <c r="AA271" s="316" t="str">
        <f t="shared" ca="1" si="140"/>
        <v/>
      </c>
      <c r="AC271" s="310" t="e">
        <f t="shared" ca="1" si="141"/>
        <v>#N/A</v>
      </c>
      <c r="AD271" s="323" t="e">
        <f t="shared" ca="1" si="142"/>
        <v>#N/A</v>
      </c>
      <c r="AE271" s="324">
        <f t="shared" ca="1" si="121"/>
        <v>1130.9574516784323</v>
      </c>
      <c r="AG271" s="306">
        <f t="shared" ca="1" si="143"/>
        <v>-12.380657348473903</v>
      </c>
      <c r="AH271" s="304">
        <f t="shared" ca="1" si="144"/>
        <v>-3.1217367903311639</v>
      </c>
    </row>
    <row r="272" spans="1:34" x14ac:dyDescent="0.2">
      <c r="A272" s="347">
        <f t="shared" ca="1" si="122"/>
        <v>0.1</v>
      </c>
      <c r="B272" s="304">
        <f t="shared" ca="1" si="123"/>
        <v>8.7999999999999865</v>
      </c>
      <c r="D272" s="306">
        <f t="shared" ca="1" si="124"/>
        <v>-1.0109961665653922</v>
      </c>
      <c r="E272" s="307">
        <f t="shared" ca="1" si="125"/>
        <v>-12.660167176387919</v>
      </c>
      <c r="F272" s="304">
        <f t="shared" ca="1" si="126"/>
        <v>12.700470313452962</v>
      </c>
      <c r="G272" s="306">
        <f t="shared" ca="1" si="127"/>
        <v>26.381444811627183</v>
      </c>
      <c r="H272" s="307">
        <f t="shared" ca="1" si="128"/>
        <v>73.392702447590537</v>
      </c>
      <c r="I272" s="304">
        <f t="shared" ca="1" si="129"/>
        <v>77.990187863022186</v>
      </c>
      <c r="J272" s="306">
        <f t="shared" ca="1" si="130"/>
        <v>270.61891339693904</v>
      </c>
      <c r="K272" s="307">
        <f t="shared" ca="1" si="131"/>
        <v>1138.3600227590732</v>
      </c>
      <c r="L272" s="304">
        <f t="shared" ca="1" si="116"/>
        <v>1170.0846711687909</v>
      </c>
      <c r="M272" s="306">
        <f t="shared" ca="1" si="132"/>
        <v>1.2257224455199829</v>
      </c>
      <c r="N272" s="304">
        <f t="shared" ca="1" si="133"/>
        <v>70.228722982749005</v>
      </c>
      <c r="P272" s="310">
        <f t="shared" ca="1" si="134"/>
        <v>23</v>
      </c>
      <c r="Q272" s="304">
        <f t="shared" ca="1" si="135"/>
        <v>0</v>
      </c>
      <c r="R272" s="306">
        <f t="shared" ca="1" si="136"/>
        <v>0</v>
      </c>
      <c r="S272" s="307">
        <f t="shared" ca="1" si="137"/>
        <v>7.4499999999999984</v>
      </c>
      <c r="T272" s="304">
        <f t="shared" ca="1" si="117"/>
        <v>73.084499999999991</v>
      </c>
      <c r="U272" s="311">
        <f t="shared" ca="1" si="118"/>
        <v>0</v>
      </c>
      <c r="V272" s="306">
        <f t="shared" ca="1" si="119"/>
        <v>1.0930606228318134</v>
      </c>
      <c r="W272" s="304">
        <f t="shared" ca="1" si="120"/>
        <v>21.821669717418938</v>
      </c>
      <c r="Y272" s="314" t="str">
        <f t="shared" ca="1" si="138"/>
        <v/>
      </c>
      <c r="Z272" s="315" t="str">
        <f t="shared" ca="1" si="139"/>
        <v/>
      </c>
      <c r="AA272" s="316" t="str">
        <f t="shared" ca="1" si="140"/>
        <v/>
      </c>
      <c r="AC272" s="310" t="e">
        <f t="shared" ca="1" si="141"/>
        <v>#N/A</v>
      </c>
      <c r="AD272" s="323" t="e">
        <f t="shared" ca="1" si="142"/>
        <v>#N/A</v>
      </c>
      <c r="AE272" s="324">
        <f t="shared" ca="1" si="121"/>
        <v>1138.3600227590732</v>
      </c>
      <c r="AG272" s="306">
        <f t="shared" ca="1" si="143"/>
        <v>-12.269741212816594</v>
      </c>
      <c r="AH272" s="304">
        <f t="shared" ca="1" si="144"/>
        <v>-3.0241637161650163</v>
      </c>
    </row>
    <row r="273" spans="1:34" x14ac:dyDescent="0.2">
      <c r="A273" s="347">
        <f t="shared" ca="1" si="122"/>
        <v>0.1</v>
      </c>
      <c r="B273" s="304">
        <f t="shared" ca="1" si="123"/>
        <v>8.8999999999999861</v>
      </c>
      <c r="D273" s="306">
        <f t="shared" ca="1" si="124"/>
        <v>-0.99080985022253609</v>
      </c>
      <c r="E273" s="307">
        <f t="shared" ca="1" si="125"/>
        <v>-12.566415087905838</v>
      </c>
      <c r="F273" s="304">
        <f t="shared" ca="1" si="126"/>
        <v>12.605415198272745</v>
      </c>
      <c r="G273" s="306">
        <f t="shared" ca="1" si="127"/>
        <v>26.282363826604929</v>
      </c>
      <c r="H273" s="307">
        <f t="shared" ca="1" si="128"/>
        <v>72.136060938799957</v>
      </c>
      <c r="I273" s="304">
        <f t="shared" ca="1" si="129"/>
        <v>76.774826187235959</v>
      </c>
      <c r="J273" s="306">
        <f t="shared" ca="1" si="130"/>
        <v>273.25210382885064</v>
      </c>
      <c r="K273" s="307">
        <f t="shared" ca="1" si="131"/>
        <v>1145.6364609283928</v>
      </c>
      <c r="L273" s="304">
        <f t="shared" ca="1" si="116"/>
        <v>1177.7731584882658</v>
      </c>
      <c r="M273" s="306">
        <f t="shared" ca="1" si="132"/>
        <v>1.2214001930837273</v>
      </c>
      <c r="N273" s="304">
        <f t="shared" ca="1" si="133"/>
        <v>69.981076160161408</v>
      </c>
      <c r="P273" s="310">
        <f t="shared" ca="1" si="134"/>
        <v>23</v>
      </c>
      <c r="Q273" s="304">
        <f t="shared" ca="1" si="135"/>
        <v>0</v>
      </c>
      <c r="R273" s="306">
        <f t="shared" ca="1" si="136"/>
        <v>0</v>
      </c>
      <c r="S273" s="307">
        <f t="shared" ca="1" si="137"/>
        <v>7.4499999999999984</v>
      </c>
      <c r="T273" s="304">
        <f t="shared" ca="1" si="117"/>
        <v>73.084499999999991</v>
      </c>
      <c r="U273" s="311">
        <f t="shared" ca="1" si="118"/>
        <v>0</v>
      </c>
      <c r="V273" s="306">
        <f t="shared" ca="1" si="119"/>
        <v>1.0922629535431196</v>
      </c>
      <c r="W273" s="304">
        <f t="shared" ca="1" si="120"/>
        <v>21.131420082935687</v>
      </c>
      <c r="Y273" s="314" t="str">
        <f t="shared" ca="1" si="138"/>
        <v/>
      </c>
      <c r="Z273" s="315" t="str">
        <f t="shared" ca="1" si="139"/>
        <v/>
      </c>
      <c r="AA273" s="316" t="str">
        <f t="shared" ca="1" si="140"/>
        <v/>
      </c>
      <c r="AC273" s="310" t="e">
        <f t="shared" ca="1" si="141"/>
        <v>#N/A</v>
      </c>
      <c r="AD273" s="323" t="e">
        <f t="shared" ca="1" si="142"/>
        <v>#N/A</v>
      </c>
      <c r="AE273" s="324">
        <f t="shared" ca="1" si="121"/>
        <v>1145.6364609283928</v>
      </c>
      <c r="AG273" s="306">
        <f t="shared" ca="1" si="143"/>
        <v>-12.160788231819701</v>
      </c>
      <c r="AH273" s="304">
        <f t="shared" ca="1" si="144"/>
        <v>-2.929083183546167</v>
      </c>
    </row>
    <row r="274" spans="1:34" x14ac:dyDescent="0.2">
      <c r="A274" s="347">
        <f t="shared" ca="1" si="122"/>
        <v>0.1</v>
      </c>
      <c r="B274" s="304">
        <f t="shared" ca="1" si="123"/>
        <v>8.9999999999999858</v>
      </c>
      <c r="D274" s="306">
        <f t="shared" ca="1" si="124"/>
        <v>-0.97099723220130729</v>
      </c>
      <c r="E274" s="307">
        <f t="shared" ca="1" si="125"/>
        <v>-12.47505387322034</v>
      </c>
      <c r="F274" s="304">
        <f t="shared" ca="1" si="126"/>
        <v>12.512785651672148</v>
      </c>
      <c r="G274" s="306">
        <f t="shared" ca="1" si="127"/>
        <v>26.185264103384799</v>
      </c>
      <c r="H274" s="307">
        <f t="shared" ca="1" si="128"/>
        <v>70.888555551477921</v>
      </c>
      <c r="I274" s="304">
        <f t="shared" ca="1" si="129"/>
        <v>75.570201563440222</v>
      </c>
      <c r="J274" s="306">
        <f t="shared" ca="1" si="130"/>
        <v>275.87548522535013</v>
      </c>
      <c r="K274" s="307">
        <f t="shared" ca="1" si="131"/>
        <v>1152.7876917529068</v>
      </c>
      <c r="L274" s="304">
        <f t="shared" ca="1" si="116"/>
        <v>1185.3382410119557</v>
      </c>
      <c r="M274" s="306">
        <f t="shared" ca="1" si="132"/>
        <v>1.2169562812170496</v>
      </c>
      <c r="N274" s="304">
        <f t="shared" ca="1" si="133"/>
        <v>69.726458765672675</v>
      </c>
      <c r="P274" s="310">
        <f t="shared" ca="1" si="134"/>
        <v>23</v>
      </c>
      <c r="Q274" s="304">
        <f t="shared" ca="1" si="135"/>
        <v>0</v>
      </c>
      <c r="R274" s="306">
        <f t="shared" ca="1" si="136"/>
        <v>0</v>
      </c>
      <c r="S274" s="307">
        <f t="shared" ca="1" si="137"/>
        <v>7.4499999999999984</v>
      </c>
      <c r="T274" s="304">
        <f t="shared" ca="1" si="117"/>
        <v>73.084499999999991</v>
      </c>
      <c r="U274" s="311">
        <f t="shared" ca="1" si="118"/>
        <v>0</v>
      </c>
      <c r="V274" s="306">
        <f t="shared" ca="1" si="119"/>
        <v>1.0914795446372407</v>
      </c>
      <c r="W274" s="304">
        <f t="shared" ca="1" si="120"/>
        <v>20.458818908813939</v>
      </c>
      <c r="Y274" s="314" t="str">
        <f t="shared" ca="1" si="138"/>
        <v/>
      </c>
      <c r="Z274" s="315" t="str">
        <f t="shared" ca="1" si="139"/>
        <v/>
      </c>
      <c r="AA274" s="316" t="str">
        <f t="shared" ca="1" si="140"/>
        <v/>
      </c>
      <c r="AC274" s="310">
        <f t="shared" ca="1" si="141"/>
        <v>8.9999999999999858</v>
      </c>
      <c r="AD274" s="323">
        <f t="shared" ca="1" si="142"/>
        <v>275.87548522535013</v>
      </c>
      <c r="AE274" s="324">
        <f t="shared" ca="1" si="121"/>
        <v>1152.7876917529068</v>
      </c>
      <c r="AG274" s="306">
        <f t="shared" ca="1" si="143"/>
        <v>-12.053708160639639</v>
      </c>
      <c r="AH274" s="304">
        <f t="shared" ca="1" si="144"/>
        <v>-2.8364322258974082</v>
      </c>
    </row>
    <row r="275" spans="1:34" x14ac:dyDescent="0.2">
      <c r="A275" s="347">
        <f t="shared" ca="1" si="122"/>
        <v>0.1</v>
      </c>
      <c r="B275" s="304">
        <f t="shared" ca="1" si="123"/>
        <v>9.0999999999999854</v>
      </c>
      <c r="D275" s="306">
        <f t="shared" ca="1" si="124"/>
        <v>-0.95154791811483774</v>
      </c>
      <c r="E275" s="307">
        <f t="shared" ca="1" si="125"/>
        <v>-12.386023567562853</v>
      </c>
      <c r="F275" s="304">
        <f t="shared" ca="1" si="126"/>
        <v>12.422520809267784</v>
      </c>
      <c r="G275" s="306">
        <f t="shared" ca="1" si="127"/>
        <v>26.090109311573315</v>
      </c>
      <c r="H275" s="307">
        <f t="shared" ca="1" si="128"/>
        <v>69.649953194721633</v>
      </c>
      <c r="I275" s="304">
        <f t="shared" ca="1" si="129"/>
        <v>74.376137194107883</v>
      </c>
      <c r="J275" s="306">
        <f t="shared" ca="1" si="130"/>
        <v>278.48925389609803</v>
      </c>
      <c r="K275" s="307">
        <f t="shared" ca="1" si="131"/>
        <v>1159.8146171902167</v>
      </c>
      <c r="L275" s="304">
        <f t="shared" ca="1" si="116"/>
        <v>1192.7808729115732</v>
      </c>
      <c r="M275" s="306">
        <f t="shared" ca="1" si="132"/>
        <v>1.2123859962703802</v>
      </c>
      <c r="N275" s="304">
        <f t="shared" ca="1" si="133"/>
        <v>69.46460072705635</v>
      </c>
      <c r="P275" s="310">
        <f t="shared" ca="1" si="134"/>
        <v>23</v>
      </c>
      <c r="Q275" s="304">
        <f t="shared" ca="1" si="135"/>
        <v>0</v>
      </c>
      <c r="R275" s="306">
        <f t="shared" ca="1" si="136"/>
        <v>0</v>
      </c>
      <c r="S275" s="307">
        <f t="shared" ca="1" si="137"/>
        <v>7.4499999999999984</v>
      </c>
      <c r="T275" s="304">
        <f t="shared" ca="1" si="117"/>
        <v>73.084499999999991</v>
      </c>
      <c r="U275" s="311">
        <f t="shared" ca="1" si="118"/>
        <v>0</v>
      </c>
      <c r="V275" s="306">
        <f t="shared" ca="1" si="119"/>
        <v>1.0907102690395238</v>
      </c>
      <c r="W275" s="304">
        <f t="shared" ca="1" si="120"/>
        <v>19.803430846114342</v>
      </c>
      <c r="Y275" s="314" t="str">
        <f t="shared" ca="1" si="138"/>
        <v/>
      </c>
      <c r="Z275" s="315" t="str">
        <f t="shared" ca="1" si="139"/>
        <v/>
      </c>
      <c r="AA275" s="316" t="str">
        <f t="shared" ca="1" si="140"/>
        <v/>
      </c>
      <c r="AC275" s="310" t="e">
        <f t="shared" ca="1" si="141"/>
        <v>#N/A</v>
      </c>
      <c r="AD275" s="323" t="e">
        <f t="shared" ca="1" si="142"/>
        <v>#N/A</v>
      </c>
      <c r="AE275" s="324">
        <f t="shared" ca="1" si="121"/>
        <v>1159.8146171902167</v>
      </c>
      <c r="AG275" s="306">
        <f t="shared" ca="1" si="143"/>
        <v>-11.948411339302133</v>
      </c>
      <c r="AH275" s="304">
        <f t="shared" ca="1" si="144"/>
        <v>-2.7461501891025426</v>
      </c>
    </row>
    <row r="276" spans="1:34" x14ac:dyDescent="0.2">
      <c r="A276" s="347">
        <f t="shared" ca="1" si="122"/>
        <v>0.1</v>
      </c>
      <c r="B276" s="304">
        <f t="shared" ca="1" si="123"/>
        <v>9.1999999999999851</v>
      </c>
      <c r="D276" s="306">
        <f t="shared" ca="1" si="124"/>
        <v>-0.9324519103438893</v>
      </c>
      <c r="E276" s="307">
        <f t="shared" ca="1" si="125"/>
        <v>-12.299266378158547</v>
      </c>
      <c r="F276" s="304">
        <f t="shared" ca="1" si="126"/>
        <v>12.334562011113539</v>
      </c>
      <c r="G276" s="306">
        <f t="shared" ca="1" si="127"/>
        <v>25.996864120538927</v>
      </c>
      <c r="H276" s="307">
        <f t="shared" ca="1" si="128"/>
        <v>68.420026556905782</v>
      </c>
      <c r="I276" s="304">
        <f t="shared" ca="1" si="129"/>
        <v>73.192465309958351</v>
      </c>
      <c r="J276" s="306">
        <f t="shared" ca="1" si="130"/>
        <v>281.09360256770367</v>
      </c>
      <c r="K276" s="307">
        <f t="shared" ca="1" si="131"/>
        <v>1166.718116177798</v>
      </c>
      <c r="L276" s="304">
        <f t="shared" ca="1" si="116"/>
        <v>1200.1019856753676</v>
      </c>
      <c r="M276" s="306">
        <f t="shared" ca="1" si="132"/>
        <v>1.2076843872439167</v>
      </c>
      <c r="N276" s="304">
        <f t="shared" ca="1" si="133"/>
        <v>69.195218372919385</v>
      </c>
      <c r="P276" s="310">
        <f t="shared" ca="1" si="134"/>
        <v>23</v>
      </c>
      <c r="Q276" s="304">
        <f t="shared" ca="1" si="135"/>
        <v>0</v>
      </c>
      <c r="R276" s="306">
        <f t="shared" ca="1" si="136"/>
        <v>0</v>
      </c>
      <c r="S276" s="307">
        <f t="shared" ca="1" si="137"/>
        <v>7.4499999999999984</v>
      </c>
      <c r="T276" s="304">
        <f t="shared" ca="1" si="117"/>
        <v>73.084499999999991</v>
      </c>
      <c r="U276" s="311">
        <f t="shared" ca="1" si="118"/>
        <v>0</v>
      </c>
      <c r="V276" s="306">
        <f t="shared" ca="1" si="119"/>
        <v>1.0899550029935496</v>
      </c>
      <c r="W276" s="304">
        <f t="shared" ca="1" si="120"/>
        <v>19.164836401158361</v>
      </c>
      <c r="Y276" s="314" t="str">
        <f t="shared" ca="1" si="138"/>
        <v/>
      </c>
      <c r="Z276" s="315" t="str">
        <f t="shared" ca="1" si="139"/>
        <v/>
      </c>
      <c r="AA276" s="316" t="str">
        <f t="shared" ca="1" si="140"/>
        <v/>
      </c>
      <c r="AC276" s="310" t="e">
        <f t="shared" ca="1" si="141"/>
        <v>#N/A</v>
      </c>
      <c r="AD276" s="323" t="e">
        <f t="shared" ca="1" si="142"/>
        <v>#N/A</v>
      </c>
      <c r="AE276" s="324">
        <f t="shared" ca="1" si="121"/>
        <v>1166.718116177798</v>
      </c>
      <c r="AG276" s="306">
        <f t="shared" ca="1" si="143"/>
        <v>-11.844808470459322</v>
      </c>
      <c r="AH276" s="304">
        <f t="shared" ca="1" si="144"/>
        <v>-2.6581786370623282</v>
      </c>
    </row>
    <row r="277" spans="1:34" x14ac:dyDescent="0.2">
      <c r="A277" s="347">
        <f t="shared" ca="1" si="122"/>
        <v>0.1</v>
      </c>
      <c r="B277" s="304">
        <f t="shared" ca="1" si="123"/>
        <v>9.2999999999999847</v>
      </c>
      <c r="D277" s="306">
        <f t="shared" ca="1" si="124"/>
        <v>-0.91369959459306771</v>
      </c>
      <c r="E277" s="307">
        <f t="shared" ca="1" si="125"/>
        <v>-12.21472659460882</v>
      </c>
      <c r="F277" s="304">
        <f t="shared" ca="1" si="126"/>
        <v>12.248852710772692</v>
      </c>
      <c r="G277" s="306">
        <f t="shared" ca="1" si="127"/>
        <v>25.90549416107962</v>
      </c>
      <c r="H277" s="307">
        <f t="shared" ca="1" si="128"/>
        <v>67.198553897444896</v>
      </c>
      <c r="I277" s="304">
        <f t="shared" ca="1" si="129"/>
        <v>72.019027163920626</v>
      </c>
      <c r="J277" s="306">
        <f t="shared" ca="1" si="130"/>
        <v>283.68872048178457</v>
      </c>
      <c r="K277" s="307">
        <f t="shared" ca="1" si="131"/>
        <v>1173.4990452005156</v>
      </c>
      <c r="L277" s="304">
        <f t="shared" ca="1" si="116"/>
        <v>1207.3024886974738</v>
      </c>
      <c r="M277" s="306">
        <f t="shared" ca="1" si="132"/>
        <v>1.2028462516056653</v>
      </c>
      <c r="N277" s="304">
        <f t="shared" ca="1" si="133"/>
        <v>68.918013620135739</v>
      </c>
      <c r="P277" s="310">
        <f t="shared" ca="1" si="134"/>
        <v>23</v>
      </c>
      <c r="Q277" s="304">
        <f t="shared" ca="1" si="135"/>
        <v>0</v>
      </c>
      <c r="R277" s="306">
        <f t="shared" ca="1" si="136"/>
        <v>0</v>
      </c>
      <c r="S277" s="307">
        <f t="shared" ca="1" si="137"/>
        <v>7.4499999999999984</v>
      </c>
      <c r="T277" s="304">
        <f t="shared" ca="1" si="117"/>
        <v>73.084499999999991</v>
      </c>
      <c r="U277" s="311">
        <f t="shared" ca="1" si="118"/>
        <v>0</v>
      </c>
      <c r="V277" s="306">
        <f t="shared" ca="1" si="119"/>
        <v>1.0892136259763374</v>
      </c>
      <c r="W277" s="304">
        <f t="shared" ca="1" si="120"/>
        <v>18.542631299294143</v>
      </c>
      <c r="Y277" s="314" t="str">
        <f t="shared" ca="1" si="138"/>
        <v/>
      </c>
      <c r="Z277" s="315" t="str">
        <f t="shared" ca="1" si="139"/>
        <v/>
      </c>
      <c r="AA277" s="316" t="str">
        <f t="shared" ca="1" si="140"/>
        <v/>
      </c>
      <c r="AC277" s="310" t="e">
        <f t="shared" ca="1" si="141"/>
        <v>#N/A</v>
      </c>
      <c r="AD277" s="323" t="e">
        <f t="shared" ca="1" si="142"/>
        <v>#N/A</v>
      </c>
      <c r="AE277" s="324">
        <f t="shared" ca="1" si="121"/>
        <v>1173.4990452005156</v>
      </c>
      <c r="AG277" s="306">
        <f t="shared" ca="1" si="143"/>
        <v>-11.742810391156031</v>
      </c>
      <c r="AH277" s="304">
        <f t="shared" ca="1" si="144"/>
        <v>-2.5724612619004517</v>
      </c>
    </row>
    <row r="278" spans="1:34" x14ac:dyDescent="0.2">
      <c r="A278" s="347">
        <f t="shared" ca="1" si="122"/>
        <v>0.1</v>
      </c>
      <c r="B278" s="304">
        <f t="shared" ca="1" si="123"/>
        <v>9.3999999999999844</v>
      </c>
      <c r="D278" s="306">
        <f t="shared" ca="1" si="124"/>
        <v>-0.89528172734371025</v>
      </c>
      <c r="E278" s="307">
        <f t="shared" ca="1" si="125"/>
        <v>-12.132350503496305</v>
      </c>
      <c r="F278" s="304">
        <f t="shared" ca="1" si="126"/>
        <v>12.165338388676354</v>
      </c>
      <c r="G278" s="306">
        <f t="shared" ca="1" si="127"/>
        <v>25.815965988345248</v>
      </c>
      <c r="H278" s="307">
        <f t="shared" ca="1" si="128"/>
        <v>65.985318847095272</v>
      </c>
      <c r="I278" s="304">
        <f t="shared" ca="1" si="129"/>
        <v>70.855673049264198</v>
      </c>
      <c r="J278" s="306">
        <f t="shared" ca="1" si="130"/>
        <v>286.27479348925584</v>
      </c>
      <c r="K278" s="307">
        <f t="shared" ca="1" si="131"/>
        <v>1180.1582388377426</v>
      </c>
      <c r="L278" s="304">
        <f t="shared" ca="1" si="116"/>
        <v>1214.3832698468464</v>
      </c>
      <c r="M278" s="306">
        <f t="shared" ca="1" si="132"/>
        <v>1.197866120163487</v>
      </c>
      <c r="N278" s="304">
        <f t="shared" ca="1" si="133"/>
        <v>68.632673107078531</v>
      </c>
      <c r="P278" s="310">
        <f t="shared" ca="1" si="134"/>
        <v>23</v>
      </c>
      <c r="Q278" s="304">
        <f t="shared" ca="1" si="135"/>
        <v>0</v>
      </c>
      <c r="R278" s="306">
        <f t="shared" ca="1" si="136"/>
        <v>0</v>
      </c>
      <c r="S278" s="307">
        <f t="shared" ca="1" si="137"/>
        <v>7.4499999999999984</v>
      </c>
      <c r="T278" s="304">
        <f t="shared" ca="1" si="117"/>
        <v>73.084499999999991</v>
      </c>
      <c r="U278" s="311">
        <f t="shared" ca="1" si="118"/>
        <v>0</v>
      </c>
      <c r="V278" s="306">
        <f t="shared" ca="1" si="119"/>
        <v>1.0884860206166649</v>
      </c>
      <c r="W278" s="304">
        <f t="shared" ca="1" si="120"/>
        <v>17.936425879600481</v>
      </c>
      <c r="Y278" s="314" t="str">
        <f t="shared" ca="1" si="138"/>
        <v/>
      </c>
      <c r="Z278" s="315" t="str">
        <f t="shared" ca="1" si="139"/>
        <v/>
      </c>
      <c r="AA278" s="316" t="str">
        <f t="shared" ca="1" si="140"/>
        <v/>
      </c>
      <c r="AC278" s="310" t="e">
        <f t="shared" ca="1" si="141"/>
        <v>#N/A</v>
      </c>
      <c r="AD278" s="323" t="e">
        <f t="shared" ca="1" si="142"/>
        <v>#N/A</v>
      </c>
      <c r="AE278" s="324">
        <f t="shared" ca="1" si="121"/>
        <v>1180.1582388377426</v>
      </c>
      <c r="AG278" s="306">
        <f t="shared" ca="1" si="143"/>
        <v>-11.642327837387963</v>
      </c>
      <c r="AH278" s="304">
        <f t="shared" ca="1" si="144"/>
        <v>-2.488943798562973</v>
      </c>
    </row>
    <row r="279" spans="1:34" x14ac:dyDescent="0.2">
      <c r="A279" s="347">
        <f t="shared" ca="1" si="122"/>
        <v>0.1</v>
      </c>
      <c r="B279" s="304">
        <f t="shared" ca="1" si="123"/>
        <v>9.499999999999984</v>
      </c>
      <c r="D279" s="306">
        <f t="shared" ca="1" si="124"/>
        <v>-0.8771894241753817</v>
      </c>
      <c r="E279" s="307">
        <f t="shared" ca="1" si="125"/>
        <v>-12.052086306963815</v>
      </c>
      <c r="F279" s="304">
        <f t="shared" ca="1" si="126"/>
        <v>12.083966469516119</v>
      </c>
      <c r="G279" s="306">
        <f t="shared" ca="1" si="127"/>
        <v>25.728247045927709</v>
      </c>
      <c r="H279" s="307">
        <f t="shared" ca="1" si="128"/>
        <v>64.780110216398896</v>
      </c>
      <c r="I279" s="304">
        <f t="shared" ca="1" si="129"/>
        <v>69.702262342804019</v>
      </c>
      <c r="J279" s="306">
        <f t="shared" ca="1" si="130"/>
        <v>288.85200414096948</v>
      </c>
      <c r="K279" s="307">
        <f t="shared" ca="1" si="131"/>
        <v>1186.6965102909173</v>
      </c>
      <c r="L279" s="304">
        <f t="shared" ca="1" si="116"/>
        <v>1221.3451960166281</v>
      </c>
      <c r="M279" s="306">
        <f t="shared" ca="1" si="132"/>
        <v>1.192738240926301</v>
      </c>
      <c r="N279" s="304">
        <f t="shared" ca="1" si="133"/>
        <v>68.338867268935005</v>
      </c>
      <c r="P279" s="310">
        <f t="shared" ca="1" si="134"/>
        <v>23</v>
      </c>
      <c r="Q279" s="304">
        <f t="shared" ca="1" si="135"/>
        <v>0</v>
      </c>
      <c r="R279" s="306">
        <f t="shared" ca="1" si="136"/>
        <v>0</v>
      </c>
      <c r="S279" s="307">
        <f t="shared" ca="1" si="137"/>
        <v>7.4499999999999984</v>
      </c>
      <c r="T279" s="304">
        <f t="shared" ca="1" si="117"/>
        <v>73.084499999999991</v>
      </c>
      <c r="U279" s="311">
        <f t="shared" ca="1" si="118"/>
        <v>0</v>
      </c>
      <c r="V279" s="306">
        <f t="shared" ca="1" si="119"/>
        <v>1.087772072616392</v>
      </c>
      <c r="W279" s="304">
        <f t="shared" ca="1" si="120"/>
        <v>17.345844518846445</v>
      </c>
      <c r="Y279" s="314" t="str">
        <f t="shared" ca="1" si="138"/>
        <v/>
      </c>
      <c r="Z279" s="315" t="str">
        <f t="shared" ca="1" si="139"/>
        <v/>
      </c>
      <c r="AA279" s="316" t="str">
        <f t="shared" ca="1" si="140"/>
        <v/>
      </c>
      <c r="AC279" s="310" t="e">
        <f t="shared" ca="1" si="141"/>
        <v>#N/A</v>
      </c>
      <c r="AD279" s="323" t="e">
        <f t="shared" ca="1" si="142"/>
        <v>#N/A</v>
      </c>
      <c r="AE279" s="324">
        <f t="shared" ca="1" si="121"/>
        <v>1186.6965102909173</v>
      </c>
      <c r="AG279" s="306">
        <f t="shared" ca="1" si="143"/>
        <v>-11.543271200160587</v>
      </c>
      <c r="AH279" s="304">
        <f t="shared" ca="1" si="144"/>
        <v>-2.4075739435705348</v>
      </c>
    </row>
    <row r="280" spans="1:34" x14ac:dyDescent="0.2">
      <c r="A280" s="347">
        <f t="shared" ca="1" si="122"/>
        <v>0.1</v>
      </c>
      <c r="B280" s="304">
        <f t="shared" ca="1" si="123"/>
        <v>9.5999999999999837</v>
      </c>
      <c r="D280" s="306">
        <f t="shared" ca="1" si="124"/>
        <v>-0.85941414893163803</v>
      </c>
      <c r="E280" s="307">
        <f t="shared" ca="1" si="125"/>
        <v>-11.973884045031982</v>
      </c>
      <c r="F280" s="304">
        <f t="shared" ca="1" si="126"/>
        <v>12.00468624343241</v>
      </c>
      <c r="G280" s="306">
        <f t="shared" ca="1" si="127"/>
        <v>25.642305631034546</v>
      </c>
      <c r="H280" s="307">
        <f t="shared" ca="1" si="128"/>
        <v>63.582721811895695</v>
      </c>
      <c r="I280" s="304">
        <f t="shared" ca="1" si="129"/>
        <v>68.558663574228916</v>
      </c>
      <c r="J280" s="306">
        <f t="shared" ca="1" si="130"/>
        <v>291.42053177481762</v>
      </c>
      <c r="K280" s="307">
        <f t="shared" ca="1" si="131"/>
        <v>1193.1146518923319</v>
      </c>
      <c r="L280" s="304">
        <f t="shared" ca="1" si="116"/>
        <v>1228.1891136547654</v>
      </c>
      <c r="M280" s="306">
        <f t="shared" ca="1" si="132"/>
        <v>1.1874565618858179</v>
      </c>
      <c r="N280" s="304">
        <f t="shared" ca="1" si="133"/>
        <v>68.036249351172614</v>
      </c>
      <c r="P280" s="310">
        <f t="shared" ca="1" si="134"/>
        <v>23</v>
      </c>
      <c r="Q280" s="304">
        <f t="shared" ca="1" si="135"/>
        <v>0</v>
      </c>
      <c r="R280" s="306">
        <f t="shared" ca="1" si="136"/>
        <v>0</v>
      </c>
      <c r="S280" s="307">
        <f t="shared" ca="1" si="137"/>
        <v>7.4499999999999984</v>
      </c>
      <c r="T280" s="304">
        <f t="shared" ca="1" si="117"/>
        <v>73.084499999999991</v>
      </c>
      <c r="U280" s="311">
        <f t="shared" ca="1" si="118"/>
        <v>0</v>
      </c>
      <c r="V280" s="306">
        <f t="shared" ca="1" si="119"/>
        <v>1.0870716706746451</v>
      </c>
      <c r="W280" s="304">
        <f t="shared" ca="1" si="120"/>
        <v>16.770525083126611</v>
      </c>
      <c r="Y280" s="314" t="str">
        <f t="shared" ca="1" si="138"/>
        <v/>
      </c>
      <c r="Z280" s="315" t="str">
        <f t="shared" ca="1" si="139"/>
        <v/>
      </c>
      <c r="AA280" s="316" t="str">
        <f t="shared" ca="1" si="140"/>
        <v/>
      </c>
      <c r="AC280" s="310" t="e">
        <f t="shared" ca="1" si="141"/>
        <v>#N/A</v>
      </c>
      <c r="AD280" s="323" t="e">
        <f t="shared" ca="1" si="142"/>
        <v>#N/A</v>
      </c>
      <c r="AE280" s="324">
        <f t="shared" ca="1" si="121"/>
        <v>1193.1146518923319</v>
      </c>
      <c r="AG280" s="306">
        <f t="shared" ca="1" si="143"/>
        <v>-11.445550271674829</v>
      </c>
      <c r="AH280" s="304">
        <f t="shared" ca="1" si="144"/>
        <v>-2.3283012776975101</v>
      </c>
    </row>
    <row r="281" spans="1:34" x14ac:dyDescent="0.2">
      <c r="A281" s="347">
        <f t="shared" ca="1" si="122"/>
        <v>0.1</v>
      </c>
      <c r="B281" s="304">
        <f t="shared" ca="1" si="123"/>
        <v>9.6999999999999833</v>
      </c>
      <c r="D281" s="306">
        <f t="shared" ca="1" si="124"/>
        <v>-0.84194770370929073</v>
      </c>
      <c r="E281" s="307">
        <f t="shared" ca="1" si="125"/>
        <v>-11.897695521432423</v>
      </c>
      <c r="F281" s="304">
        <f t="shared" ca="1" si="126"/>
        <v>11.927448790772253</v>
      </c>
      <c r="G281" s="306">
        <f t="shared" ca="1" si="127"/>
        <v>25.558110860663618</v>
      </c>
      <c r="H281" s="307">
        <f t="shared" ca="1" si="128"/>
        <v>62.392952259752455</v>
      </c>
      <c r="I281" s="304">
        <f t="shared" ca="1" si="129"/>
        <v>67.424754522754625</v>
      </c>
      <c r="J281" s="306">
        <f t="shared" ca="1" si="130"/>
        <v>293.98055259940253</v>
      </c>
      <c r="K281" s="307">
        <f t="shared" ca="1" si="131"/>
        <v>1199.4134355959143</v>
      </c>
      <c r="L281" s="304">
        <f t="shared" ca="1" si="116"/>
        <v>1234.9158492766396</v>
      </c>
      <c r="M281" s="306">
        <f t="shared" ca="1" si="132"/>
        <v>1.1820147126463705</v>
      </c>
      <c r="N281" s="304">
        <f t="shared" ca="1" si="133"/>
        <v>67.724454357005797</v>
      </c>
      <c r="P281" s="310">
        <f t="shared" ca="1" si="134"/>
        <v>23</v>
      </c>
      <c r="Q281" s="304">
        <f t="shared" ca="1" si="135"/>
        <v>0</v>
      </c>
      <c r="R281" s="306">
        <f t="shared" ca="1" si="136"/>
        <v>0</v>
      </c>
      <c r="S281" s="307">
        <f t="shared" ca="1" si="137"/>
        <v>7.4499999999999984</v>
      </c>
      <c r="T281" s="304">
        <f t="shared" ca="1" si="117"/>
        <v>73.084499999999991</v>
      </c>
      <c r="U281" s="311">
        <f t="shared" ca="1" si="118"/>
        <v>0</v>
      </c>
      <c r="V281" s="306">
        <f t="shared" ca="1" si="119"/>
        <v>1.0863847064147609</v>
      </c>
      <c r="W281" s="304">
        <f t="shared" ca="1" si="120"/>
        <v>16.21011840568805</v>
      </c>
      <c r="Y281" s="314" t="str">
        <f t="shared" ca="1" si="138"/>
        <v/>
      </c>
      <c r="Z281" s="315" t="str">
        <f t="shared" ca="1" si="139"/>
        <v/>
      </c>
      <c r="AA281" s="316" t="str">
        <f t="shared" ca="1" si="140"/>
        <v/>
      </c>
      <c r="AC281" s="310" t="e">
        <f t="shared" ca="1" si="141"/>
        <v>#N/A</v>
      </c>
      <c r="AD281" s="323" t="e">
        <f t="shared" ca="1" si="142"/>
        <v>#N/A</v>
      </c>
      <c r="AE281" s="324">
        <f t="shared" ca="1" si="121"/>
        <v>1199.4134355959143</v>
      </c>
      <c r="AG281" s="306">
        <f t="shared" ca="1" si="143"/>
        <v>-11.349073980173301</v>
      </c>
      <c r="AH281" s="304">
        <f t="shared" ca="1" si="144"/>
        <v>-2.2510771923659885</v>
      </c>
    </row>
    <row r="282" spans="1:34" x14ac:dyDescent="0.2">
      <c r="A282" s="347">
        <f t="shared" ca="1" si="122"/>
        <v>0.1</v>
      </c>
      <c r="B282" s="304">
        <f t="shared" ca="1" si="123"/>
        <v>9.7999999999999829</v>
      </c>
      <c r="D282" s="306">
        <f t="shared" ca="1" si="124"/>
        <v>-0.82478221965405352</v>
      </c>
      <c r="E282" s="307">
        <f t="shared" ca="1" si="125"/>
        <v>-11.823474232744285</v>
      </c>
      <c r="F282" s="304">
        <f t="shared" ca="1" si="126"/>
        <v>11.852206910201389</v>
      </c>
      <c r="G282" s="306">
        <f t="shared" ca="1" si="127"/>
        <v>25.475632638698212</v>
      </c>
      <c r="H282" s="307">
        <f t="shared" ca="1" si="128"/>
        <v>61.210604836478026</v>
      </c>
      <c r="I282" s="304">
        <f t="shared" ca="1" si="129"/>
        <v>66.300422342466064</v>
      </c>
      <c r="J282" s="306">
        <f t="shared" ca="1" si="130"/>
        <v>296.53223977437062</v>
      </c>
      <c r="K282" s="307">
        <f t="shared" ca="1" si="131"/>
        <v>1205.5936134507258</v>
      </c>
      <c r="L282" s="304">
        <f t="shared" ca="1" si="116"/>
        <v>1241.5262099604595</v>
      </c>
      <c r="M282" s="306">
        <f t="shared" ca="1" si="132"/>
        <v>1.1764059848266679</v>
      </c>
      <c r="N282" s="304">
        <f t="shared" ca="1" si="133"/>
        <v>67.403097924499235</v>
      </c>
      <c r="P282" s="310">
        <f t="shared" ca="1" si="134"/>
        <v>23</v>
      </c>
      <c r="Q282" s="304">
        <f t="shared" ca="1" si="135"/>
        <v>0</v>
      </c>
      <c r="R282" s="306">
        <f t="shared" ca="1" si="136"/>
        <v>0</v>
      </c>
      <c r="S282" s="307">
        <f t="shared" ca="1" si="137"/>
        <v>7.4499999999999984</v>
      </c>
      <c r="T282" s="304">
        <f t="shared" ca="1" si="117"/>
        <v>73.084499999999991</v>
      </c>
      <c r="U282" s="311">
        <f t="shared" ca="1" si="118"/>
        <v>0</v>
      </c>
      <c r="V282" s="306">
        <f t="shared" ca="1" si="119"/>
        <v>1.0857110743138672</v>
      </c>
      <c r="W282" s="304">
        <f t="shared" ca="1" si="120"/>
        <v>15.664287789554168</v>
      </c>
      <c r="Y282" s="314" t="str">
        <f t="shared" ca="1" si="138"/>
        <v/>
      </c>
      <c r="Z282" s="315" t="str">
        <f t="shared" ca="1" si="139"/>
        <v/>
      </c>
      <c r="AA282" s="316" t="str">
        <f t="shared" ca="1" si="140"/>
        <v/>
      </c>
      <c r="AC282" s="310" t="e">
        <f t="shared" ca="1" si="141"/>
        <v>#N/A</v>
      </c>
      <c r="AD282" s="323" t="e">
        <f t="shared" ca="1" si="142"/>
        <v>#N/A</v>
      </c>
      <c r="AE282" s="324">
        <f t="shared" ca="1" si="121"/>
        <v>1205.5936134507258</v>
      </c>
      <c r="AG282" s="306">
        <f t="shared" ca="1" si="143"/>
        <v>-11.253750111878793</v>
      </c>
      <c r="AH282" s="304">
        <f t="shared" ca="1" si="144"/>
        <v>-2.1758548195554432</v>
      </c>
    </row>
    <row r="283" spans="1:34" x14ac:dyDescent="0.2">
      <c r="A283" s="347">
        <f t="shared" ca="1" si="122"/>
        <v>0.1</v>
      </c>
      <c r="B283" s="304">
        <f t="shared" ca="1" si="123"/>
        <v>9.8999999999999826</v>
      </c>
      <c r="D283" s="306">
        <f t="shared" ca="1" si="124"/>
        <v>-0.80791014854896404</v>
      </c>
      <c r="E283" s="307">
        <f t="shared" ca="1" si="125"/>
        <v>-11.751175300631825</v>
      </c>
      <c r="F283" s="304">
        <f t="shared" ca="1" si="126"/>
        <v>11.778915049965676</v>
      </c>
      <c r="G283" s="306">
        <f t="shared" ca="1" si="127"/>
        <v>25.394841623843316</v>
      </c>
      <c r="H283" s="307">
        <f t="shared" ca="1" si="128"/>
        <v>60.035487306414844</v>
      </c>
      <c r="I283" s="304">
        <f t="shared" ca="1" si="129"/>
        <v>65.18556371788759</v>
      </c>
      <c r="J283" s="306">
        <f t="shared" ca="1" si="130"/>
        <v>299.07576348749768</v>
      </c>
      <c r="K283" s="307">
        <f t="shared" ca="1" si="131"/>
        <v>1211.6559180578704</v>
      </c>
      <c r="L283" s="304">
        <f t="shared" ca="1" si="116"/>
        <v>1248.0209838261096</v>
      </c>
      <c r="M283" s="306">
        <f t="shared" ca="1" si="132"/>
        <v>1.1706233111537043</v>
      </c>
      <c r="N283" s="304">
        <f t="shared" ca="1" si="133"/>
        <v>67.071775128737002</v>
      </c>
      <c r="P283" s="310">
        <f t="shared" ca="1" si="134"/>
        <v>23</v>
      </c>
      <c r="Q283" s="304">
        <f t="shared" ca="1" si="135"/>
        <v>0</v>
      </c>
      <c r="R283" s="306">
        <f t="shared" ca="1" si="136"/>
        <v>0</v>
      </c>
      <c r="S283" s="307">
        <f t="shared" ca="1" si="137"/>
        <v>7.4499999999999984</v>
      </c>
      <c r="T283" s="304">
        <f t="shared" ca="1" si="117"/>
        <v>73.084499999999991</v>
      </c>
      <c r="U283" s="311">
        <f t="shared" ca="1" si="118"/>
        <v>0</v>
      </c>
      <c r="V283" s="306">
        <f t="shared" ca="1" si="119"/>
        <v>1.085050671634995</v>
      </c>
      <c r="W283" s="304">
        <f t="shared" ca="1" si="120"/>
        <v>15.132708533634039</v>
      </c>
      <c r="Y283" s="314" t="str">
        <f t="shared" ca="1" si="138"/>
        <v/>
      </c>
      <c r="Z283" s="315" t="str">
        <f t="shared" ca="1" si="139"/>
        <v/>
      </c>
      <c r="AA283" s="316" t="str">
        <f t="shared" ca="1" si="140"/>
        <v/>
      </c>
      <c r="AC283" s="310" t="e">
        <f t="shared" ca="1" si="141"/>
        <v>#N/A</v>
      </c>
      <c r="AD283" s="323" t="e">
        <f t="shared" ca="1" si="142"/>
        <v>#N/A</v>
      </c>
      <c r="AE283" s="324">
        <f t="shared" ca="1" si="121"/>
        <v>1211.6559180578704</v>
      </c>
      <c r="AG283" s="306">
        <f t="shared" ca="1" si="143"/>
        <v>-11.159485018344531</v>
      </c>
      <c r="AH283" s="304">
        <f t="shared" ca="1" si="144"/>
        <v>-2.1025889650408285</v>
      </c>
    </row>
    <row r="284" spans="1:34" x14ac:dyDescent="0.2">
      <c r="A284" s="347">
        <f t="shared" ca="1" si="122"/>
        <v>0.1</v>
      </c>
      <c r="B284" s="304">
        <f t="shared" ca="1" si="123"/>
        <v>9.9999999999999822</v>
      </c>
      <c r="D284" s="306">
        <f t="shared" ca="1" si="124"/>
        <v>-0.79132425518556437</v>
      </c>
      <c r="E284" s="307">
        <f t="shared" ca="1" si="125"/>
        <v>-11.680755406989668</v>
      </c>
      <c r="F284" s="304">
        <f t="shared" ca="1" si="126"/>
        <v>11.70752924210584</v>
      </c>
      <c r="G284" s="306">
        <f t="shared" ca="1" si="127"/>
        <v>25.315709198324761</v>
      </c>
      <c r="H284" s="307">
        <f t="shared" ca="1" si="128"/>
        <v>58.867411765715879</v>
      </c>
      <c r="I284" s="304">
        <f t="shared" ca="1" si="129"/>
        <v>64.080085051507922</v>
      </c>
      <c r="J284" s="306">
        <f t="shared" ca="1" si="130"/>
        <v>301.6112910286061</v>
      </c>
      <c r="K284" s="307">
        <f t="shared" ca="1" si="131"/>
        <v>1217.601063011477</v>
      </c>
      <c r="L284" s="304">
        <f t="shared" ca="1" si="116"/>
        <v>1254.4009404981412</v>
      </c>
      <c r="M284" s="306">
        <f t="shared" ca="1" si="132"/>
        <v>1.1646592431656928</v>
      </c>
      <c r="N284" s="304">
        <f t="shared" ca="1" si="133"/>
        <v>66.730059204294861</v>
      </c>
      <c r="P284" s="310">
        <f t="shared" ca="1" si="134"/>
        <v>23</v>
      </c>
      <c r="Q284" s="304">
        <f t="shared" ca="1" si="135"/>
        <v>0</v>
      </c>
      <c r="R284" s="306">
        <f t="shared" ca="1" si="136"/>
        <v>0</v>
      </c>
      <c r="S284" s="307">
        <f t="shared" ca="1" si="137"/>
        <v>7.4499999999999984</v>
      </c>
      <c r="T284" s="304">
        <f t="shared" ca="1" si="117"/>
        <v>73.084499999999991</v>
      </c>
      <c r="U284" s="311">
        <f t="shared" ca="1" si="118"/>
        <v>0</v>
      </c>
      <c r="V284" s="306">
        <f t="shared" ca="1" si="119"/>
        <v>1.0844033983616284</v>
      </c>
      <c r="W284" s="304">
        <f t="shared" ca="1" si="120"/>
        <v>14.615067481083514</v>
      </c>
      <c r="Y284" s="314" t="str">
        <f t="shared" ca="1" si="138"/>
        <v/>
      </c>
      <c r="Z284" s="315" t="str">
        <f t="shared" ca="1" si="139"/>
        <v/>
      </c>
      <c r="AA284" s="316" t="str">
        <f t="shared" ca="1" si="140"/>
        <v/>
      </c>
      <c r="AC284" s="310">
        <f t="shared" ca="1" si="141"/>
        <v>9.9999999999999822</v>
      </c>
      <c r="AD284" s="323">
        <f t="shared" ca="1" si="142"/>
        <v>301.6112910286061</v>
      </c>
      <c r="AE284" s="324">
        <f t="shared" ca="1" si="121"/>
        <v>1217.601063011477</v>
      </c>
      <c r="AG284" s="306">
        <f t="shared" ca="1" si="143"/>
        <v>-11.066183307413214</v>
      </c>
      <c r="AH284" s="304">
        <f t="shared" ca="1" si="144"/>
        <v>-2.0312360447830931</v>
      </c>
    </row>
    <row r="285" spans="1:34" x14ac:dyDescent="0.2">
      <c r="A285" s="347">
        <f t="shared" ca="1" si="122"/>
        <v>0.1</v>
      </c>
      <c r="B285" s="304">
        <f t="shared" ca="1" si="123"/>
        <v>10.099999999999982</v>
      </c>
      <c r="D285" s="306">
        <f t="shared" ca="1" si="124"/>
        <v>-0.7750176105114005</v>
      </c>
      <c r="E285" s="307">
        <f t="shared" ca="1" si="125"/>
        <v>-11.612172731810134</v>
      </c>
      <c r="F285" s="304">
        <f t="shared" ca="1" si="126"/>
        <v>11.638007039437534</v>
      </c>
      <c r="G285" s="306">
        <f t="shared" ca="1" si="127"/>
        <v>25.238207437273623</v>
      </c>
      <c r="H285" s="307">
        <f t="shared" ca="1" si="128"/>
        <v>57.706194492534863</v>
      </c>
      <c r="I285" s="304">
        <f t="shared" ca="1" si="129"/>
        <v>62.983902685187068</v>
      </c>
      <c r="J285" s="306">
        <f t="shared" ca="1" si="130"/>
        <v>304.13898686038601</v>
      </c>
      <c r="K285" s="307">
        <f t="shared" ca="1" si="131"/>
        <v>1223.4297433243896</v>
      </c>
      <c r="L285" s="304">
        <f t="shared" ca="1" si="116"/>
        <v>1260.666831553541</v>
      </c>
      <c r="M285" s="306">
        <f t="shared" ca="1" si="132"/>
        <v>1.1585059274379377</v>
      </c>
      <c r="N285" s="304">
        <f t="shared" ca="1" si="133"/>
        <v>66.377500183083029</v>
      </c>
      <c r="P285" s="310">
        <f t="shared" ca="1" si="134"/>
        <v>23</v>
      </c>
      <c r="Q285" s="304">
        <f t="shared" ca="1" si="135"/>
        <v>0</v>
      </c>
      <c r="R285" s="306">
        <f t="shared" ca="1" si="136"/>
        <v>0</v>
      </c>
      <c r="S285" s="307">
        <f t="shared" ca="1" si="137"/>
        <v>7.4499999999999984</v>
      </c>
      <c r="T285" s="304">
        <f t="shared" ca="1" si="117"/>
        <v>73.084499999999991</v>
      </c>
      <c r="U285" s="311">
        <f t="shared" ca="1" si="118"/>
        <v>0</v>
      </c>
      <c r="V285" s="306">
        <f t="shared" ca="1" si="119"/>
        <v>1.0837691571345791</v>
      </c>
      <c r="W285" s="304">
        <f t="shared" ca="1" si="120"/>
        <v>14.111062588756772</v>
      </c>
      <c r="Y285" s="314" t="str">
        <f t="shared" ca="1" si="138"/>
        <v/>
      </c>
      <c r="Z285" s="315" t="str">
        <f t="shared" ca="1" si="139"/>
        <v/>
      </c>
      <c r="AA285" s="316" t="str">
        <f t="shared" ca="1" si="140"/>
        <v/>
      </c>
      <c r="AC285" s="310" t="e">
        <f t="shared" ca="1" si="141"/>
        <v>#N/A</v>
      </c>
      <c r="AD285" s="323" t="e">
        <f t="shared" ca="1" si="142"/>
        <v>#N/A</v>
      </c>
      <c r="AE285" s="324">
        <f t="shared" ca="1" si="121"/>
        <v>1223.4297433243896</v>
      </c>
      <c r="AG285" s="306">
        <f t="shared" ca="1" si="143"/>
        <v>-10.973747515848913</v>
      </c>
      <c r="AH285" s="304">
        <f t="shared" ca="1" si="144"/>
        <v>-1.9617540243065124</v>
      </c>
    </row>
    <row r="286" spans="1:34" x14ac:dyDescent="0.2">
      <c r="A286" s="347">
        <f t="shared" ca="1" si="122"/>
        <v>0.1</v>
      </c>
      <c r="B286" s="304">
        <f t="shared" ca="1" si="123"/>
        <v>10.199999999999982</v>
      </c>
      <c r="D286" s="306">
        <f t="shared" ca="1" si="124"/>
        <v>-0.7589835855510122</v>
      </c>
      <c r="E286" s="307">
        <f t="shared" ca="1" si="125"/>
        <v>-11.545386893593879</v>
      </c>
      <c r="F286" s="304">
        <f t="shared" ca="1" si="126"/>
        <v>11.570307455115667</v>
      </c>
      <c r="G286" s="306">
        <f t="shared" ca="1" si="127"/>
        <v>25.162309078718522</v>
      </c>
      <c r="H286" s="307">
        <f t="shared" ca="1" si="128"/>
        <v>56.551655803175478</v>
      </c>
      <c r="I286" s="304">
        <f t="shared" ca="1" si="129"/>
        <v>61.8969431575889</v>
      </c>
      <c r="J286" s="306">
        <f t="shared" ca="1" si="130"/>
        <v>306.65901268618563</v>
      </c>
      <c r="K286" s="307">
        <f t="shared" ca="1" si="131"/>
        <v>1229.1426358391752</v>
      </c>
      <c r="L286" s="304">
        <f t="shared" ca="1" si="116"/>
        <v>1266.8193909548991</v>
      </c>
      <c r="M286" s="306">
        <f t="shared" ca="1" si="132"/>
        <v>1.1521550802431608</v>
      </c>
      <c r="N286" s="304">
        <f t="shared" ca="1" si="133"/>
        <v>66.013623442489816</v>
      </c>
      <c r="P286" s="310">
        <f t="shared" ca="1" si="134"/>
        <v>23</v>
      </c>
      <c r="Q286" s="304">
        <f t="shared" ca="1" si="135"/>
        <v>0</v>
      </c>
      <c r="R286" s="306">
        <f t="shared" ca="1" si="136"/>
        <v>0</v>
      </c>
      <c r="S286" s="307">
        <f t="shared" ca="1" si="137"/>
        <v>7.4499999999999984</v>
      </c>
      <c r="T286" s="304">
        <f t="shared" ca="1" si="117"/>
        <v>73.084499999999991</v>
      </c>
      <c r="U286" s="311">
        <f t="shared" ca="1" si="118"/>
        <v>0</v>
      </c>
      <c r="V286" s="306">
        <f t="shared" ca="1" si="119"/>
        <v>1.0831478531911074</v>
      </c>
      <c r="W286" s="304">
        <f t="shared" ca="1" si="120"/>
        <v>13.620402516654886</v>
      </c>
      <c r="Y286" s="314" t="str">
        <f t="shared" ca="1" si="138"/>
        <v/>
      </c>
      <c r="Z286" s="315" t="str">
        <f t="shared" ca="1" si="139"/>
        <v/>
      </c>
      <c r="AA286" s="316" t="str">
        <f t="shared" ca="1" si="140"/>
        <v/>
      </c>
      <c r="AC286" s="310" t="e">
        <f t="shared" ca="1" si="141"/>
        <v>#N/A</v>
      </c>
      <c r="AD286" s="323" t="e">
        <f t="shared" ca="1" si="142"/>
        <v>#N/A</v>
      </c>
      <c r="AE286" s="324">
        <f t="shared" ca="1" si="121"/>
        <v>1229.1426358391752</v>
      </c>
      <c r="AG286" s="306">
        <f t="shared" ca="1" si="143"/>
        <v>-10.882077761562858</v>
      </c>
      <c r="AH286" s="304">
        <f t="shared" ca="1" si="144"/>
        <v>-1.8941023609069496</v>
      </c>
    </row>
    <row r="287" spans="1:34" x14ac:dyDescent="0.2">
      <c r="A287" s="347">
        <f t="shared" ca="1" si="122"/>
        <v>0.1</v>
      </c>
      <c r="B287" s="304">
        <f t="shared" ca="1" si="123"/>
        <v>10.299999999999981</v>
      </c>
      <c r="D287" s="306">
        <f t="shared" ca="1" si="124"/>
        <v>-0.74321584610127212</v>
      </c>
      <c r="E287" s="307">
        <f t="shared" ca="1" si="125"/>
        <v>-11.480358892130958</v>
      </c>
      <c r="F287" s="304">
        <f t="shared" ca="1" si="126"/>
        <v>11.504390904607961</v>
      </c>
      <c r="G287" s="306">
        <f t="shared" ca="1" si="127"/>
        <v>25.087987494108393</v>
      </c>
      <c r="H287" s="307">
        <f t="shared" ca="1" si="128"/>
        <v>55.40361991396238</v>
      </c>
      <c r="I287" s="304">
        <f t="shared" ca="1" si="129"/>
        <v>60.819143500014434</v>
      </c>
      <c r="J287" s="306">
        <f t="shared" ca="1" si="130"/>
        <v>309.17152751482701</v>
      </c>
      <c r="K287" s="307">
        <f t="shared" ca="1" si="131"/>
        <v>1234.7403996250321</v>
      </c>
      <c r="L287" s="304">
        <f t="shared" ca="1" si="116"/>
        <v>1272.8593354695699</v>
      </c>
      <c r="M287" s="306">
        <f t="shared" ca="1" si="132"/>
        <v>1.1455979605561855</v>
      </c>
      <c r="N287" s="304">
        <f t="shared" ca="1" si="133"/>
        <v>65.637928158663982</v>
      </c>
      <c r="P287" s="310">
        <f t="shared" ca="1" si="134"/>
        <v>23</v>
      </c>
      <c r="Q287" s="304">
        <f t="shared" ca="1" si="135"/>
        <v>0</v>
      </c>
      <c r="R287" s="306">
        <f t="shared" ca="1" si="136"/>
        <v>0</v>
      </c>
      <c r="S287" s="307">
        <f t="shared" ca="1" si="137"/>
        <v>7.4499999999999984</v>
      </c>
      <c r="T287" s="304">
        <f t="shared" ca="1" si="117"/>
        <v>73.084499999999991</v>
      </c>
      <c r="U287" s="311">
        <f t="shared" ca="1" si="118"/>
        <v>0</v>
      </c>
      <c r="V287" s="306">
        <f t="shared" ca="1" si="119"/>
        <v>1.0825393943061934</v>
      </c>
      <c r="W287" s="304">
        <f t="shared" ca="1" si="120"/>
        <v>13.142806236340988</v>
      </c>
      <c r="Y287" s="314" t="str">
        <f t="shared" ca="1" si="138"/>
        <v/>
      </c>
      <c r="Z287" s="315" t="str">
        <f t="shared" ca="1" si="139"/>
        <v/>
      </c>
      <c r="AA287" s="316" t="str">
        <f t="shared" ca="1" si="140"/>
        <v/>
      </c>
      <c r="AC287" s="310" t="e">
        <f t="shared" ca="1" si="141"/>
        <v>#N/A</v>
      </c>
      <c r="AD287" s="323" t="e">
        <f t="shared" ca="1" si="142"/>
        <v>#N/A</v>
      </c>
      <c r="AE287" s="324">
        <f t="shared" ca="1" si="121"/>
        <v>1234.7403996250321</v>
      </c>
      <c r="AG287" s="306">
        <f t="shared" ca="1" si="143"/>
        <v>-10.791071373201149</v>
      </c>
      <c r="AH287" s="304">
        <f t="shared" ca="1" si="144"/>
        <v>-1.8282419485442805</v>
      </c>
    </row>
    <row r="288" spans="1:34" x14ac:dyDescent="0.2">
      <c r="A288" s="347">
        <f t="shared" ca="1" si="122"/>
        <v>0.1</v>
      </c>
      <c r="B288" s="304">
        <f t="shared" ca="1" si="123"/>
        <v>10.399999999999981</v>
      </c>
      <c r="D288" s="306">
        <f t="shared" ca="1" si="124"/>
        <v>-0.72770834820567709</v>
      </c>
      <c r="E288" s="307">
        <f t="shared" ca="1" si="125"/>
        <v>-11.417051053484176</v>
      </c>
      <c r="F288" s="304">
        <f t="shared" ca="1" si="126"/>
        <v>11.440219149907591</v>
      </c>
      <c r="G288" s="306">
        <f t="shared" ca="1" si="127"/>
        <v>25.015216659287827</v>
      </c>
      <c r="H288" s="307">
        <f t="shared" ca="1" si="128"/>
        <v>54.261914808613966</v>
      </c>
      <c r="I288" s="304">
        <f t="shared" ca="1" si="129"/>
        <v>59.750451573259184</v>
      </c>
      <c r="J288" s="306">
        <f t="shared" ca="1" si="130"/>
        <v>311.67668772249681</v>
      </c>
      <c r="K288" s="307">
        <f t="shared" ca="1" si="131"/>
        <v>1240.2236763611609</v>
      </c>
      <c r="L288" s="304">
        <f t="shared" ca="1" si="116"/>
        <v>1278.7873650753907</v>
      </c>
      <c r="M288" s="306">
        <f t="shared" ca="1" si="132"/>
        <v>1.1388253413123433</v>
      </c>
      <c r="N288" s="304">
        <f t="shared" ca="1" si="133"/>
        <v>65.249885659742745</v>
      </c>
      <c r="P288" s="310">
        <f t="shared" ca="1" si="134"/>
        <v>23</v>
      </c>
      <c r="Q288" s="304">
        <f t="shared" ca="1" si="135"/>
        <v>0</v>
      </c>
      <c r="R288" s="306">
        <f t="shared" ca="1" si="136"/>
        <v>0</v>
      </c>
      <c r="S288" s="307">
        <f t="shared" ca="1" si="137"/>
        <v>7.4499999999999984</v>
      </c>
      <c r="T288" s="304">
        <f t="shared" ca="1" si="117"/>
        <v>73.084499999999991</v>
      </c>
      <c r="U288" s="311">
        <f t="shared" ca="1" si="118"/>
        <v>0</v>
      </c>
      <c r="V288" s="306">
        <f t="shared" ca="1" si="119"/>
        <v>1.0819436907358688</v>
      </c>
      <c r="W288" s="304">
        <f t="shared" ca="1" si="120"/>
        <v>12.678002657350607</v>
      </c>
      <c r="Y288" s="314" t="str">
        <f t="shared" ca="1" si="138"/>
        <v/>
      </c>
      <c r="Z288" s="315" t="str">
        <f t="shared" ca="1" si="139"/>
        <v/>
      </c>
      <c r="AA288" s="316" t="str">
        <f t="shared" ca="1" si="140"/>
        <v/>
      </c>
      <c r="AC288" s="310" t="e">
        <f t="shared" ca="1" si="141"/>
        <v>#N/A</v>
      </c>
      <c r="AD288" s="323" t="e">
        <f t="shared" ca="1" si="142"/>
        <v>#N/A</v>
      </c>
      <c r="AE288" s="324">
        <f t="shared" ca="1" si="121"/>
        <v>1240.2236763611609</v>
      </c>
      <c r="AG288" s="306">
        <f t="shared" ca="1" si="143"/>
        <v>-10.700622494700683</v>
      </c>
      <c r="AH288" s="304">
        <f t="shared" ca="1" si="144"/>
        <v>-1.76413506528067</v>
      </c>
    </row>
    <row r="289" spans="1:34" x14ac:dyDescent="0.2">
      <c r="A289" s="347">
        <f t="shared" ca="1" si="122"/>
        <v>0.1</v>
      </c>
      <c r="B289" s="304">
        <f t="shared" ca="1" si="123"/>
        <v>10.49999999999998</v>
      </c>
      <c r="D289" s="306">
        <f t="shared" ca="1" si="124"/>
        <v>-0.71245533441601916</v>
      </c>
      <c r="E289" s="307">
        <f t="shared" ca="1" si="125"/>
        <v>-11.355426977010449</v>
      </c>
      <c r="F289" s="304">
        <f t="shared" ca="1" si="126"/>
        <v>11.37775524581868</v>
      </c>
      <c r="G289" s="306">
        <f t="shared" ca="1" si="127"/>
        <v>24.943971125846225</v>
      </c>
      <c r="H289" s="307">
        <f t="shared" ca="1" si="128"/>
        <v>53.126372110912918</v>
      </c>
      <c r="I289" s="304">
        <f t="shared" ca="1" si="129"/>
        <v>58.690826448383191</v>
      </c>
      <c r="J289" s="306">
        <f t="shared" ca="1" si="130"/>
        <v>314.17464711175353</v>
      </c>
      <c r="K289" s="307">
        <f t="shared" ca="1" si="131"/>
        <v>1245.5930907071372</v>
      </c>
      <c r="L289" s="304">
        <f t="shared" ca="1" si="116"/>
        <v>1284.6041633535028</v>
      </c>
      <c r="M289" s="306">
        <f t="shared" ca="1" si="132"/>
        <v>1.131827478829829</v>
      </c>
      <c r="N289" s="304">
        <f t="shared" ca="1" si="133"/>
        <v>64.848937673881736</v>
      </c>
      <c r="P289" s="310">
        <f t="shared" ca="1" si="134"/>
        <v>23</v>
      </c>
      <c r="Q289" s="304">
        <f t="shared" ca="1" si="135"/>
        <v>0</v>
      </c>
      <c r="R289" s="306">
        <f t="shared" ca="1" si="136"/>
        <v>0</v>
      </c>
      <c r="S289" s="307">
        <f t="shared" ca="1" si="137"/>
        <v>7.4499999999999984</v>
      </c>
      <c r="T289" s="304">
        <f t="shared" ca="1" si="117"/>
        <v>73.084499999999991</v>
      </c>
      <c r="U289" s="311">
        <f t="shared" ca="1" si="118"/>
        <v>0</v>
      </c>
      <c r="V289" s="306">
        <f t="shared" ca="1" si="119"/>
        <v>1.0813606551625379</v>
      </c>
      <c r="W289" s="304">
        <f t="shared" ca="1" si="120"/>
        <v>12.225730270680931</v>
      </c>
      <c r="Y289" s="314" t="str">
        <f t="shared" ca="1" si="138"/>
        <v/>
      </c>
      <c r="Z289" s="315" t="str">
        <f t="shared" ca="1" si="139"/>
        <v/>
      </c>
      <c r="AA289" s="316" t="str">
        <f t="shared" ca="1" si="140"/>
        <v/>
      </c>
      <c r="AC289" s="310" t="e">
        <f t="shared" ca="1" si="141"/>
        <v>#N/A</v>
      </c>
      <c r="AD289" s="323" t="e">
        <f t="shared" ca="1" si="142"/>
        <v>#N/A</v>
      </c>
      <c r="AE289" s="324">
        <f t="shared" ca="1" si="121"/>
        <v>1245.5930907071372</v>
      </c>
      <c r="AG289" s="306">
        <f t="shared" ca="1" si="143"/>
        <v>-10.610621662250274</v>
      </c>
      <c r="AH289" s="304">
        <f t="shared" ca="1" si="144"/>
        <v>-1.70174532313431</v>
      </c>
    </row>
    <row r="290" spans="1:34" x14ac:dyDescent="0.2">
      <c r="A290" s="347">
        <f t="shared" ca="1" si="122"/>
        <v>0.1</v>
      </c>
      <c r="B290" s="304">
        <f t="shared" ca="1" si="123"/>
        <v>10.59999999999998</v>
      </c>
      <c r="D290" s="306">
        <f t="shared" ca="1" si="124"/>
        <v>-0.69745133085382094</v>
      </c>
      <c r="E290" s="307">
        <f t="shared" ca="1" si="125"/>
        <v>-11.295451484258583</v>
      </c>
      <c r="F290" s="304">
        <f t="shared" ca="1" si="126"/>
        <v>11.316963488151281</v>
      </c>
      <c r="G290" s="306">
        <f t="shared" ca="1" si="127"/>
        <v>24.874225992760842</v>
      </c>
      <c r="H290" s="307">
        <f t="shared" ca="1" si="128"/>
        <v>51.996826962487063</v>
      </c>
      <c r="I290" s="304">
        <f t="shared" ca="1" si="129"/>
        <v>57.640238834565572</v>
      </c>
      <c r="J290" s="306">
        <f t="shared" ca="1" si="130"/>
        <v>316.66555696768387</v>
      </c>
      <c r="K290" s="307">
        <f t="shared" ca="1" si="131"/>
        <v>1250.8492506608072</v>
      </c>
      <c r="L290" s="304">
        <f t="shared" ca="1" si="116"/>
        <v>1290.3103978688059</v>
      </c>
      <c r="M290" s="306">
        <f t="shared" ca="1" si="132"/>
        <v>1.124594080308948</v>
      </c>
      <c r="N290" s="304">
        <f t="shared" ca="1" si="133"/>
        <v>64.434494467099086</v>
      </c>
      <c r="P290" s="310">
        <f t="shared" ca="1" si="134"/>
        <v>23</v>
      </c>
      <c r="Q290" s="304">
        <f t="shared" ca="1" si="135"/>
        <v>0</v>
      </c>
      <c r="R290" s="306">
        <f t="shared" ca="1" si="136"/>
        <v>0</v>
      </c>
      <c r="S290" s="307">
        <f t="shared" ca="1" si="137"/>
        <v>7.4499999999999984</v>
      </c>
      <c r="T290" s="304">
        <f t="shared" ca="1" si="117"/>
        <v>73.084499999999991</v>
      </c>
      <c r="U290" s="311">
        <f t="shared" ca="1" si="118"/>
        <v>0</v>
      </c>
      <c r="V290" s="306">
        <f t="shared" ca="1" si="119"/>
        <v>1.0807902026421987</v>
      </c>
      <c r="W290" s="304">
        <f t="shared" ca="1" si="120"/>
        <v>11.78573680849413</v>
      </c>
      <c r="Y290" s="314" t="str">
        <f t="shared" ca="1" si="138"/>
        <v/>
      </c>
      <c r="Z290" s="315" t="str">
        <f t="shared" ca="1" si="139"/>
        <v/>
      </c>
      <c r="AA290" s="316" t="str">
        <f t="shared" ca="1" si="140"/>
        <v/>
      </c>
      <c r="AC290" s="310" t="e">
        <f t="shared" ca="1" si="141"/>
        <v>#N/A</v>
      </c>
      <c r="AD290" s="323" t="e">
        <f t="shared" ca="1" si="142"/>
        <v>#N/A</v>
      </c>
      <c r="AE290" s="324">
        <f t="shared" ca="1" si="121"/>
        <v>1250.8492506608072</v>
      </c>
      <c r="AG290" s="306">
        <f t="shared" ca="1" si="143"/>
        <v>-10.520955350919175</v>
      </c>
      <c r="AH290" s="304">
        <f t="shared" ca="1" si="144"/>
        <v>-1.6410376202256287</v>
      </c>
    </row>
    <row r="291" spans="1:34" x14ac:dyDescent="0.2">
      <c r="A291" s="347">
        <f t="shared" ca="1" si="122"/>
        <v>0.1</v>
      </c>
      <c r="B291" s="304">
        <f t="shared" ca="1" si="123"/>
        <v>10.69999999999998</v>
      </c>
      <c r="D291" s="306">
        <f t="shared" ca="1" si="124"/>
        <v>-0.68269114508793804</v>
      </c>
      <c r="E291" s="307">
        <f t="shared" ca="1" si="125"/>
        <v>-11.237090569583577</v>
      </c>
      <c r="F291" s="304">
        <f t="shared" ca="1" si="126"/>
        <v>11.257809363664213</v>
      </c>
      <c r="G291" s="306">
        <f t="shared" ca="1" si="127"/>
        <v>24.805956878252047</v>
      </c>
      <c r="H291" s="307">
        <f t="shared" ca="1" si="128"/>
        <v>50.873117905528709</v>
      </c>
      <c r="I291" s="304">
        <f t="shared" ca="1" si="129"/>
        <v>56.598671557515608</v>
      </c>
      <c r="J291" s="306">
        <f t="shared" ca="1" si="130"/>
        <v>319.14956611123449</v>
      </c>
      <c r="K291" s="307">
        <f t="shared" ca="1" si="131"/>
        <v>1255.992747904208</v>
      </c>
      <c r="L291" s="304">
        <f t="shared" ca="1" si="116"/>
        <v>1295.9067205385397</v>
      </c>
      <c r="M291" s="306">
        <f t="shared" ca="1" si="132"/>
        <v>1.1171142693262623</v>
      </c>
      <c r="N291" s="304">
        <f t="shared" ca="1" si="133"/>
        <v>64.005932866235597</v>
      </c>
      <c r="P291" s="310">
        <f t="shared" ca="1" si="134"/>
        <v>23</v>
      </c>
      <c r="Q291" s="304">
        <f t="shared" ca="1" si="135"/>
        <v>0</v>
      </c>
      <c r="R291" s="306">
        <f t="shared" ca="1" si="136"/>
        <v>0</v>
      </c>
      <c r="S291" s="307">
        <f t="shared" ca="1" si="137"/>
        <v>7.4499999999999984</v>
      </c>
      <c r="T291" s="304">
        <f t="shared" ca="1" si="117"/>
        <v>73.084499999999991</v>
      </c>
      <c r="U291" s="311">
        <f t="shared" ca="1" si="118"/>
        <v>0</v>
      </c>
      <c r="V291" s="306">
        <f t="shared" ca="1" si="119"/>
        <v>1.0802322505534956</v>
      </c>
      <c r="W291" s="304">
        <f t="shared" ca="1" si="120"/>
        <v>11.35777891921777</v>
      </c>
      <c r="Y291" s="314" t="str">
        <f t="shared" ca="1" si="138"/>
        <v/>
      </c>
      <c r="Z291" s="315" t="str">
        <f t="shared" ca="1" si="139"/>
        <v/>
      </c>
      <c r="AA291" s="316" t="str">
        <f t="shared" ca="1" si="140"/>
        <v/>
      </c>
      <c r="AC291" s="310" t="e">
        <f t="shared" ca="1" si="141"/>
        <v>#N/A</v>
      </c>
      <c r="AD291" s="323" t="e">
        <f t="shared" ca="1" si="142"/>
        <v>#N/A</v>
      </c>
      <c r="AE291" s="324">
        <f t="shared" ca="1" si="121"/>
        <v>1255.992747904208</v>
      </c>
      <c r="AG291" s="306">
        <f t="shared" ca="1" si="143"/>
        <v>-10.431505488038257</v>
      </c>
      <c r="AH291" s="304">
        <f t="shared" ca="1" si="144"/>
        <v>-1.5819780950998836</v>
      </c>
    </row>
    <row r="292" spans="1:34" x14ac:dyDescent="0.2">
      <c r="A292" s="347">
        <f t="shared" ca="1" si="122"/>
        <v>0.1</v>
      </c>
      <c r="B292" s="304">
        <f t="shared" ca="1" si="123"/>
        <v>10.799999999999979</v>
      </c>
      <c r="D292" s="306">
        <f t="shared" ca="1" si="124"/>
        <v>-0.66816986484890772</v>
      </c>
      <c r="E292" s="307">
        <f t="shared" ca="1" si="125"/>
        <v>-11.180311352318004</v>
      </c>
      <c r="F292" s="304">
        <f t="shared" ca="1" si="126"/>
        <v>11.200259501594731</v>
      </c>
      <c r="G292" s="306">
        <f t="shared" ca="1" si="127"/>
        <v>24.739139891767156</v>
      </c>
      <c r="H292" s="307">
        <f t="shared" ca="1" si="128"/>
        <v>49.755086770296906</v>
      </c>
      <c r="I292" s="304">
        <f t="shared" ca="1" si="129"/>
        <v>55.566120092230655</v>
      </c>
      <c r="J292" s="306">
        <f t="shared" ca="1" si="130"/>
        <v>321.62682094973547</v>
      </c>
      <c r="K292" s="307">
        <f t="shared" ca="1" si="131"/>
        <v>1261.0241581379994</v>
      </c>
      <c r="L292" s="304">
        <f t="shared" ca="1" si="116"/>
        <v>1301.3937679894902</v>
      </c>
      <c r="M292" s="306">
        <f t="shared" ca="1" si="132"/>
        <v>1.1093765492497598</v>
      </c>
      <c r="N292" s="304">
        <f t="shared" ca="1" si="133"/>
        <v>63.562594162798348</v>
      </c>
      <c r="P292" s="310">
        <f t="shared" ca="1" si="134"/>
        <v>23</v>
      </c>
      <c r="Q292" s="304">
        <f t="shared" ca="1" si="135"/>
        <v>0</v>
      </c>
      <c r="R292" s="306">
        <f t="shared" ca="1" si="136"/>
        <v>0</v>
      </c>
      <c r="S292" s="307">
        <f t="shared" ca="1" si="137"/>
        <v>7.4499999999999984</v>
      </c>
      <c r="T292" s="304">
        <f t="shared" ca="1" si="117"/>
        <v>73.084499999999991</v>
      </c>
      <c r="U292" s="311">
        <f t="shared" ca="1" si="118"/>
        <v>0</v>
      </c>
      <c r="V292" s="306">
        <f t="shared" ca="1" si="119"/>
        <v>1.0796867185485259</v>
      </c>
      <c r="W292" s="304">
        <f t="shared" ca="1" si="120"/>
        <v>10.941621857270315</v>
      </c>
      <c r="Y292" s="314" t="str">
        <f t="shared" ca="1" si="138"/>
        <v/>
      </c>
      <c r="Z292" s="315" t="str">
        <f t="shared" ca="1" si="139"/>
        <v/>
      </c>
      <c r="AA292" s="316" t="str">
        <f t="shared" ca="1" si="140"/>
        <v/>
      </c>
      <c r="AC292" s="310" t="e">
        <f t="shared" ca="1" si="141"/>
        <v>#N/A</v>
      </c>
      <c r="AD292" s="323" t="e">
        <f t="shared" ca="1" si="142"/>
        <v>#N/A</v>
      </c>
      <c r="AE292" s="324">
        <f t="shared" ca="1" si="121"/>
        <v>1261.0241581379994</v>
      </c>
      <c r="AG292" s="306">
        <f t="shared" ca="1" si="143"/>
        <v>-10.342148930243876</v>
      </c>
      <c r="AH292" s="304">
        <f t="shared" ca="1" si="144"/>
        <v>-1.5245340831164795</v>
      </c>
    </row>
    <row r="293" spans="1:34" x14ac:dyDescent="0.2">
      <c r="A293" s="347">
        <f t="shared" ca="1" si="122"/>
        <v>0.1</v>
      </c>
      <c r="B293" s="304">
        <f t="shared" ca="1" si="123"/>
        <v>10.899999999999979</v>
      </c>
      <c r="D293" s="306">
        <f t="shared" ca="1" si="124"/>
        <v>-0.65388285760486986</v>
      </c>
      <c r="E293" s="307">
        <f t="shared" ca="1" si="125"/>
        <v>-11.125082030340387</v>
      </c>
      <c r="F293" s="304">
        <f t="shared" ca="1" si="126"/>
        <v>11.14428162661336</v>
      </c>
      <c r="G293" s="306">
        <f t="shared" ca="1" si="127"/>
        <v>24.673751606006668</v>
      </c>
      <c r="H293" s="307">
        <f t="shared" ca="1" si="128"/>
        <v>48.642578567262866</v>
      </c>
      <c r="I293" s="304">
        <f t="shared" ca="1" si="129"/>
        <v>54.542593154224505</v>
      </c>
      <c r="J293" s="306">
        <f t="shared" ca="1" si="130"/>
        <v>324.09746552462417</v>
      </c>
      <c r="K293" s="307">
        <f t="shared" ca="1" si="131"/>
        <v>1265.9440414048775</v>
      </c>
      <c r="L293" s="304">
        <f t="shared" ca="1" si="116"/>
        <v>1306.7721619042852</v>
      </c>
      <c r="M293" s="306">
        <f t="shared" ca="1" si="132"/>
        <v>1.1013687645130656</v>
      </c>
      <c r="N293" s="304">
        <f t="shared" ca="1" si="133"/>
        <v>63.103781894136496</v>
      </c>
      <c r="P293" s="310">
        <f t="shared" ca="1" si="134"/>
        <v>23</v>
      </c>
      <c r="Q293" s="304">
        <f t="shared" ca="1" si="135"/>
        <v>0</v>
      </c>
      <c r="R293" s="306">
        <f t="shared" ca="1" si="136"/>
        <v>0</v>
      </c>
      <c r="S293" s="307">
        <f t="shared" ca="1" si="137"/>
        <v>7.4499999999999984</v>
      </c>
      <c r="T293" s="304">
        <f t="shared" ca="1" si="117"/>
        <v>73.084499999999991</v>
      </c>
      <c r="U293" s="311">
        <f t="shared" ca="1" si="118"/>
        <v>0</v>
      </c>
      <c r="V293" s="306">
        <f t="shared" ca="1" si="119"/>
        <v>1.0791535285053326</v>
      </c>
      <c r="W293" s="304">
        <f t="shared" ca="1" si="120"/>
        <v>10.537039186681357</v>
      </c>
      <c r="Y293" s="314" t="str">
        <f t="shared" ca="1" si="138"/>
        <v/>
      </c>
      <c r="Z293" s="315" t="str">
        <f t="shared" ca="1" si="139"/>
        <v/>
      </c>
      <c r="AA293" s="316" t="str">
        <f t="shared" ca="1" si="140"/>
        <v/>
      </c>
      <c r="AC293" s="310" t="e">
        <f t="shared" ca="1" si="141"/>
        <v>#N/A</v>
      </c>
      <c r="AD293" s="323" t="e">
        <f t="shared" ca="1" si="142"/>
        <v>#N/A</v>
      </c>
      <c r="AE293" s="324">
        <f t="shared" ca="1" si="121"/>
        <v>1265.9440414048775</v>
      </c>
      <c r="AG293" s="306">
        <f t="shared" ca="1" si="143"/>
        <v>-10.252756900927286</v>
      </c>
      <c r="AH293" s="304">
        <f t="shared" ca="1" si="144"/>
        <v>-1.4686740748013849</v>
      </c>
    </row>
    <row r="294" spans="1:34" x14ac:dyDescent="0.2">
      <c r="A294" s="347">
        <f t="shared" ca="1" si="122"/>
        <v>0.1</v>
      </c>
      <c r="B294" s="304">
        <f t="shared" ca="1" si="123"/>
        <v>10.999999999999979</v>
      </c>
      <c r="D294" s="306">
        <f t="shared" ca="1" si="124"/>
        <v>-0.63982577102827376</v>
      </c>
      <c r="E294" s="307">
        <f t="shared" ca="1" si="125"/>
        <v>-11.071371834878395</v>
      </c>
      <c r="F294" s="304">
        <f t="shared" ca="1" si="126"/>
        <v>11.089844513040321</v>
      </c>
      <c r="G294" s="306">
        <f t="shared" ca="1" si="127"/>
        <v>24.609769028903841</v>
      </c>
      <c r="H294" s="307">
        <f t="shared" ca="1" si="128"/>
        <v>47.53544138377503</v>
      </c>
      <c r="I294" s="304">
        <f t="shared" ca="1" si="129"/>
        <v>53.52811335369767</v>
      </c>
      <c r="J294" s="306">
        <f t="shared" ca="1" si="130"/>
        <v>326.56164155636969</v>
      </c>
      <c r="K294" s="307">
        <f t="shared" ca="1" si="131"/>
        <v>1270.7529424024294</v>
      </c>
      <c r="L294" s="304">
        <f t="shared" ca="1" si="116"/>
        <v>1312.0425093572323</v>
      </c>
      <c r="M294" s="306">
        <f t="shared" ca="1" si="132"/>
        <v>1.093078059703448</v>
      </c>
      <c r="N294" s="304">
        <f t="shared" ca="1" si="133"/>
        <v>62.62875949935659</v>
      </c>
      <c r="P294" s="310">
        <f t="shared" ca="1" si="134"/>
        <v>23</v>
      </c>
      <c r="Q294" s="304">
        <f t="shared" ca="1" si="135"/>
        <v>0</v>
      </c>
      <c r="R294" s="306">
        <f t="shared" ca="1" si="136"/>
        <v>0</v>
      </c>
      <c r="S294" s="307">
        <f t="shared" ca="1" si="137"/>
        <v>7.4499999999999984</v>
      </c>
      <c r="T294" s="304">
        <f t="shared" ca="1" si="117"/>
        <v>73.084499999999991</v>
      </c>
      <c r="U294" s="311">
        <f t="shared" ca="1" si="118"/>
        <v>0</v>
      </c>
      <c r="V294" s="306">
        <f t="shared" ca="1" si="119"/>
        <v>1.0786326044820156</v>
      </c>
      <c r="W294" s="304">
        <f t="shared" ca="1" si="120"/>
        <v>10.143812497915162</v>
      </c>
      <c r="Y294" s="314" t="str">
        <f t="shared" ca="1" si="138"/>
        <v/>
      </c>
      <c r="Z294" s="315" t="str">
        <f t="shared" ca="1" si="139"/>
        <v/>
      </c>
      <c r="AA294" s="316" t="str">
        <f t="shared" ca="1" si="140"/>
        <v/>
      </c>
      <c r="AC294" s="310">
        <f t="shared" ca="1" si="141"/>
        <v>10.999999999999979</v>
      </c>
      <c r="AD294" s="323">
        <f t="shared" ca="1" si="142"/>
        <v>326.56164155636969</v>
      </c>
      <c r="AE294" s="324">
        <f t="shared" ca="1" si="121"/>
        <v>1270.7529424024294</v>
      </c>
      <c r="AG294" s="306">
        <f t="shared" ca="1" si="143"/>
        <v>-10.163194384680491</v>
      </c>
      <c r="AH294" s="304">
        <f t="shared" ca="1" si="144"/>
        <v>-1.414367676064612</v>
      </c>
    </row>
    <row r="295" spans="1:34" x14ac:dyDescent="0.2">
      <c r="A295" s="347">
        <f t="shared" ca="1" si="122"/>
        <v>0.1</v>
      </c>
      <c r="B295" s="304">
        <f t="shared" ca="1" si="123"/>
        <v>11.099999999999978</v>
      </c>
      <c r="D295" s="306">
        <f t="shared" ca="1" si="124"/>
        <v>-0.62599453438701125</v>
      </c>
      <c r="E295" s="307">
        <f t="shared" ca="1" si="125"/>
        <v>-11.019150986381392</v>
      </c>
      <c r="F295" s="304">
        <f t="shared" ca="1" si="126"/>
        <v>11.036917940156682</v>
      </c>
      <c r="G295" s="306">
        <f t="shared" ca="1" si="127"/>
        <v>24.547169575465141</v>
      </c>
      <c r="H295" s="307">
        <f t="shared" ca="1" si="128"/>
        <v>46.433526285136892</v>
      </c>
      <c r="I295" s="304">
        <f t="shared" ca="1" si="129"/>
        <v>52.522717917479675</v>
      </c>
      <c r="J295" s="306">
        <f t="shared" ca="1" si="130"/>
        <v>329.01948848658816</v>
      </c>
      <c r="K295" s="307">
        <f t="shared" ca="1" si="131"/>
        <v>1275.451390785875</v>
      </c>
      <c r="L295" s="304">
        <f t="shared" ca="1" si="116"/>
        <v>1317.2054031401478</v>
      </c>
      <c r="M295" s="306">
        <f t="shared" ca="1" si="132"/>
        <v>1.0844908364410455</v>
      </c>
      <c r="N295" s="304">
        <f t="shared" ca="1" si="133"/>
        <v>62.136747848684365</v>
      </c>
      <c r="P295" s="310">
        <f t="shared" ca="1" si="134"/>
        <v>23</v>
      </c>
      <c r="Q295" s="304">
        <f t="shared" ca="1" si="135"/>
        <v>0</v>
      </c>
      <c r="R295" s="306">
        <f t="shared" ca="1" si="136"/>
        <v>0</v>
      </c>
      <c r="S295" s="307">
        <f t="shared" ca="1" si="137"/>
        <v>7.4499999999999984</v>
      </c>
      <c r="T295" s="304">
        <f t="shared" ca="1" si="117"/>
        <v>73.084499999999991</v>
      </c>
      <c r="U295" s="311">
        <f t="shared" ca="1" si="118"/>
        <v>0</v>
      </c>
      <c r="V295" s="306">
        <f t="shared" ca="1" si="119"/>
        <v>1.0781238726723925</v>
      </c>
      <c r="W295" s="304">
        <f t="shared" ca="1" si="120"/>
        <v>9.761731137242494</v>
      </c>
      <c r="Y295" s="314" t="str">
        <f t="shared" ca="1" si="138"/>
        <v/>
      </c>
      <c r="Z295" s="315" t="str">
        <f t="shared" ca="1" si="139"/>
        <v/>
      </c>
      <c r="AA295" s="316" t="str">
        <f t="shared" ca="1" si="140"/>
        <v/>
      </c>
      <c r="AC295" s="310" t="e">
        <f t="shared" ca="1" si="141"/>
        <v>#N/A</v>
      </c>
      <c r="AD295" s="323" t="e">
        <f t="shared" ca="1" si="142"/>
        <v>#N/A</v>
      </c>
      <c r="AE295" s="324">
        <f t="shared" ca="1" si="121"/>
        <v>1275.451390785875</v>
      </c>
      <c r="AG295" s="306">
        <f t="shared" ca="1" si="143"/>
        <v>-10.073319475203814</v>
      </c>
      <c r="AH295" s="304">
        <f t="shared" ca="1" si="144"/>
        <v>-1.3615855701899549</v>
      </c>
    </row>
    <row r="296" spans="1:34" x14ac:dyDescent="0.2">
      <c r="A296" s="347">
        <f t="shared" ca="1" si="122"/>
        <v>0.1</v>
      </c>
      <c r="B296" s="304">
        <f t="shared" ca="1" si="123"/>
        <v>11.199999999999978</v>
      </c>
      <c r="D296" s="306">
        <f t="shared" ca="1" si="124"/>
        <v>-0.61238536089813911</v>
      </c>
      <c r="E296" s="307">
        <f t="shared" ca="1" si="125"/>
        <v>-10.968390651291941</v>
      </c>
      <c r="F296" s="304">
        <f t="shared" ca="1" si="126"/>
        <v>10.985472648438519</v>
      </c>
      <c r="G296" s="306">
        <f t="shared" ca="1" si="127"/>
        <v>24.485931039375327</v>
      </c>
      <c r="H296" s="307">
        <f t="shared" ca="1" si="128"/>
        <v>45.336687220007697</v>
      </c>
      <c r="I296" s="304">
        <f t="shared" ca="1" si="129"/>
        <v>51.526459483937508</v>
      </c>
      <c r="J296" s="306">
        <f t="shared" ca="1" si="130"/>
        <v>331.47114351733018</v>
      </c>
      <c r="K296" s="307">
        <f t="shared" ca="1" si="131"/>
        <v>1280.0399014611323</v>
      </c>
      <c r="L296" s="304">
        <f t="shared" ca="1" si="116"/>
        <v>1322.2614220785963</v>
      </c>
      <c r="M296" s="306">
        <f t="shared" ca="1" si="132"/>
        <v>1.0755927080568719</v>
      </c>
      <c r="N296" s="304">
        <f t="shared" ca="1" si="133"/>
        <v>61.626922646705658</v>
      </c>
      <c r="P296" s="310">
        <f t="shared" ca="1" si="134"/>
        <v>23</v>
      </c>
      <c r="Q296" s="304">
        <f t="shared" ca="1" si="135"/>
        <v>0</v>
      </c>
      <c r="R296" s="306">
        <f t="shared" ca="1" si="136"/>
        <v>0</v>
      </c>
      <c r="S296" s="307">
        <f t="shared" ca="1" si="137"/>
        <v>7.4499999999999984</v>
      </c>
      <c r="T296" s="304">
        <f t="shared" ca="1" si="117"/>
        <v>73.084499999999991</v>
      </c>
      <c r="U296" s="311">
        <f t="shared" ca="1" si="118"/>
        <v>0</v>
      </c>
      <c r="V296" s="306">
        <f t="shared" ca="1" si="119"/>
        <v>1.0776272613631499</v>
      </c>
      <c r="W296" s="304">
        <f t="shared" ca="1" si="120"/>
        <v>9.3905919480392335</v>
      </c>
      <c r="Y296" s="314" t="str">
        <f t="shared" ca="1" si="138"/>
        <v/>
      </c>
      <c r="Z296" s="315" t="str">
        <f t="shared" ca="1" si="139"/>
        <v/>
      </c>
      <c r="AA296" s="316" t="str">
        <f t="shared" ca="1" si="140"/>
        <v/>
      </c>
      <c r="AC296" s="310" t="e">
        <f t="shared" ca="1" si="141"/>
        <v>#N/A</v>
      </c>
      <c r="AD296" s="323" t="e">
        <f t="shared" ca="1" si="142"/>
        <v>#N/A</v>
      </c>
      <c r="AE296" s="324">
        <f t="shared" ca="1" si="121"/>
        <v>1280.0399014611323</v>
      </c>
      <c r="AG296" s="306">
        <f t="shared" ca="1" si="143"/>
        <v>-9.9829826730542059</v>
      </c>
      <c r="AH296" s="304">
        <f t="shared" ca="1" si="144"/>
        <v>-1.3102994815090598</v>
      </c>
    </row>
    <row r="297" spans="1:34" x14ac:dyDescent="0.2">
      <c r="A297" s="347">
        <f t="shared" ca="1" si="122"/>
        <v>0.1</v>
      </c>
      <c r="B297" s="304">
        <f t="shared" ca="1" si="123"/>
        <v>11.299999999999978</v>
      </c>
      <c r="D297" s="306">
        <f t="shared" ca="1" si="124"/>
        <v>-0.59899475108682854</v>
      </c>
      <c r="E297" s="307">
        <f t="shared" ca="1" si="125"/>
        <v>-10.919062899539339</v>
      </c>
      <c r="F297" s="304">
        <f t="shared" ca="1" si="126"/>
        <v>10.935480296535951</v>
      </c>
      <c r="G297" s="306">
        <f t="shared" ca="1" si="127"/>
        <v>24.426031564266644</v>
      </c>
      <c r="H297" s="307">
        <f t="shared" ca="1" si="128"/>
        <v>44.244780930053764</v>
      </c>
      <c r="I297" s="304">
        <f t="shared" ca="1" si="129"/>
        <v>50.539406976408017</v>
      </c>
      <c r="J297" s="306">
        <f t="shared" ca="1" si="130"/>
        <v>333.91674164751225</v>
      </c>
      <c r="K297" s="307">
        <f t="shared" ca="1" si="131"/>
        <v>1284.5189748686355</v>
      </c>
      <c r="L297" s="304">
        <f t="shared" ca="1" si="116"/>
        <v>1327.2111313389673</v>
      </c>
      <c r="M297" s="306">
        <f t="shared" ca="1" si="132"/>
        <v>1.0663684521164254</v>
      </c>
      <c r="N297" s="304">
        <f t="shared" ca="1" si="133"/>
        <v>61.098411712169593</v>
      </c>
      <c r="P297" s="310">
        <f t="shared" ca="1" si="134"/>
        <v>23</v>
      </c>
      <c r="Q297" s="304">
        <f t="shared" ca="1" si="135"/>
        <v>0</v>
      </c>
      <c r="R297" s="306">
        <f t="shared" ca="1" si="136"/>
        <v>0</v>
      </c>
      <c r="S297" s="307">
        <f t="shared" ca="1" si="137"/>
        <v>7.4499999999999984</v>
      </c>
      <c r="T297" s="304">
        <f t="shared" ca="1" si="117"/>
        <v>73.084499999999991</v>
      </c>
      <c r="U297" s="311">
        <f t="shared" ca="1" si="118"/>
        <v>0</v>
      </c>
      <c r="V297" s="306">
        <f t="shared" ca="1" si="119"/>
        <v>1.0771427008924179</v>
      </c>
      <c r="W297" s="304">
        <f t="shared" ca="1" si="120"/>
        <v>9.0301990234217566</v>
      </c>
      <c r="Y297" s="314" t="str">
        <f t="shared" ca="1" si="138"/>
        <v/>
      </c>
      <c r="Z297" s="315" t="str">
        <f t="shared" ca="1" si="139"/>
        <v/>
      </c>
      <c r="AA297" s="316" t="str">
        <f t="shared" ca="1" si="140"/>
        <v/>
      </c>
      <c r="AC297" s="310" t="e">
        <f t="shared" ca="1" si="141"/>
        <v>#N/A</v>
      </c>
      <c r="AD297" s="323" t="e">
        <f t="shared" ca="1" si="142"/>
        <v>#N/A</v>
      </c>
      <c r="AE297" s="324">
        <f t="shared" ca="1" si="121"/>
        <v>1284.5189748686355</v>
      </c>
      <c r="AG297" s="306">
        <f t="shared" ca="1" si="143"/>
        <v>-9.8920261295840817</v>
      </c>
      <c r="AH297" s="304">
        <f t="shared" ca="1" si="144"/>
        <v>-1.2604821406764075</v>
      </c>
    </row>
    <row r="298" spans="1:34" x14ac:dyDescent="0.2">
      <c r="A298" s="347">
        <f t="shared" ca="1" si="122"/>
        <v>0.1</v>
      </c>
      <c r="B298" s="304">
        <f t="shared" ca="1" si="123"/>
        <v>11.399999999999977</v>
      </c>
      <c r="D298" s="306">
        <f t="shared" ca="1" si="124"/>
        <v>-0.58581949719761917</v>
      </c>
      <c r="E298" s="307">
        <f t="shared" ca="1" si="125"/>
        <v>-10.871140662570053</v>
      </c>
      <c r="F298" s="304">
        <f t="shared" ca="1" si="126"/>
        <v>10.886913418810719</v>
      </c>
      <c r="G298" s="306">
        <f t="shared" ca="1" si="127"/>
        <v>24.367449614546882</v>
      </c>
      <c r="H298" s="307">
        <f t="shared" ca="1" si="128"/>
        <v>43.157666863796756</v>
      </c>
      <c r="I298" s="304">
        <f t="shared" ca="1" si="129"/>
        <v>49.561646561065153</v>
      </c>
      <c r="J298" s="306">
        <f t="shared" ca="1" si="130"/>
        <v>336.35641570645294</v>
      </c>
      <c r="K298" s="307">
        <f t="shared" ca="1" si="131"/>
        <v>1288.8890972583281</v>
      </c>
      <c r="L298" s="304">
        <f t="shared" ca="1" si="116"/>
        <v>1332.0550827267919</v>
      </c>
      <c r="M298" s="306">
        <f t="shared" ca="1" si="132"/>
        <v>1.0568019608862724</v>
      </c>
      <c r="N298" s="304">
        <f t="shared" ca="1" si="133"/>
        <v>60.550292139932914</v>
      </c>
      <c r="P298" s="310">
        <f t="shared" ca="1" si="134"/>
        <v>23</v>
      </c>
      <c r="Q298" s="304">
        <f t="shared" ca="1" si="135"/>
        <v>0</v>
      </c>
      <c r="R298" s="306">
        <f t="shared" ca="1" si="136"/>
        <v>0</v>
      </c>
      <c r="S298" s="307">
        <f t="shared" ca="1" si="137"/>
        <v>7.4499999999999984</v>
      </c>
      <c r="T298" s="304">
        <f t="shared" ca="1" si="117"/>
        <v>73.084499999999991</v>
      </c>
      <c r="U298" s="311">
        <f t="shared" ca="1" si="118"/>
        <v>0</v>
      </c>
      <c r="V298" s="306">
        <f t="shared" ca="1" si="119"/>
        <v>1.0766701236097107</v>
      </c>
      <c r="W298" s="304">
        <f t="shared" ca="1" si="120"/>
        <v>8.6803634696579604</v>
      </c>
      <c r="Y298" s="314" t="str">
        <f t="shared" ca="1" si="138"/>
        <v/>
      </c>
      <c r="Z298" s="315" t="str">
        <f t="shared" ca="1" si="139"/>
        <v/>
      </c>
      <c r="AA298" s="316" t="str">
        <f t="shared" ca="1" si="140"/>
        <v/>
      </c>
      <c r="AC298" s="310" t="e">
        <f t="shared" ca="1" si="141"/>
        <v>#N/A</v>
      </c>
      <c r="AD298" s="323" t="e">
        <f t="shared" ca="1" si="142"/>
        <v>#N/A</v>
      </c>
      <c r="AE298" s="324">
        <f t="shared" ca="1" si="121"/>
        <v>1288.8890972583281</v>
      </c>
      <c r="AG298" s="306">
        <f t="shared" ca="1" si="143"/>
        <v>-9.8002828334715417</v>
      </c>
      <c r="AH298" s="304">
        <f t="shared" ca="1" si="144"/>
        <v>-1.2121072514660078</v>
      </c>
    </row>
    <row r="299" spans="1:34" x14ac:dyDescent="0.2">
      <c r="A299" s="347">
        <f t="shared" ca="1" si="122"/>
        <v>0.1</v>
      </c>
      <c r="B299" s="304">
        <f t="shared" ca="1" si="123"/>
        <v>11.499999999999977</v>
      </c>
      <c r="D299" s="306">
        <f t="shared" ca="1" si="124"/>
        <v>-0.57285668870929463</v>
      </c>
      <c r="E299" s="307">
        <f t="shared" ca="1" si="125"/>
        <v>-10.824597691719623</v>
      </c>
      <c r="F299" s="304">
        <f t="shared" ca="1" si="126"/>
        <v>10.83974538323575</v>
      </c>
      <c r="G299" s="306">
        <f t="shared" ca="1" si="127"/>
        <v>24.310163945675953</v>
      </c>
      <c r="H299" s="307">
        <f t="shared" ca="1" si="128"/>
        <v>42.075207094624794</v>
      </c>
      <c r="I299" s="304">
        <f t="shared" ca="1" si="129"/>
        <v>48.593282695463245</v>
      </c>
      <c r="J299" s="306">
        <f t="shared" ca="1" si="130"/>
        <v>338.79029638446406</v>
      </c>
      <c r="K299" s="307">
        <f t="shared" ca="1" si="131"/>
        <v>1293.1507409562491</v>
      </c>
      <c r="L299" s="304">
        <f t="shared" ca="1" si="116"/>
        <v>1336.7938149767035</v>
      </c>
      <c r="M299" s="306">
        <f t="shared" ca="1" si="132"/>
        <v>1.0468761899052814</v>
      </c>
      <c r="N299" s="304">
        <f t="shared" ca="1" si="133"/>
        <v>59.981587354308701</v>
      </c>
      <c r="P299" s="310">
        <f t="shared" ca="1" si="134"/>
        <v>23</v>
      </c>
      <c r="Q299" s="304">
        <f t="shared" ca="1" si="135"/>
        <v>0</v>
      </c>
      <c r="R299" s="306">
        <f t="shared" ca="1" si="136"/>
        <v>0</v>
      </c>
      <c r="S299" s="307">
        <f t="shared" ca="1" si="137"/>
        <v>7.4499999999999984</v>
      </c>
      <c r="T299" s="304">
        <f t="shared" ca="1" si="117"/>
        <v>73.084499999999991</v>
      </c>
      <c r="U299" s="311">
        <f t="shared" ca="1" si="118"/>
        <v>0</v>
      </c>
      <c r="V299" s="306">
        <f t="shared" ca="1" si="119"/>
        <v>1.0762094638371718</v>
      </c>
      <c r="W299" s="304">
        <f t="shared" ca="1" si="120"/>
        <v>8.3409031798196924</v>
      </c>
      <c r="Y299" s="314" t="str">
        <f t="shared" ca="1" si="138"/>
        <v/>
      </c>
      <c r="Z299" s="315" t="str">
        <f t="shared" ca="1" si="139"/>
        <v/>
      </c>
      <c r="AA299" s="316" t="str">
        <f t="shared" ca="1" si="140"/>
        <v/>
      </c>
      <c r="AC299" s="310" t="e">
        <f t="shared" ca="1" si="141"/>
        <v>#N/A</v>
      </c>
      <c r="AD299" s="323" t="e">
        <f t="shared" ca="1" si="142"/>
        <v>#N/A</v>
      </c>
      <c r="AE299" s="324">
        <f t="shared" ca="1" si="121"/>
        <v>1293.1507409562491</v>
      </c>
      <c r="AG299" s="306">
        <f t="shared" ca="1" si="143"/>
        <v>-9.7075757364022213</v>
      </c>
      <c r="AH299" s="304">
        <f t="shared" ca="1" si="144"/>
        <v>-1.1651494590144915</v>
      </c>
    </row>
    <row r="300" spans="1:34" x14ac:dyDescent="0.2">
      <c r="A300" s="347">
        <f t="shared" ca="1" si="122"/>
        <v>0.1</v>
      </c>
      <c r="B300" s="304">
        <f t="shared" ca="1" si="123"/>
        <v>11.599999999999977</v>
      </c>
      <c r="D300" s="306">
        <f t="shared" ca="1" si="124"/>
        <v>-0.56010371900864375</v>
      </c>
      <c r="E300" s="307">
        <f t="shared" ca="1" si="125"/>
        <v>-10.779408516718375</v>
      </c>
      <c r="F300" s="304">
        <f t="shared" ca="1" si="126"/>
        <v>10.79395034944797</v>
      </c>
      <c r="G300" s="306">
        <f t="shared" ca="1" si="127"/>
        <v>24.254153573775088</v>
      </c>
      <c r="H300" s="307">
        <f t="shared" ca="1" si="128"/>
        <v>40.997266242952954</v>
      </c>
      <c r="I300" s="304">
        <f t="shared" ca="1" si="129"/>
        <v>47.634439274288063</v>
      </c>
      <c r="J300" s="306">
        <f t="shared" ca="1" si="130"/>
        <v>341.21851226043663</v>
      </c>
      <c r="K300" s="307">
        <f t="shared" ca="1" si="131"/>
        <v>1297.3043646231281</v>
      </c>
      <c r="L300" s="304">
        <f t="shared" ca="1" si="116"/>
        <v>1341.4278540344403</v>
      </c>
      <c r="M300" s="306">
        <f t="shared" ca="1" si="132"/>
        <v>1.0365731049032554</v>
      </c>
      <c r="N300" s="304">
        <f t="shared" ca="1" si="133"/>
        <v>59.391264067728073</v>
      </c>
      <c r="P300" s="310">
        <f t="shared" ca="1" si="134"/>
        <v>23</v>
      </c>
      <c r="Q300" s="304">
        <f t="shared" ca="1" si="135"/>
        <v>0</v>
      </c>
      <c r="R300" s="306">
        <f t="shared" ca="1" si="136"/>
        <v>0</v>
      </c>
      <c r="S300" s="307">
        <f t="shared" ca="1" si="137"/>
        <v>7.4499999999999984</v>
      </c>
      <c r="T300" s="304">
        <f t="shared" ca="1" si="117"/>
        <v>73.084499999999991</v>
      </c>
      <c r="U300" s="311">
        <f t="shared" ca="1" si="118"/>
        <v>0</v>
      </c>
      <c r="V300" s="306">
        <f t="shared" ca="1" si="119"/>
        <v>1.0757606578320644</v>
      </c>
      <c r="W300" s="304">
        <f t="shared" ca="1" si="120"/>
        <v>8.0116426171669755</v>
      </c>
      <c r="Y300" s="314" t="str">
        <f t="shared" ca="1" si="138"/>
        <v/>
      </c>
      <c r="Z300" s="315" t="str">
        <f t="shared" ca="1" si="139"/>
        <v/>
      </c>
      <c r="AA300" s="316" t="str">
        <f t="shared" ca="1" si="140"/>
        <v/>
      </c>
      <c r="AC300" s="310" t="e">
        <f t="shared" ca="1" si="141"/>
        <v>#N/A</v>
      </c>
      <c r="AD300" s="323" t="e">
        <f t="shared" ca="1" si="142"/>
        <v>#N/A</v>
      </c>
      <c r="AE300" s="324">
        <f t="shared" ca="1" si="121"/>
        <v>1297.3043646231281</v>
      </c>
      <c r="AG300" s="306">
        <f t="shared" ca="1" si="143"/>
        <v>-9.6137168147684307</v>
      </c>
      <c r="AH300" s="304">
        <f t="shared" ca="1" si="144"/>
        <v>-1.119584319438885</v>
      </c>
    </row>
    <row r="301" spans="1:34" x14ac:dyDescent="0.2">
      <c r="A301" s="347">
        <f t="shared" ca="1" si="122"/>
        <v>0.1</v>
      </c>
      <c r="B301" s="304">
        <f t="shared" ca="1" si="123"/>
        <v>11.699999999999976</v>
      </c>
      <c r="D301" s="306">
        <f t="shared" ca="1" si="124"/>
        <v>-0.54755829328182015</v>
      </c>
      <c r="E301" s="307">
        <f t="shared" ca="1" si="125"/>
        <v>-10.73554840410857</v>
      </c>
      <c r="F301" s="304">
        <f t="shared" ca="1" si="126"/>
        <v>10.74950322673098</v>
      </c>
      <c r="G301" s="306">
        <f t="shared" ca="1" si="127"/>
        <v>24.199397744446905</v>
      </c>
      <c r="H301" s="307">
        <f t="shared" ca="1" si="128"/>
        <v>39.923711402542096</v>
      </c>
      <c r="I301" s="304">
        <f t="shared" ca="1" si="129"/>
        <v>46.685260879076296</v>
      </c>
      <c r="J301" s="306">
        <f t="shared" ca="1" si="130"/>
        <v>343.64118982634773</v>
      </c>
      <c r="K301" s="307">
        <f t="shared" ca="1" si="131"/>
        <v>1301.3504135054029</v>
      </c>
      <c r="L301" s="304">
        <f t="shared" ca="1" si="116"/>
        <v>1345.9577133312737</v>
      </c>
      <c r="M301" s="306">
        <f t="shared" ca="1" si="132"/>
        <v>1.0258736274110989</v>
      </c>
      <c r="N301" s="304">
        <f t="shared" ca="1" si="133"/>
        <v>58.77822916443229</v>
      </c>
      <c r="P301" s="310">
        <f t="shared" ca="1" si="134"/>
        <v>23</v>
      </c>
      <c r="Q301" s="304">
        <f t="shared" ca="1" si="135"/>
        <v>0</v>
      </c>
      <c r="R301" s="306">
        <f t="shared" ca="1" si="136"/>
        <v>0</v>
      </c>
      <c r="S301" s="307">
        <f t="shared" ca="1" si="137"/>
        <v>7.4499999999999984</v>
      </c>
      <c r="T301" s="304">
        <f t="shared" ca="1" si="117"/>
        <v>73.084499999999991</v>
      </c>
      <c r="U301" s="311">
        <f t="shared" ca="1" si="118"/>
        <v>0</v>
      </c>
      <c r="V301" s="306">
        <f t="shared" ca="1" si="119"/>
        <v>1.0753236437504547</v>
      </c>
      <c r="W301" s="304">
        <f t="shared" ca="1" si="120"/>
        <v>7.6924126077771149</v>
      </c>
      <c r="Y301" s="314" t="str">
        <f t="shared" ca="1" si="138"/>
        <v/>
      </c>
      <c r="Z301" s="315" t="str">
        <f t="shared" ca="1" si="139"/>
        <v/>
      </c>
      <c r="AA301" s="316" t="str">
        <f t="shared" ca="1" si="140"/>
        <v/>
      </c>
      <c r="AC301" s="310" t="e">
        <f t="shared" ca="1" si="141"/>
        <v>#N/A</v>
      </c>
      <c r="AD301" s="323" t="e">
        <f t="shared" ca="1" si="142"/>
        <v>#N/A</v>
      </c>
      <c r="AE301" s="324">
        <f t="shared" ca="1" si="121"/>
        <v>1301.3504135054029</v>
      </c>
      <c r="AG301" s="306">
        <f t="shared" ca="1" si="143"/>
        <v>-9.5185060647483777</v>
      </c>
      <c r="AH301" s="304">
        <f t="shared" ca="1" si="144"/>
        <v>-1.0753882707606681</v>
      </c>
    </row>
    <row r="302" spans="1:34" x14ac:dyDescent="0.2">
      <c r="A302" s="347">
        <f t="shared" ca="1" si="122"/>
        <v>0.1</v>
      </c>
      <c r="B302" s="304">
        <f t="shared" ca="1" si="123"/>
        <v>11.799999999999976</v>
      </c>
      <c r="D302" s="306">
        <f t="shared" ca="1" si="124"/>
        <v>-0.5352184376847362</v>
      </c>
      <c r="E302" s="307">
        <f t="shared" ca="1" si="125"/>
        <v>-10.69299331533357</v>
      </c>
      <c r="F302" s="304">
        <f t="shared" ca="1" si="126"/>
        <v>10.706379631687179</v>
      </c>
      <c r="G302" s="306">
        <f t="shared" ca="1" si="127"/>
        <v>24.145875900678433</v>
      </c>
      <c r="H302" s="307">
        <f t="shared" ca="1" si="128"/>
        <v>38.854412071008738</v>
      </c>
      <c r="I302" s="304">
        <f t="shared" ca="1" si="129"/>
        <v>45.745914138802746</v>
      </c>
      <c r="J302" s="306">
        <f t="shared" ca="1" si="130"/>
        <v>346.05845350860398</v>
      </c>
      <c r="K302" s="307">
        <f t="shared" ca="1" si="131"/>
        <v>1305.2893196790806</v>
      </c>
      <c r="L302" s="304">
        <f t="shared" ca="1" si="116"/>
        <v>1350.3838940512596</v>
      </c>
      <c r="M302" s="306">
        <f t="shared" ca="1" si="132"/>
        <v>1.0147575795325254</v>
      </c>
      <c r="N302" s="304">
        <f t="shared" ca="1" si="133"/>
        <v>58.14132653612468</v>
      </c>
      <c r="P302" s="310">
        <f t="shared" ca="1" si="134"/>
        <v>23</v>
      </c>
      <c r="Q302" s="304">
        <f t="shared" ca="1" si="135"/>
        <v>0</v>
      </c>
      <c r="R302" s="306">
        <f t="shared" ca="1" si="136"/>
        <v>0</v>
      </c>
      <c r="S302" s="307">
        <f t="shared" ca="1" si="137"/>
        <v>7.4499999999999984</v>
      </c>
      <c r="T302" s="304">
        <f t="shared" ca="1" si="117"/>
        <v>73.084499999999991</v>
      </c>
      <c r="U302" s="311">
        <f t="shared" ca="1" si="118"/>
        <v>0</v>
      </c>
      <c r="V302" s="306">
        <f t="shared" ca="1" si="119"/>
        <v>1.0748983616120209</v>
      </c>
      <c r="W302" s="304">
        <f t="shared" ca="1" si="120"/>
        <v>7.3830501419523351</v>
      </c>
      <c r="Y302" s="314" t="str">
        <f t="shared" ca="1" si="138"/>
        <v/>
      </c>
      <c r="Z302" s="315" t="str">
        <f t="shared" ca="1" si="139"/>
        <v/>
      </c>
      <c r="AA302" s="316" t="str">
        <f t="shared" ca="1" si="140"/>
        <v/>
      </c>
      <c r="AC302" s="310" t="e">
        <f t="shared" ca="1" si="141"/>
        <v>#N/A</v>
      </c>
      <c r="AD302" s="323" t="e">
        <f t="shared" ca="1" si="142"/>
        <v>#N/A</v>
      </c>
      <c r="AE302" s="324">
        <f t="shared" ca="1" si="121"/>
        <v>1305.2893196790806</v>
      </c>
      <c r="AG302" s="306">
        <f t="shared" ca="1" si="143"/>
        <v>-9.4217304288754899</v>
      </c>
      <c r="AH302" s="304">
        <f t="shared" ca="1" si="144"/>
        <v>-1.0325386050707539</v>
      </c>
    </row>
    <row r="303" spans="1:34" x14ac:dyDescent="0.2">
      <c r="A303" s="347">
        <f t="shared" ca="1" si="122"/>
        <v>0.1</v>
      </c>
      <c r="B303" s="304">
        <f t="shared" ca="1" si="123"/>
        <v>11.899999999999975</v>
      </c>
      <c r="D303" s="306">
        <f t="shared" ca="1" si="124"/>
        <v>-0.52308250985562266</v>
      </c>
      <c r="E303" s="307">
        <f t="shared" ca="1" si="125"/>
        <v>-10.651719864239707</v>
      </c>
      <c r="F303" s="304">
        <f t="shared" ca="1" si="126"/>
        <v>10.664555845339066</v>
      </c>
      <c r="G303" s="306">
        <f t="shared" ca="1" si="127"/>
        <v>24.093567649692872</v>
      </c>
      <c r="H303" s="307">
        <f t="shared" ca="1" si="128"/>
        <v>37.789240084584769</v>
      </c>
      <c r="I303" s="304">
        <f t="shared" ca="1" si="129"/>
        <v>44.816589208246484</v>
      </c>
      <c r="J303" s="306">
        <f t="shared" ca="1" si="130"/>
        <v>348.47042568612255</v>
      </c>
      <c r="K303" s="307">
        <f t="shared" ca="1" si="131"/>
        <v>1309.1215022868603</v>
      </c>
      <c r="L303" s="304">
        <f t="shared" ca="1" si="116"/>
        <v>1354.7068853916974</v>
      </c>
      <c r="M303" s="306">
        <f t="shared" ca="1" si="132"/>
        <v>1.0032036285025563</v>
      </c>
      <c r="N303" s="304">
        <f t="shared" ca="1" si="133"/>
        <v>57.479333905406612</v>
      </c>
      <c r="P303" s="310">
        <f t="shared" ca="1" si="134"/>
        <v>23</v>
      </c>
      <c r="Q303" s="304">
        <f t="shared" ca="1" si="135"/>
        <v>0</v>
      </c>
      <c r="R303" s="306">
        <f t="shared" ca="1" si="136"/>
        <v>0</v>
      </c>
      <c r="S303" s="307">
        <f t="shared" ca="1" si="137"/>
        <v>7.4499999999999984</v>
      </c>
      <c r="T303" s="304">
        <f t="shared" ca="1" si="117"/>
        <v>73.084499999999991</v>
      </c>
      <c r="U303" s="311">
        <f t="shared" ca="1" si="118"/>
        <v>0</v>
      </c>
      <c r="V303" s="306">
        <f t="shared" ca="1" si="119"/>
        <v>1.0744847532659383</v>
      </c>
      <c r="W303" s="304">
        <f t="shared" ca="1" si="120"/>
        <v>7.083398183958284</v>
      </c>
      <c r="Y303" s="314" t="str">
        <f t="shared" ca="1" si="138"/>
        <v/>
      </c>
      <c r="Z303" s="315" t="str">
        <f t="shared" ca="1" si="139"/>
        <v/>
      </c>
      <c r="AA303" s="316" t="str">
        <f t="shared" ca="1" si="140"/>
        <v/>
      </c>
      <c r="AC303" s="310" t="e">
        <f t="shared" ca="1" si="141"/>
        <v>#N/A</v>
      </c>
      <c r="AD303" s="323" t="e">
        <f t="shared" ca="1" si="142"/>
        <v>#N/A</v>
      </c>
      <c r="AE303" s="324">
        <f t="shared" ca="1" si="121"/>
        <v>1309.1215022868603</v>
      </c>
      <c r="AG303" s="306">
        <f t="shared" ca="1" si="143"/>
        <v>-9.3231626532771337</v>
      </c>
      <c r="AH303" s="304">
        <f t="shared" ca="1" si="144"/>
        <v>-0.99101344187279683</v>
      </c>
    </row>
    <row r="304" spans="1:34" x14ac:dyDescent="0.2">
      <c r="A304" s="347">
        <f t="shared" ca="1" si="122"/>
        <v>0.1</v>
      </c>
      <c r="B304" s="304">
        <f t="shared" ca="1" si="123"/>
        <v>11.999999999999975</v>
      </c>
      <c r="D304" s="306">
        <f t="shared" ca="1" si="124"/>
        <v>-0.51114921083314147</v>
      </c>
      <c r="E304" s="307">
        <f t="shared" ca="1" si="125"/>
        <v>-10.611705273708846</v>
      </c>
      <c r="F304" s="304">
        <f t="shared" ca="1" si="126"/>
        <v>10.624008769376816</v>
      </c>
      <c r="G304" s="306">
        <f t="shared" ca="1" si="127"/>
        <v>24.042452728609558</v>
      </c>
      <c r="H304" s="307">
        <f t="shared" ca="1" si="128"/>
        <v>36.728069557213885</v>
      </c>
      <c r="I304" s="304">
        <f t="shared" ca="1" si="129"/>
        <v>43.897501370886324</v>
      </c>
      <c r="J304" s="306">
        <f t="shared" ca="1" si="130"/>
        <v>350.87722670503769</v>
      </c>
      <c r="K304" s="307">
        <f t="shared" ca="1" si="131"/>
        <v>1312.8473677689501</v>
      </c>
      <c r="L304" s="304">
        <f t="shared" ca="1" si="116"/>
        <v>1358.9271648171875</v>
      </c>
      <c r="M304" s="306">
        <f t="shared" ca="1" si="132"/>
        <v>0.99118923184830254</v>
      </c>
      <c r="N304" s="304">
        <f t="shared" ca="1" si="133"/>
        <v>56.79095968372178</v>
      </c>
      <c r="P304" s="310">
        <f t="shared" ca="1" si="134"/>
        <v>23</v>
      </c>
      <c r="Q304" s="304">
        <f t="shared" ca="1" si="135"/>
        <v>0</v>
      </c>
      <c r="R304" s="306">
        <f t="shared" ca="1" si="136"/>
        <v>0</v>
      </c>
      <c r="S304" s="307">
        <f t="shared" ca="1" si="137"/>
        <v>7.4499999999999984</v>
      </c>
      <c r="T304" s="304">
        <f t="shared" ca="1" si="117"/>
        <v>73.084499999999991</v>
      </c>
      <c r="U304" s="311">
        <f t="shared" ca="1" si="118"/>
        <v>0</v>
      </c>
      <c r="V304" s="306">
        <f t="shared" ca="1" si="119"/>
        <v>1.0740827623577811</v>
      </c>
      <c r="W304" s="304">
        <f t="shared" ca="1" si="120"/>
        <v>6.7933054896625382</v>
      </c>
      <c r="Y304" s="314" t="str">
        <f t="shared" ca="1" si="138"/>
        <v/>
      </c>
      <c r="Z304" s="315" t="str">
        <f t="shared" ca="1" si="139"/>
        <v/>
      </c>
      <c r="AA304" s="316" t="str">
        <f t="shared" ca="1" si="140"/>
        <v/>
      </c>
      <c r="AC304" s="310">
        <f t="shared" ca="1" si="141"/>
        <v>11.999999999999975</v>
      </c>
      <c r="AD304" s="323">
        <f t="shared" ca="1" si="142"/>
        <v>350.87722670503769</v>
      </c>
      <c r="AE304" s="324">
        <f t="shared" ca="1" si="121"/>
        <v>1312.8473677689501</v>
      </c>
      <c r="AG304" s="306">
        <f t="shared" ca="1" si="143"/>
        <v>-9.2225600762424733</v>
      </c>
      <c r="AH304" s="304">
        <f t="shared" ca="1" si="144"/>
        <v>-0.95079170254473633</v>
      </c>
    </row>
    <row r="305" spans="1:34" x14ac:dyDescent="0.2">
      <c r="A305" s="347">
        <f t="shared" ca="1" si="122"/>
        <v>0.1</v>
      </c>
      <c r="B305" s="304">
        <f t="shared" ca="1" si="123"/>
        <v>12.099999999999975</v>
      </c>
      <c r="D305" s="306">
        <f t="shared" ca="1" si="124"/>
        <v>-0.49941759844180011</v>
      </c>
      <c r="E305" s="307">
        <f t="shared" ca="1" si="125"/>
        <v>-10.572927331113775</v>
      </c>
      <c r="F305" s="304">
        <f t="shared" ca="1" si="126"/>
        <v>10.58471588124339</v>
      </c>
      <c r="G305" s="306">
        <f t="shared" ca="1" si="127"/>
        <v>23.992510968765377</v>
      </c>
      <c r="H305" s="307">
        <f t="shared" ca="1" si="128"/>
        <v>35.670776824102511</v>
      </c>
      <c r="I305" s="304">
        <f t="shared" ca="1" si="129"/>
        <v>42.988892772683222</v>
      </c>
      <c r="J305" s="306">
        <f t="shared" ca="1" si="130"/>
        <v>353.27897488990641</v>
      </c>
      <c r="K305" s="307">
        <f t="shared" ca="1" si="131"/>
        <v>1316.4673100880159</v>
      </c>
      <c r="L305" s="304">
        <f t="shared" ca="1" si="116"/>
        <v>1363.0451983076862</v>
      </c>
      <c r="M305" s="306">
        <f t="shared" ca="1" si="132"/>
        <v>0.97869058419923183</v>
      </c>
      <c r="N305" s="304">
        <f t="shared" ca="1" si="133"/>
        <v>56.074839923808916</v>
      </c>
      <c r="P305" s="310">
        <f t="shared" ca="1" si="134"/>
        <v>23</v>
      </c>
      <c r="Q305" s="304">
        <f t="shared" ca="1" si="135"/>
        <v>0</v>
      </c>
      <c r="R305" s="306">
        <f t="shared" ca="1" si="136"/>
        <v>0</v>
      </c>
      <c r="S305" s="307">
        <f t="shared" ca="1" si="137"/>
        <v>7.4499999999999984</v>
      </c>
      <c r="T305" s="304">
        <f t="shared" ca="1" si="117"/>
        <v>73.084499999999991</v>
      </c>
      <c r="U305" s="311">
        <f t="shared" ca="1" si="118"/>
        <v>0</v>
      </c>
      <c r="V305" s="306">
        <f t="shared" ca="1" si="119"/>
        <v>1.0736923342973792</v>
      </c>
      <c r="W305" s="304">
        <f t="shared" ca="1" si="120"/>
        <v>6.512626431656936</v>
      </c>
      <c r="Y305" s="314" t="str">
        <f t="shared" ca="1" si="138"/>
        <v/>
      </c>
      <c r="Z305" s="315" t="str">
        <f t="shared" ca="1" si="139"/>
        <v/>
      </c>
      <c r="AA305" s="316" t="str">
        <f t="shared" ca="1" si="140"/>
        <v/>
      </c>
      <c r="AC305" s="310" t="e">
        <f t="shared" ca="1" si="141"/>
        <v>#N/A</v>
      </c>
      <c r="AD305" s="323" t="e">
        <f t="shared" ca="1" si="142"/>
        <v>#N/A</v>
      </c>
      <c r="AE305" s="324">
        <f t="shared" ca="1" si="121"/>
        <v>1316.4673100880159</v>
      </c>
      <c r="AG305" s="306">
        <f t="shared" ca="1" si="143"/>
        <v>-9.1196633507800069</v>
      </c>
      <c r="AH305" s="304">
        <f t="shared" ca="1" si="144"/>
        <v>-0.91185308586074354</v>
      </c>
    </row>
    <row r="306" spans="1:34" x14ac:dyDescent="0.2">
      <c r="A306" s="347">
        <f t="shared" ca="1" si="122"/>
        <v>0.1</v>
      </c>
      <c r="B306" s="304">
        <f t="shared" ca="1" si="123"/>
        <v>12.199999999999974</v>
      </c>
      <c r="D306" s="306">
        <f t="shared" ca="1" si="124"/>
        <v>-0.48788710220218845</v>
      </c>
      <c r="E306" s="307">
        <f t="shared" ca="1" si="125"/>
        <v>-10.535364342259502</v>
      </c>
      <c r="F306" s="304">
        <f t="shared" ca="1" si="126"/>
        <v>10.546655187719386</v>
      </c>
      <c r="G306" s="306">
        <f t="shared" ca="1" si="127"/>
        <v>23.943722258545158</v>
      </c>
      <c r="H306" s="307">
        <f t="shared" ca="1" si="128"/>
        <v>34.617240389876564</v>
      </c>
      <c r="I306" s="304">
        <f t="shared" ca="1" si="129"/>
        <v>42.091034292410207</v>
      </c>
      <c r="J306" s="306">
        <f t="shared" ca="1" si="130"/>
        <v>355.67578655127193</v>
      </c>
      <c r="K306" s="307">
        <f t="shared" ca="1" si="131"/>
        <v>1319.9817109487149</v>
      </c>
      <c r="L306" s="304">
        <f t="shared" ca="1" si="116"/>
        <v>1367.0614406009565</v>
      </c>
      <c r="M306" s="306">
        <f t="shared" ca="1" si="132"/>
        <v>0.96568256707452682</v>
      </c>
      <c r="N306" s="304">
        <f t="shared" ca="1" si="133"/>
        <v>55.329535442729423</v>
      </c>
      <c r="P306" s="310">
        <f t="shared" ca="1" si="134"/>
        <v>23</v>
      </c>
      <c r="Q306" s="304">
        <f t="shared" ca="1" si="135"/>
        <v>0</v>
      </c>
      <c r="R306" s="306">
        <f t="shared" ca="1" si="136"/>
        <v>0</v>
      </c>
      <c r="S306" s="307">
        <f t="shared" ca="1" si="137"/>
        <v>7.4499999999999984</v>
      </c>
      <c r="T306" s="304">
        <f t="shared" ca="1" si="117"/>
        <v>73.084499999999991</v>
      </c>
      <c r="U306" s="311">
        <f t="shared" ca="1" si="118"/>
        <v>0</v>
      </c>
      <c r="V306" s="306">
        <f t="shared" ca="1" si="119"/>
        <v>1.0733134162275768</v>
      </c>
      <c r="W306" s="304">
        <f t="shared" ca="1" si="120"/>
        <v>6.2412208314605326</v>
      </c>
      <c r="Y306" s="314" t="str">
        <f t="shared" ca="1" si="138"/>
        <v/>
      </c>
      <c r="Z306" s="315" t="str">
        <f t="shared" ca="1" si="139"/>
        <v/>
      </c>
      <c r="AA306" s="316" t="str">
        <f t="shared" ca="1" si="140"/>
        <v/>
      </c>
      <c r="AC306" s="310" t="e">
        <f t="shared" ca="1" si="141"/>
        <v>#N/A</v>
      </c>
      <c r="AD306" s="323" t="e">
        <f t="shared" ca="1" si="142"/>
        <v>#N/A</v>
      </c>
      <c r="AE306" s="324">
        <f t="shared" ca="1" si="121"/>
        <v>1319.9817109487149</v>
      </c>
      <c r="AG306" s="306">
        <f t="shared" ca="1" si="143"/>
        <v>-9.0141951064785317</v>
      </c>
      <c r="AH306" s="304">
        <f t="shared" ca="1" si="144"/>
        <v>-0.87417804451770975</v>
      </c>
    </row>
    <row r="307" spans="1:34" x14ac:dyDescent="0.2">
      <c r="A307" s="347">
        <f t="shared" ca="1" si="122"/>
        <v>0.1</v>
      </c>
      <c r="B307" s="304">
        <f t="shared" ca="1" si="123"/>
        <v>12.299999999999974</v>
      </c>
      <c r="D307" s="306">
        <f t="shared" ca="1" si="124"/>
        <v>-0.47655753981602605</v>
      </c>
      <c r="E307" s="307">
        <f t="shared" ca="1" si="125"/>
        <v>-10.498995083441214</v>
      </c>
      <c r="F307" s="304">
        <f t="shared" ca="1" si="126"/>
        <v>10.50980517663759</v>
      </c>
      <c r="G307" s="306">
        <f t="shared" ca="1" si="127"/>
        <v>23.896066504563557</v>
      </c>
      <c r="H307" s="307">
        <f t="shared" ca="1" si="128"/>
        <v>33.567340881532445</v>
      </c>
      <c r="I307" s="304">
        <f t="shared" ca="1" si="129"/>
        <v>41.204227553098526</v>
      </c>
      <c r="J307" s="306">
        <f t="shared" ca="1" si="130"/>
        <v>358.06777598942739</v>
      </c>
      <c r="K307" s="307">
        <f t="shared" ca="1" si="131"/>
        <v>1323.3909400122852</v>
      </c>
      <c r="L307" s="304">
        <f t="shared" ca="1" si="116"/>
        <v>1370.9763354298332</v>
      </c>
      <c r="M307" s="306">
        <f t="shared" ca="1" si="132"/>
        <v>0.95213870331227191</v>
      </c>
      <c r="N307" s="304">
        <f t="shared" ca="1" si="133"/>
        <v>54.553529210852034</v>
      </c>
      <c r="P307" s="310">
        <f t="shared" ca="1" si="134"/>
        <v>23</v>
      </c>
      <c r="Q307" s="304">
        <f t="shared" ca="1" si="135"/>
        <v>0</v>
      </c>
      <c r="R307" s="306">
        <f t="shared" ca="1" si="136"/>
        <v>0</v>
      </c>
      <c r="S307" s="307">
        <f t="shared" ca="1" si="137"/>
        <v>7.4499999999999984</v>
      </c>
      <c r="T307" s="304">
        <f t="shared" ca="1" si="117"/>
        <v>73.084499999999991</v>
      </c>
      <c r="U307" s="311">
        <f t="shared" ca="1" si="118"/>
        <v>0</v>
      </c>
      <c r="V307" s="306">
        <f t="shared" ca="1" si="119"/>
        <v>1.0729459569938256</v>
      </c>
      <c r="W307" s="304">
        <f t="shared" ca="1" si="120"/>
        <v>5.978953798410795</v>
      </c>
      <c r="Y307" s="314" t="str">
        <f t="shared" ca="1" si="138"/>
        <v/>
      </c>
      <c r="Z307" s="315" t="str">
        <f t="shared" ca="1" si="139"/>
        <v/>
      </c>
      <c r="AA307" s="316" t="str">
        <f t="shared" ca="1" si="140"/>
        <v/>
      </c>
      <c r="AC307" s="310" t="e">
        <f t="shared" ca="1" si="141"/>
        <v>#N/A</v>
      </c>
      <c r="AD307" s="323" t="e">
        <f t="shared" ca="1" si="142"/>
        <v>#N/A</v>
      </c>
      <c r="AE307" s="324">
        <f t="shared" ca="1" si="121"/>
        <v>1323.3909400122852</v>
      </c>
      <c r="AG307" s="306">
        <f t="shared" ca="1" si="143"/>
        <v>-8.9058585594505271</v>
      </c>
      <c r="AH307" s="304">
        <f t="shared" ca="1" si="144"/>
        <v>-0.83774776261215222</v>
      </c>
    </row>
    <row r="308" spans="1:34" x14ac:dyDescent="0.2">
      <c r="A308" s="347">
        <f t="shared" ca="1" si="122"/>
        <v>0.1</v>
      </c>
      <c r="B308" s="304">
        <f t="shared" ca="1" si="123"/>
        <v>12.399999999999974</v>
      </c>
      <c r="D308" s="306">
        <f t="shared" ca="1" si="124"/>
        <v>-0.4654291352641704</v>
      </c>
      <c r="E308" s="307">
        <f t="shared" ca="1" si="125"/>
        <v>-10.463798751213956</v>
      </c>
      <c r="F308" s="304">
        <f t="shared" ca="1" si="126"/>
        <v>10.474144766321473</v>
      </c>
      <c r="G308" s="306">
        <f t="shared" ca="1" si="127"/>
        <v>23.849523591037141</v>
      </c>
      <c r="H308" s="307">
        <f t="shared" ca="1" si="128"/>
        <v>32.520961006411049</v>
      </c>
      <c r="I308" s="304">
        <f t="shared" ca="1" si="129"/>
        <v>40.328807077571057</v>
      </c>
      <c r="J308" s="306">
        <f t="shared" ca="1" si="130"/>
        <v>360.45505549420744</v>
      </c>
      <c r="K308" s="307">
        <f t="shared" ca="1" si="131"/>
        <v>1326.6953551066824</v>
      </c>
      <c r="L308" s="304">
        <f t="shared" ca="1" si="116"/>
        <v>1374.7903157547257</v>
      </c>
      <c r="M308" s="306">
        <f t="shared" ca="1" si="132"/>
        <v>0.93803111820767926</v>
      </c>
      <c r="N308" s="304">
        <f t="shared" ca="1" si="133"/>
        <v>53.74522412523725</v>
      </c>
      <c r="P308" s="310">
        <f t="shared" ca="1" si="134"/>
        <v>23</v>
      </c>
      <c r="Q308" s="304">
        <f t="shared" ca="1" si="135"/>
        <v>0</v>
      </c>
      <c r="R308" s="306">
        <f t="shared" ca="1" si="136"/>
        <v>0</v>
      </c>
      <c r="S308" s="307">
        <f t="shared" ca="1" si="137"/>
        <v>7.4499999999999984</v>
      </c>
      <c r="T308" s="304">
        <f t="shared" ca="1" si="117"/>
        <v>73.084499999999991</v>
      </c>
      <c r="U308" s="311">
        <f t="shared" ca="1" si="118"/>
        <v>0</v>
      </c>
      <c r="V308" s="306">
        <f t="shared" ca="1" si="119"/>
        <v>1.0725899071145562</v>
      </c>
      <c r="W308" s="304">
        <f t="shared" ca="1" si="120"/>
        <v>5.7256955748596994</v>
      </c>
      <c r="Y308" s="314" t="str">
        <f t="shared" ca="1" si="138"/>
        <v/>
      </c>
      <c r="Z308" s="315" t="str">
        <f t="shared" ca="1" si="139"/>
        <v/>
      </c>
      <c r="AA308" s="316" t="str">
        <f t="shared" ca="1" si="140"/>
        <v/>
      </c>
      <c r="AC308" s="310" t="e">
        <f t="shared" ca="1" si="141"/>
        <v>#N/A</v>
      </c>
      <c r="AD308" s="323" t="e">
        <f t="shared" ca="1" si="142"/>
        <v>#N/A</v>
      </c>
      <c r="AE308" s="324">
        <f t="shared" ca="1" si="121"/>
        <v>1326.6953551066824</v>
      </c>
      <c r="AG308" s="306">
        <f t="shared" ca="1" si="143"/>
        <v>-8.794336083602591</v>
      </c>
      <c r="AH308" s="304">
        <f t="shared" ca="1" si="144"/>
        <v>-0.80254413401487201</v>
      </c>
    </row>
    <row r="309" spans="1:34" x14ac:dyDescent="0.2">
      <c r="A309" s="347">
        <f t="shared" ca="1" si="122"/>
        <v>0.1</v>
      </c>
      <c r="B309" s="304">
        <f t="shared" ca="1" si="123"/>
        <v>12.499999999999973</v>
      </c>
      <c r="D309" s="306">
        <f t="shared" ca="1" si="124"/>
        <v>-0.45450253853840561</v>
      </c>
      <c r="E309" s="307">
        <f t="shared" ca="1" si="125"/>
        <v>-10.429754909430439</v>
      </c>
      <c r="F309" s="304">
        <f t="shared" ca="1" si="126"/>
        <v>10.439653252303268</v>
      </c>
      <c r="G309" s="306">
        <f t="shared" ca="1" si="127"/>
        <v>23.804073337183301</v>
      </c>
      <c r="H309" s="307">
        <f t="shared" ca="1" si="128"/>
        <v>31.477985515468006</v>
      </c>
      <c r="I309" s="304">
        <f t="shared" ca="1" si="129"/>
        <v>39.465142588796184</v>
      </c>
      <c r="J309" s="306">
        <f t="shared" ca="1" si="130"/>
        <v>362.83773534061845</v>
      </c>
      <c r="K309" s="307">
        <f t="shared" ca="1" si="131"/>
        <v>1329.8953024327764</v>
      </c>
      <c r="L309" s="304">
        <f t="shared" ca="1" si="116"/>
        <v>1378.503803991804</v>
      </c>
      <c r="M309" s="306">
        <f t="shared" ca="1" si="132"/>
        <v>0.92333050990431842</v>
      </c>
      <c r="N309" s="304">
        <f t="shared" ca="1" si="133"/>
        <v>52.902941313179703</v>
      </c>
      <c r="P309" s="310">
        <f t="shared" ca="1" si="134"/>
        <v>23</v>
      </c>
      <c r="Q309" s="304">
        <f t="shared" ca="1" si="135"/>
        <v>0</v>
      </c>
      <c r="R309" s="306">
        <f t="shared" ca="1" si="136"/>
        <v>0</v>
      </c>
      <c r="S309" s="307">
        <f t="shared" ca="1" si="137"/>
        <v>7.4499999999999984</v>
      </c>
      <c r="T309" s="304">
        <f t="shared" ca="1" si="117"/>
        <v>73.084499999999991</v>
      </c>
      <c r="U309" s="311">
        <f t="shared" ca="1" si="118"/>
        <v>0</v>
      </c>
      <c r="V309" s="306">
        <f t="shared" ca="1" si="119"/>
        <v>1.0722452187522609</v>
      </c>
      <c r="W309" s="304">
        <f t="shared" ca="1" si="120"/>
        <v>5.4813213872981912</v>
      </c>
      <c r="Y309" s="314" t="str">
        <f t="shared" ca="1" si="138"/>
        <v/>
      </c>
      <c r="Z309" s="315" t="str">
        <f t="shared" ca="1" si="139"/>
        <v/>
      </c>
      <c r="AA309" s="316" t="str">
        <f t="shared" ca="1" si="140"/>
        <v/>
      </c>
      <c r="AC309" s="310" t="e">
        <f t="shared" ca="1" si="141"/>
        <v>#N/A</v>
      </c>
      <c r="AD309" s="323" t="e">
        <f t="shared" ca="1" si="142"/>
        <v>#N/A</v>
      </c>
      <c r="AE309" s="324">
        <f t="shared" ca="1" si="121"/>
        <v>1329.8953024327764</v>
      </c>
      <c r="AG309" s="306">
        <f t="shared" ca="1" si="143"/>
        <v>-8.6792877621648472</v>
      </c>
      <c r="AH309" s="304">
        <f t="shared" ca="1" si="144"/>
        <v>-0.76854974159190614</v>
      </c>
    </row>
    <row r="310" spans="1:34" x14ac:dyDescent="0.2">
      <c r="A310" s="347">
        <f t="shared" ca="1" si="122"/>
        <v>0.1</v>
      </c>
      <c r="B310" s="304">
        <f t="shared" ca="1" si="123"/>
        <v>12.599999999999973</v>
      </c>
      <c r="D310" s="306">
        <f t="shared" ca="1" si="124"/>
        <v>-0.44377884700359016</v>
      </c>
      <c r="E310" s="307">
        <f t="shared" ca="1" si="125"/>
        <v>-10.39684343306191</v>
      </c>
      <c r="F310" s="304">
        <f t="shared" ca="1" si="126"/>
        <v>10.406310250835807</v>
      </c>
      <c r="G310" s="306">
        <f t="shared" ca="1" si="127"/>
        <v>23.759695452482941</v>
      </c>
      <c r="H310" s="307">
        <f t="shared" ca="1" si="128"/>
        <v>30.438301172161815</v>
      </c>
      <c r="I310" s="304">
        <f t="shared" ca="1" si="129"/>
        <v>38.613641452755601</v>
      </c>
      <c r="J310" s="306">
        <f t="shared" ca="1" si="130"/>
        <v>365.21592378010178</v>
      </c>
      <c r="K310" s="307">
        <f t="shared" ca="1" si="131"/>
        <v>1332.9911167671578</v>
      </c>
      <c r="L310" s="304">
        <f t="shared" ca="1" si="116"/>
        <v>1382.1172122373368</v>
      </c>
      <c r="M310" s="306">
        <f t="shared" ca="1" si="132"/>
        <v>0.9080061321421371</v>
      </c>
      <c r="N310" s="304">
        <f t="shared" ca="1" si="133"/>
        <v>52.024919143742579</v>
      </c>
      <c r="P310" s="310">
        <f t="shared" ca="1" si="134"/>
        <v>23</v>
      </c>
      <c r="Q310" s="304">
        <f t="shared" ca="1" si="135"/>
        <v>0</v>
      </c>
      <c r="R310" s="306">
        <f t="shared" ca="1" si="136"/>
        <v>0</v>
      </c>
      <c r="S310" s="307">
        <f t="shared" ca="1" si="137"/>
        <v>7.4499999999999984</v>
      </c>
      <c r="T310" s="304">
        <f t="shared" ca="1" si="117"/>
        <v>73.084499999999991</v>
      </c>
      <c r="U310" s="311">
        <f t="shared" ca="1" si="118"/>
        <v>0</v>
      </c>
      <c r="V310" s="306">
        <f t="shared" ca="1" si="119"/>
        <v>1.0719118456852177</v>
      </c>
      <c r="W310" s="304">
        <f t="shared" ca="1" si="120"/>
        <v>5.2457113030373517</v>
      </c>
      <c r="Y310" s="314" t="str">
        <f t="shared" ca="1" si="138"/>
        <v/>
      </c>
      <c r="Z310" s="315" t="str">
        <f t="shared" ca="1" si="139"/>
        <v/>
      </c>
      <c r="AA310" s="316" t="str">
        <f t="shared" ca="1" si="140"/>
        <v/>
      </c>
      <c r="AC310" s="310" t="e">
        <f t="shared" ca="1" si="141"/>
        <v>#N/A</v>
      </c>
      <c r="AD310" s="323" t="e">
        <f t="shared" ca="1" si="142"/>
        <v>#N/A</v>
      </c>
      <c r="AE310" s="324">
        <f t="shared" ca="1" si="121"/>
        <v>1332.9911167671578</v>
      </c>
      <c r="AG310" s="306">
        <f t="shared" ca="1" si="143"/>
        <v>-8.5603499455741012</v>
      </c>
      <c r="AH310" s="304">
        <f t="shared" ca="1" si="144"/>
        <v>-0.73574783722123382</v>
      </c>
    </row>
    <row r="311" spans="1:34" x14ac:dyDescent="0.2">
      <c r="A311" s="347">
        <f t="shared" ca="1" si="122"/>
        <v>0.1</v>
      </c>
      <c r="B311" s="304">
        <f t="shared" ca="1" si="123"/>
        <v>12.699999999999973</v>
      </c>
      <c r="D311" s="306">
        <f t="shared" ca="1" si="124"/>
        <v>-0.43325962835385912</v>
      </c>
      <c r="E311" s="307">
        <f t="shared" ca="1" si="125"/>
        <v>-10.365044448273665</v>
      </c>
      <c r="F311" s="304">
        <f t="shared" ca="1" si="126"/>
        <v>10.374095638668946</v>
      </c>
      <c r="G311" s="306">
        <f t="shared" ca="1" si="127"/>
        <v>23.716369489647555</v>
      </c>
      <c r="H311" s="307">
        <f t="shared" ca="1" si="128"/>
        <v>29.40179672733445</v>
      </c>
      <c r="I311" s="304">
        <f t="shared" ca="1" si="129"/>
        <v>37.774751257486528</v>
      </c>
      <c r="J311" s="306">
        <f t="shared" ca="1" si="130"/>
        <v>367.58972702720831</v>
      </c>
      <c r="K311" s="307">
        <f t="shared" ca="1" si="131"/>
        <v>1335.9831216621326</v>
      </c>
      <c r="L311" s="304">
        <f t="shared" ca="1" si="116"/>
        <v>1385.6309424886679</v>
      </c>
      <c r="M311" s="306">
        <f t="shared" ca="1" si="132"/>
        <v>0.89202579311683083</v>
      </c>
      <c r="N311" s="304">
        <f t="shared" ca="1" si="133"/>
        <v>51.109313162404327</v>
      </c>
      <c r="P311" s="310">
        <f t="shared" ca="1" si="134"/>
        <v>23</v>
      </c>
      <c r="Q311" s="304">
        <f t="shared" ca="1" si="135"/>
        <v>0</v>
      </c>
      <c r="R311" s="306">
        <f t="shared" ca="1" si="136"/>
        <v>0</v>
      </c>
      <c r="S311" s="307">
        <f t="shared" ca="1" si="137"/>
        <v>7.4499999999999984</v>
      </c>
      <c r="T311" s="304">
        <f t="shared" ca="1" si="117"/>
        <v>73.084499999999991</v>
      </c>
      <c r="U311" s="311">
        <f t="shared" ca="1" si="118"/>
        <v>0</v>
      </c>
      <c r="V311" s="306">
        <f t="shared" ca="1" si="119"/>
        <v>1.0715897432797916</v>
      </c>
      <c r="W311" s="304">
        <f t="shared" ca="1" si="120"/>
        <v>5.0187500920772425</v>
      </c>
      <c r="Y311" s="314" t="str">
        <f t="shared" ca="1" si="138"/>
        <v/>
      </c>
      <c r="Z311" s="315" t="str">
        <f t="shared" ca="1" si="139"/>
        <v/>
      </c>
      <c r="AA311" s="316" t="str">
        <f t="shared" ca="1" si="140"/>
        <v/>
      </c>
      <c r="AC311" s="310" t="e">
        <f t="shared" ca="1" si="141"/>
        <v>#N/A</v>
      </c>
      <c r="AD311" s="323" t="e">
        <f t="shared" ca="1" si="142"/>
        <v>#N/A</v>
      </c>
      <c r="AE311" s="324">
        <f t="shared" ca="1" si="121"/>
        <v>1335.9831216621326</v>
      </c>
      <c r="AG311" s="306">
        <f t="shared" ca="1" si="143"/>
        <v>-8.4371338507285945</v>
      </c>
      <c r="AH311" s="304">
        <f t="shared" ca="1" si="144"/>
        <v>-0.70412232255534934</v>
      </c>
    </row>
    <row r="312" spans="1:34" x14ac:dyDescent="0.2">
      <c r="A312" s="347">
        <f t="shared" ca="1" si="122"/>
        <v>0.1</v>
      </c>
      <c r="B312" s="304">
        <f t="shared" ca="1" si="123"/>
        <v>12.799999999999972</v>
      </c>
      <c r="D312" s="306">
        <f t="shared" ca="1" si="124"/>
        <v>-0.422946945083024</v>
      </c>
      <c r="E312" s="307">
        <f t="shared" ca="1" si="125"/>
        <v>-10.334338268182504</v>
      </c>
      <c r="F312" s="304">
        <f t="shared" ca="1" si="126"/>
        <v>10.342989488517158</v>
      </c>
      <c r="G312" s="306">
        <f t="shared" ca="1" si="127"/>
        <v>23.674074795139251</v>
      </c>
      <c r="H312" s="307">
        <f t="shared" ca="1" si="128"/>
        <v>28.3683629005162</v>
      </c>
      <c r="I312" s="304">
        <f t="shared" ca="1" si="129"/>
        <v>36.948962516709877</v>
      </c>
      <c r="J312" s="306">
        <f t="shared" ca="1" si="130"/>
        <v>369.95924924144765</v>
      </c>
      <c r="K312" s="307">
        <f t="shared" ca="1" si="131"/>
        <v>1338.871629643525</v>
      </c>
      <c r="L312" s="304">
        <f t="shared" ca="1" si="116"/>
        <v>1389.0453868623604</v>
      </c>
      <c r="M312" s="306">
        <f t="shared" ca="1" si="132"/>
        <v>0.87535587495266443</v>
      </c>
      <c r="N312" s="304">
        <f t="shared" ca="1" si="133"/>
        <v>50.154197206769119</v>
      </c>
      <c r="P312" s="310">
        <f t="shared" ca="1" si="134"/>
        <v>23</v>
      </c>
      <c r="Q312" s="304">
        <f t="shared" ca="1" si="135"/>
        <v>0</v>
      </c>
      <c r="R312" s="306">
        <f t="shared" ca="1" si="136"/>
        <v>0</v>
      </c>
      <c r="S312" s="307">
        <f t="shared" ca="1" si="137"/>
        <v>7.4499999999999984</v>
      </c>
      <c r="T312" s="304">
        <f t="shared" ca="1" si="117"/>
        <v>73.084499999999991</v>
      </c>
      <c r="U312" s="311">
        <f t="shared" ca="1" si="118"/>
        <v>0</v>
      </c>
      <c r="V312" s="306">
        <f t="shared" ca="1" si="119"/>
        <v>1.0712788684632324</v>
      </c>
      <c r="W312" s="304">
        <f t="shared" ca="1" si="120"/>
        <v>4.8003270937948379</v>
      </c>
      <c r="Y312" s="314" t="str">
        <f t="shared" ca="1" si="138"/>
        <v/>
      </c>
      <c r="Z312" s="315" t="str">
        <f t="shared" ca="1" si="139"/>
        <v/>
      </c>
      <c r="AA312" s="316" t="str">
        <f t="shared" ca="1" si="140"/>
        <v/>
      </c>
      <c r="AC312" s="310" t="e">
        <f t="shared" ca="1" si="141"/>
        <v>#N/A</v>
      </c>
      <c r="AD312" s="323" t="e">
        <f t="shared" ca="1" si="142"/>
        <v>#N/A</v>
      </c>
      <c r="AE312" s="324">
        <f t="shared" ca="1" si="121"/>
        <v>1338.871629643525</v>
      </c>
      <c r="AG312" s="306">
        <f t="shared" ca="1" si="143"/>
        <v>-8.3092242476253215</v>
      </c>
      <c r="AH312" s="304">
        <f t="shared" ca="1" si="144"/>
        <v>-0.67365773048016697</v>
      </c>
    </row>
    <row r="313" spans="1:34" x14ac:dyDescent="0.2">
      <c r="A313" s="347">
        <f t="shared" ca="1" si="122"/>
        <v>0.1</v>
      </c>
      <c r="B313" s="304">
        <f t="shared" ca="1" si="123"/>
        <v>12.899999999999972</v>
      </c>
      <c r="D313" s="306">
        <f t="shared" ca="1" si="124"/>
        <v>-0.4128433803327225</v>
      </c>
      <c r="E313" s="307">
        <f t="shared" ca="1" si="125"/>
        <v>-10.304705323680027</v>
      </c>
      <c r="F313" s="304">
        <f t="shared" ca="1" si="126"/>
        <v>10.312971999601475</v>
      </c>
      <c r="G313" s="306">
        <f t="shared" ca="1" si="127"/>
        <v>23.63279045710598</v>
      </c>
      <c r="H313" s="307">
        <f t="shared" ca="1" si="128"/>
        <v>27.337892368148196</v>
      </c>
      <c r="I313" s="304">
        <f t="shared" ca="1" si="129"/>
        <v>36.136811479735385</v>
      </c>
      <c r="J313" s="306">
        <f t="shared" ca="1" si="130"/>
        <v>372.32459250405992</v>
      </c>
      <c r="K313" s="307">
        <f t="shared" ca="1" si="131"/>
        <v>1341.6569424069583</v>
      </c>
      <c r="L313" s="304">
        <f t="shared" ca="1" si="116"/>
        <v>1392.3609278100639</v>
      </c>
      <c r="M313" s="306">
        <f t="shared" ca="1" si="132"/>
        <v>0.85796137913735115</v>
      </c>
      <c r="N313" s="304">
        <f t="shared" ca="1" si="133"/>
        <v>49.157566009793698</v>
      </c>
      <c r="P313" s="310">
        <f t="shared" ca="1" si="134"/>
        <v>23</v>
      </c>
      <c r="Q313" s="304">
        <f t="shared" ca="1" si="135"/>
        <v>0</v>
      </c>
      <c r="R313" s="306">
        <f t="shared" ca="1" si="136"/>
        <v>0</v>
      </c>
      <c r="S313" s="307">
        <f t="shared" ca="1" si="137"/>
        <v>7.4499999999999984</v>
      </c>
      <c r="T313" s="304">
        <f t="shared" ca="1" si="117"/>
        <v>73.084499999999991</v>
      </c>
      <c r="U313" s="311">
        <f t="shared" ca="1" si="118"/>
        <v>0</v>
      </c>
      <c r="V313" s="306">
        <f t="shared" ca="1" si="119"/>
        <v>1.0709791796968917</v>
      </c>
      <c r="W313" s="304">
        <f t="shared" ca="1" si="120"/>
        <v>4.5903360880805666</v>
      </c>
      <c r="Y313" s="314" t="str">
        <f t="shared" ca="1" si="138"/>
        <v/>
      </c>
      <c r="Z313" s="315" t="str">
        <f t="shared" ca="1" si="139"/>
        <v/>
      </c>
      <c r="AA313" s="316" t="str">
        <f t="shared" ca="1" si="140"/>
        <v/>
      </c>
      <c r="AC313" s="310" t="e">
        <f t="shared" ca="1" si="141"/>
        <v>#N/A</v>
      </c>
      <c r="AD313" s="323" t="e">
        <f t="shared" ca="1" si="142"/>
        <v>#N/A</v>
      </c>
      <c r="AE313" s="324">
        <f t="shared" ca="1" si="121"/>
        <v>1341.6569424069583</v>
      </c>
      <c r="AG313" s="306">
        <f t="shared" ca="1" si="143"/>
        <v>-8.176178292775834</v>
      </c>
      <c r="AH313" s="304">
        <f t="shared" ca="1" si="144"/>
        <v>-0.64433920722078375</v>
      </c>
    </row>
    <row r="314" spans="1:34" x14ac:dyDescent="0.2">
      <c r="A314" s="347">
        <f t="shared" ca="1" si="122"/>
        <v>0.1</v>
      </c>
      <c r="B314" s="304">
        <f t="shared" ca="1" si="123"/>
        <v>12.999999999999972</v>
      </c>
      <c r="D314" s="306">
        <f t="shared" ca="1" si="124"/>
        <v>-0.40295206490955443</v>
      </c>
      <c r="E314" s="307">
        <f t="shared" ca="1" si="125"/>
        <v>-10.276126088665428</v>
      </c>
      <c r="F314" s="304">
        <f t="shared" ca="1" si="126"/>
        <v>10.284023422608737</v>
      </c>
      <c r="G314" s="306">
        <f t="shared" ca="1" si="127"/>
        <v>23.592495250615023</v>
      </c>
      <c r="H314" s="307">
        <f t="shared" ca="1" si="128"/>
        <v>26.310279759281652</v>
      </c>
      <c r="I314" s="304">
        <f t="shared" ca="1" si="129"/>
        <v>35.338883020859022</v>
      </c>
      <c r="J314" s="306">
        <f t="shared" ca="1" si="130"/>
        <v>374.68585678944595</v>
      </c>
      <c r="K314" s="307">
        <f t="shared" ca="1" si="131"/>
        <v>1344.3393510133296</v>
      </c>
      <c r="L314" s="304">
        <f t="shared" ca="1" si="116"/>
        <v>1395.5779383327115</v>
      </c>
      <c r="M314" s="306">
        <f t="shared" ca="1" si="132"/>
        <v>0.8398060042093265</v>
      </c>
      <c r="N314" s="304">
        <f t="shared" ca="1" si="133"/>
        <v>48.117339650940259</v>
      </c>
      <c r="P314" s="310">
        <f t="shared" ca="1" si="134"/>
        <v>23</v>
      </c>
      <c r="Q314" s="304">
        <f t="shared" ca="1" si="135"/>
        <v>0</v>
      </c>
      <c r="R314" s="306">
        <f t="shared" ca="1" si="136"/>
        <v>0</v>
      </c>
      <c r="S314" s="307">
        <f t="shared" ca="1" si="137"/>
        <v>7.4499999999999984</v>
      </c>
      <c r="T314" s="304">
        <f t="shared" ca="1" si="117"/>
        <v>73.084499999999991</v>
      </c>
      <c r="U314" s="311">
        <f t="shared" ca="1" si="118"/>
        <v>0</v>
      </c>
      <c r="V314" s="306">
        <f t="shared" ca="1" si="119"/>
        <v>1.0706906369497782</v>
      </c>
      <c r="W314" s="304">
        <f t="shared" ca="1" si="120"/>
        <v>4.3886751705487059</v>
      </c>
      <c r="Y314" s="314" t="str">
        <f t="shared" ca="1" si="138"/>
        <v/>
      </c>
      <c r="Z314" s="315" t="str">
        <f t="shared" ca="1" si="139"/>
        <v/>
      </c>
      <c r="AA314" s="316" t="str">
        <f t="shared" ca="1" si="140"/>
        <v/>
      </c>
      <c r="AC314" s="310">
        <f t="shared" ca="1" si="141"/>
        <v>12.999999999999972</v>
      </c>
      <c r="AD314" s="323">
        <f t="shared" ca="1" si="142"/>
        <v>374.68585678944595</v>
      </c>
      <c r="AE314" s="324">
        <f t="shared" ca="1" si="121"/>
        <v>1344.3393510133296</v>
      </c>
      <c r="AG314" s="306">
        <f t="shared" ca="1" si="143"/>
        <v>-8.0375245848848138</v>
      </c>
      <c r="AH314" s="304">
        <f t="shared" ca="1" si="144"/>
        <v>-0.61615249504437153</v>
      </c>
    </row>
    <row r="315" spans="1:34" x14ac:dyDescent="0.2">
      <c r="A315" s="347">
        <f t="shared" ca="1" si="122"/>
        <v>0.1</v>
      </c>
      <c r="B315" s="304">
        <f t="shared" ca="1" si="123"/>
        <v>13.099999999999971</v>
      </c>
      <c r="D315" s="306">
        <f t="shared" ca="1" si="124"/>
        <v>-0.39327670517139712</v>
      </c>
      <c r="E315" s="307">
        <f t="shared" ca="1" si="125"/>
        <v>-10.248580998997902</v>
      </c>
      <c r="F315" s="304">
        <f t="shared" ca="1" si="126"/>
        <v>10.256123978377568</v>
      </c>
      <c r="G315" s="306">
        <f t="shared" ca="1" si="127"/>
        <v>23.553167580097885</v>
      </c>
      <c r="H315" s="307">
        <f t="shared" ca="1" si="128"/>
        <v>25.285421659381861</v>
      </c>
      <c r="I315" s="304">
        <f t="shared" ca="1" si="129"/>
        <v>34.555813570930603</v>
      </c>
      <c r="J315" s="306">
        <f t="shared" ca="1" si="130"/>
        <v>377.04313993098157</v>
      </c>
      <c r="K315" s="307">
        <f t="shared" ca="1" si="131"/>
        <v>1346.9191360842628</v>
      </c>
      <c r="L315" s="304">
        <f t="shared" ca="1" si="116"/>
        <v>1398.6967821936928</v>
      </c>
      <c r="M315" s="306">
        <f t="shared" ca="1" si="132"/>
        <v>0.82085226301205083</v>
      </c>
      <c r="N315" s="304">
        <f t="shared" ca="1" si="133"/>
        <v>47.031370274353122</v>
      </c>
      <c r="P315" s="310">
        <f t="shared" ca="1" si="134"/>
        <v>23</v>
      </c>
      <c r="Q315" s="304">
        <f t="shared" ca="1" si="135"/>
        <v>0</v>
      </c>
      <c r="R315" s="306">
        <f t="shared" ca="1" si="136"/>
        <v>0</v>
      </c>
      <c r="S315" s="307">
        <f t="shared" ca="1" si="137"/>
        <v>7.4499999999999984</v>
      </c>
      <c r="T315" s="304">
        <f t="shared" ca="1" si="117"/>
        <v>73.084499999999991</v>
      </c>
      <c r="U315" s="311">
        <f t="shared" ca="1" si="118"/>
        <v>0</v>
      </c>
      <c r="V315" s="306">
        <f t="shared" ca="1" si="119"/>
        <v>1.0704132016723531</v>
      </c>
      <c r="W315" s="304">
        <f t="shared" ca="1" si="120"/>
        <v>4.1952466314401535</v>
      </c>
      <c r="Y315" s="314" t="str">
        <f t="shared" ca="1" si="138"/>
        <v/>
      </c>
      <c r="Z315" s="315" t="str">
        <f t="shared" ca="1" si="139"/>
        <v/>
      </c>
      <c r="AA315" s="316" t="str">
        <f t="shared" ca="1" si="140"/>
        <v/>
      </c>
      <c r="AC315" s="310" t="e">
        <f t="shared" ca="1" si="141"/>
        <v>#N/A</v>
      </c>
      <c r="AD315" s="323" t="e">
        <f t="shared" ca="1" si="142"/>
        <v>#N/A</v>
      </c>
      <c r="AE315" s="324">
        <f t="shared" ca="1" si="121"/>
        <v>1346.9191360842628</v>
      </c>
      <c r="AG315" s="306">
        <f t="shared" ca="1" si="143"/>
        <v>-7.892762537332926</v>
      </c>
      <c r="AH315" s="304">
        <f t="shared" ca="1" si="144"/>
        <v>-0.58908391550989359</v>
      </c>
    </row>
    <row r="316" spans="1:34" x14ac:dyDescent="0.2">
      <c r="A316" s="347">
        <f t="shared" ca="1" si="122"/>
        <v>0.1</v>
      </c>
      <c r="B316" s="304">
        <f t="shared" ca="1" si="123"/>
        <v>13.199999999999971</v>
      </c>
      <c r="D316" s="306">
        <f t="shared" ca="1" si="124"/>
        <v>-0.38382161137012311</v>
      </c>
      <c r="E316" s="307">
        <f t="shared" ca="1" si="125"/>
        <v>-10.222050364456187</v>
      </c>
      <c r="F316" s="304">
        <f t="shared" ca="1" si="126"/>
        <v>10.229253769597939</v>
      </c>
      <c r="G316" s="306">
        <f t="shared" ca="1" si="127"/>
        <v>23.514785418960873</v>
      </c>
      <c r="H316" s="307">
        <f t="shared" ca="1" si="128"/>
        <v>24.263216622936241</v>
      </c>
      <c r="I316" s="304">
        <f t="shared" ca="1" si="129"/>
        <v>33.788294040855398</v>
      </c>
      <c r="J316" s="306">
        <f t="shared" ca="1" si="130"/>
        <v>379.39653758093448</v>
      </c>
      <c r="K316" s="307">
        <f t="shared" ca="1" si="131"/>
        <v>1349.3965679983787</v>
      </c>
      <c r="L316" s="304">
        <f t="shared" ca="1" si="116"/>
        <v>1401.717814131719</v>
      </c>
      <c r="M316" s="306">
        <f t="shared" ca="1" si="132"/>
        <v>0.80106164791130052</v>
      </c>
      <c r="N316" s="304">
        <f t="shared" ca="1" si="133"/>
        <v>45.897451555112255</v>
      </c>
      <c r="P316" s="310">
        <f t="shared" ca="1" si="134"/>
        <v>23</v>
      </c>
      <c r="Q316" s="304">
        <f t="shared" ca="1" si="135"/>
        <v>0</v>
      </c>
      <c r="R316" s="306">
        <f t="shared" ca="1" si="136"/>
        <v>0</v>
      </c>
      <c r="S316" s="307">
        <f t="shared" ca="1" si="137"/>
        <v>7.4499999999999984</v>
      </c>
      <c r="T316" s="304">
        <f t="shared" ca="1" si="117"/>
        <v>73.084499999999991</v>
      </c>
      <c r="U316" s="311">
        <f t="shared" ca="1" si="118"/>
        <v>0</v>
      </c>
      <c r="V316" s="306">
        <f t="shared" ca="1" si="119"/>
        <v>1.0701468367704792</v>
      </c>
      <c r="W316" s="304">
        <f t="shared" ca="1" si="120"/>
        <v>4.0099568378268602</v>
      </c>
      <c r="Y316" s="314" t="str">
        <f t="shared" ca="1" si="138"/>
        <v/>
      </c>
      <c r="Z316" s="315" t="str">
        <f t="shared" ca="1" si="139"/>
        <v/>
      </c>
      <c r="AA316" s="316" t="str">
        <f t="shared" ca="1" si="140"/>
        <v/>
      </c>
      <c r="AC316" s="310" t="e">
        <f t="shared" ca="1" si="141"/>
        <v>#N/A</v>
      </c>
      <c r="AD316" s="323" t="e">
        <f t="shared" ca="1" si="142"/>
        <v>#N/A</v>
      </c>
      <c r="AE316" s="324">
        <f t="shared" ca="1" si="121"/>
        <v>1349.3965679983787</v>
      </c>
      <c r="AG316" s="306">
        <f t="shared" ca="1" si="143"/>
        <v>-7.741362184197369</v>
      </c>
      <c r="AH316" s="304">
        <f t="shared" ca="1" si="144"/>
        <v>-0.56312035321344356</v>
      </c>
    </row>
    <row r="317" spans="1:34" x14ac:dyDescent="0.2">
      <c r="A317" s="347">
        <f t="shared" ca="1" si="122"/>
        <v>0.1</v>
      </c>
      <c r="B317" s="304">
        <f t="shared" ca="1" si="123"/>
        <v>13.299999999999971</v>
      </c>
      <c r="D317" s="306">
        <f t="shared" ca="1" si="124"/>
        <v>-0.37459172589975065</v>
      </c>
      <c r="E317" s="307">
        <f t="shared" ca="1" si="125"/>
        <v>-10.196514272987436</v>
      </c>
      <c r="F317" s="304">
        <f t="shared" ca="1" si="126"/>
        <v>10.203392684805827</v>
      </c>
      <c r="G317" s="306">
        <f t="shared" ca="1" si="127"/>
        <v>23.477326246370897</v>
      </c>
      <c r="H317" s="307">
        <f t="shared" ca="1" si="128"/>
        <v>23.243565195637498</v>
      </c>
      <c r="I317" s="304">
        <f t="shared" ca="1" si="129"/>
        <v>33.037072671203582</v>
      </c>
      <c r="J317" s="306">
        <f t="shared" ca="1" si="130"/>
        <v>381.74614316420104</v>
      </c>
      <c r="K317" s="307">
        <f t="shared" ca="1" si="131"/>
        <v>1351.7719070893074</v>
      </c>
      <c r="L317" s="304">
        <f t="shared" ca="1" si="116"/>
        <v>1404.6413800741477</v>
      </c>
      <c r="M317" s="306">
        <f t="shared" ca="1" si="132"/>
        <v>0.78039485346635307</v>
      </c>
      <c r="N317" s="304">
        <f t="shared" ca="1" si="133"/>
        <v>44.713331457352353</v>
      </c>
      <c r="P317" s="310">
        <f t="shared" ca="1" si="134"/>
        <v>23</v>
      </c>
      <c r="Q317" s="304">
        <f t="shared" ca="1" si="135"/>
        <v>0</v>
      </c>
      <c r="R317" s="306">
        <f t="shared" ca="1" si="136"/>
        <v>0</v>
      </c>
      <c r="S317" s="307">
        <f t="shared" ca="1" si="137"/>
        <v>7.4499999999999984</v>
      </c>
      <c r="T317" s="304">
        <f t="shared" ca="1" si="117"/>
        <v>73.084499999999991</v>
      </c>
      <c r="U317" s="311">
        <f t="shared" ca="1" si="118"/>
        <v>0</v>
      </c>
      <c r="V317" s="306">
        <f t="shared" ca="1" si="119"/>
        <v>1.0698915065794052</v>
      </c>
      <c r="W317" s="304">
        <f t="shared" ca="1" si="120"/>
        <v>3.8327161187154988</v>
      </c>
      <c r="Y317" s="314" t="str">
        <f t="shared" ca="1" si="138"/>
        <v/>
      </c>
      <c r="Z317" s="315" t="str">
        <f t="shared" ca="1" si="139"/>
        <v/>
      </c>
      <c r="AA317" s="316" t="str">
        <f t="shared" ca="1" si="140"/>
        <v/>
      </c>
      <c r="AC317" s="310" t="e">
        <f t="shared" ca="1" si="141"/>
        <v>#N/A</v>
      </c>
      <c r="AD317" s="323" t="e">
        <f t="shared" ca="1" si="142"/>
        <v>#N/A</v>
      </c>
      <c r="AE317" s="324">
        <f t="shared" ca="1" si="121"/>
        <v>1351.7719070893074</v>
      </c>
      <c r="AG317" s="306">
        <f t="shared" ca="1" si="143"/>
        <v>-7.5827645618571156</v>
      </c>
      <c r="AH317" s="304">
        <f t="shared" ca="1" si="144"/>
        <v>-0.53824923997675989</v>
      </c>
    </row>
    <row r="318" spans="1:34" x14ac:dyDescent="0.2">
      <c r="A318" s="347">
        <f t="shared" ca="1" si="122"/>
        <v>0.1</v>
      </c>
      <c r="B318" s="304">
        <f t="shared" ca="1" si="123"/>
        <v>13.39999999999997</v>
      </c>
      <c r="D318" s="306">
        <f t="shared" ca="1" si="124"/>
        <v>-0.36559265073256875</v>
      </c>
      <c r="E318" s="307">
        <f t="shared" ca="1" si="125"/>
        <v>-10.171952486546971</v>
      </c>
      <c r="F318" s="304">
        <f t="shared" ca="1" si="126"/>
        <v>10.178520293973913</v>
      </c>
      <c r="G318" s="306">
        <f t="shared" ca="1" si="127"/>
        <v>23.440766981297639</v>
      </c>
      <c r="H318" s="307">
        <f t="shared" ca="1" si="128"/>
        <v>22.2263699469828</v>
      </c>
      <c r="I318" s="304">
        <f t="shared" ca="1" si="129"/>
        <v>32.302957723583667</v>
      </c>
      <c r="J318" s="306">
        <f t="shared" ca="1" si="130"/>
        <v>384.09204782558447</v>
      </c>
      <c r="K318" s="307">
        <f t="shared" ca="1" si="131"/>
        <v>1354.0454038464384</v>
      </c>
      <c r="L318" s="304">
        <f t="shared" ca="1" si="116"/>
        <v>1407.4678173516138</v>
      </c>
      <c r="M318" s="306">
        <f t="shared" ca="1" si="132"/>
        <v>0.75881206708727789</v>
      </c>
      <c r="N318" s="304">
        <f t="shared" ca="1" si="133"/>
        <v>43.476728887698904</v>
      </c>
      <c r="P318" s="310">
        <f t="shared" ca="1" si="134"/>
        <v>23</v>
      </c>
      <c r="Q318" s="304">
        <f t="shared" ca="1" si="135"/>
        <v>0</v>
      </c>
      <c r="R318" s="306">
        <f t="shared" ca="1" si="136"/>
        <v>0</v>
      </c>
      <c r="S318" s="307">
        <f t="shared" ca="1" si="137"/>
        <v>7.4499999999999984</v>
      </c>
      <c r="T318" s="304">
        <f t="shared" ca="1" si="117"/>
        <v>73.084499999999991</v>
      </c>
      <c r="U318" s="311">
        <f t="shared" ca="1" si="118"/>
        <v>0</v>
      </c>
      <c r="V318" s="306">
        <f t="shared" ca="1" si="119"/>
        <v>1.0696471768376865</v>
      </c>
      <c r="W318" s="304">
        <f t="shared" ca="1" si="120"/>
        <v>3.663438652633757</v>
      </c>
      <c r="Y318" s="314" t="str">
        <f t="shared" ca="1" si="138"/>
        <v/>
      </c>
      <c r="Z318" s="315" t="str">
        <f t="shared" ca="1" si="139"/>
        <v/>
      </c>
      <c r="AA318" s="316" t="str">
        <f t="shared" ca="1" si="140"/>
        <v/>
      </c>
      <c r="AC318" s="310" t="e">
        <f t="shared" ca="1" si="141"/>
        <v>#N/A</v>
      </c>
      <c r="AD318" s="323" t="e">
        <f t="shared" ca="1" si="142"/>
        <v>#N/A</v>
      </c>
      <c r="AE318" s="324">
        <f t="shared" ca="1" si="121"/>
        <v>1354.0454038464384</v>
      </c>
      <c r="AG318" s="306">
        <f t="shared" ca="1" si="143"/>
        <v>-7.4163828363664557</v>
      </c>
      <c r="AH318" s="304">
        <f t="shared" ca="1" si="144"/>
        <v>-0.51445853942489927</v>
      </c>
    </row>
    <row r="319" spans="1:34" x14ac:dyDescent="0.2">
      <c r="A319" s="347">
        <f t="shared" ca="1" si="122"/>
        <v>0.1</v>
      </c>
      <c r="B319" s="304">
        <f t="shared" ca="1" si="123"/>
        <v>13.49999999999997</v>
      </c>
      <c r="D319" s="306">
        <f t="shared" ca="1" si="124"/>
        <v>-0.35683067312843975</v>
      </c>
      <c r="E319" s="307">
        <f t="shared" ca="1" si="125"/>
        <v>-10.14834432788447</v>
      </c>
      <c r="F319" s="304">
        <f t="shared" ca="1" si="126"/>
        <v>10.154615735053206</v>
      </c>
      <c r="G319" s="306">
        <f t="shared" ca="1" si="127"/>
        <v>23.405083913984793</v>
      </c>
      <c r="H319" s="307">
        <f t="shared" ca="1" si="128"/>
        <v>21.211535514194352</v>
      </c>
      <c r="I319" s="304">
        <f t="shared" ca="1" si="129"/>
        <v>31.586819907844443</v>
      </c>
      <c r="J319" s="306">
        <f t="shared" ca="1" si="130"/>
        <v>386.43434037034859</v>
      </c>
      <c r="K319" s="307">
        <f t="shared" ca="1" si="131"/>
        <v>1356.2172991194973</v>
      </c>
      <c r="L319" s="304">
        <f t="shared" ca="1" si="116"/>
        <v>1410.1974549148961</v>
      </c>
      <c r="M319" s="306">
        <f t="shared" ca="1" si="132"/>
        <v>0.73627333910016257</v>
      </c>
      <c r="N319" s="304">
        <f t="shared" ca="1" si="133"/>
        <v>42.185354898443812</v>
      </c>
      <c r="P319" s="310">
        <f t="shared" ca="1" si="134"/>
        <v>23</v>
      </c>
      <c r="Q319" s="304">
        <f t="shared" ca="1" si="135"/>
        <v>0</v>
      </c>
      <c r="R319" s="306">
        <f t="shared" ca="1" si="136"/>
        <v>0</v>
      </c>
      <c r="S319" s="307">
        <f t="shared" ca="1" si="137"/>
        <v>7.4499999999999984</v>
      </c>
      <c r="T319" s="304">
        <f t="shared" ca="1" si="117"/>
        <v>73.084499999999991</v>
      </c>
      <c r="U319" s="311">
        <f t="shared" ca="1" si="118"/>
        <v>0</v>
      </c>
      <c r="V319" s="306">
        <f t="shared" ca="1" si="119"/>
        <v>1.0694138146609062</v>
      </c>
      <c r="W319" s="304">
        <f t="shared" ca="1" si="120"/>
        <v>3.5020423572661188</v>
      </c>
      <c r="Y319" s="314" t="str">
        <f t="shared" ca="1" si="138"/>
        <v/>
      </c>
      <c r="Z319" s="315" t="str">
        <f t="shared" ca="1" si="139"/>
        <v/>
      </c>
      <c r="AA319" s="316" t="str">
        <f t="shared" ca="1" si="140"/>
        <v/>
      </c>
      <c r="AC319" s="310" t="e">
        <f t="shared" ca="1" si="141"/>
        <v>#N/A</v>
      </c>
      <c r="AD319" s="323" t="e">
        <f t="shared" ca="1" si="142"/>
        <v>#N/A</v>
      </c>
      <c r="AE319" s="324">
        <f t="shared" ca="1" si="121"/>
        <v>1356.2172991194973</v>
      </c>
      <c r="AG319" s="306">
        <f t="shared" ca="1" si="143"/>
        <v>-7.2416043770111012</v>
      </c>
      <c r="AH319" s="304">
        <f t="shared" ca="1" si="144"/>
        <v>-0.49173673189714867</v>
      </c>
    </row>
    <row r="320" spans="1:34" x14ac:dyDescent="0.2">
      <c r="A320" s="347">
        <f t="shared" ca="1" si="122"/>
        <v>0.1</v>
      </c>
      <c r="B320" s="304">
        <f t="shared" ca="1" si="123"/>
        <v>13.599999999999969</v>
      </c>
      <c r="D320" s="306">
        <f t="shared" ca="1" si="124"/>
        <v>-0.34831278847291147</v>
      </c>
      <c r="E320" s="307">
        <f t="shared" ca="1" si="125"/>
        <v>-10.125668557732736</v>
      </c>
      <c r="F320" s="304">
        <f t="shared" ca="1" si="126"/>
        <v>10.131657590921197</v>
      </c>
      <c r="G320" s="306">
        <f t="shared" ca="1" si="127"/>
        <v>23.370252635137501</v>
      </c>
      <c r="H320" s="307">
        <f t="shared" ca="1" si="128"/>
        <v>20.19896865842108</v>
      </c>
      <c r="I320" s="304">
        <f t="shared" ca="1" si="129"/>
        <v>30.889594414527821</v>
      </c>
      <c r="J320" s="306">
        <f t="shared" ca="1" si="130"/>
        <v>388.77310719780473</v>
      </c>
      <c r="K320" s="307">
        <f t="shared" ca="1" si="131"/>
        <v>1358.287824328128</v>
      </c>
      <c r="L320" s="304">
        <f t="shared" ca="1" si="116"/>
        <v>1412.8306135550274</v>
      </c>
      <c r="M320" s="306">
        <f t="shared" ca="1" si="132"/>
        <v>0.71273904424395607</v>
      </c>
      <c r="N320" s="304">
        <f t="shared" ca="1" si="133"/>
        <v>40.836939129366733</v>
      </c>
      <c r="P320" s="310">
        <f t="shared" ca="1" si="134"/>
        <v>23</v>
      </c>
      <c r="Q320" s="304">
        <f t="shared" ca="1" si="135"/>
        <v>0</v>
      </c>
      <c r="R320" s="306">
        <f t="shared" ca="1" si="136"/>
        <v>0</v>
      </c>
      <c r="S320" s="307">
        <f t="shared" ca="1" si="137"/>
        <v>7.4499999999999984</v>
      </c>
      <c r="T320" s="304">
        <f t="shared" ca="1" si="117"/>
        <v>73.084499999999991</v>
      </c>
      <c r="U320" s="311">
        <f t="shared" ca="1" si="118"/>
        <v>0</v>
      </c>
      <c r="V320" s="306">
        <f t="shared" ca="1" si="119"/>
        <v>1.0691913885150768</v>
      </c>
      <c r="W320" s="304">
        <f t="shared" ca="1" si="120"/>
        <v>3.348448780687467</v>
      </c>
      <c r="Y320" s="314" t="str">
        <f t="shared" ca="1" si="138"/>
        <v/>
      </c>
      <c r="Z320" s="315" t="str">
        <f t="shared" ca="1" si="139"/>
        <v/>
      </c>
      <c r="AA320" s="316" t="str">
        <f t="shared" ca="1" si="140"/>
        <v/>
      </c>
      <c r="AC320" s="310" t="e">
        <f t="shared" ca="1" si="141"/>
        <v>#N/A</v>
      </c>
      <c r="AD320" s="323" t="e">
        <f t="shared" ca="1" si="142"/>
        <v>#N/A</v>
      </c>
      <c r="AE320" s="324">
        <f t="shared" ca="1" si="121"/>
        <v>1358.287824328128</v>
      </c>
      <c r="AG320" s="306">
        <f t="shared" ca="1" si="143"/>
        <v>-7.057794007445084</v>
      </c>
      <c r="AH320" s="304">
        <f t="shared" ca="1" si="144"/>
        <v>-0.47007279963303616</v>
      </c>
    </row>
    <row r="321" spans="1:34" x14ac:dyDescent="0.2">
      <c r="A321" s="347">
        <f t="shared" ca="1" si="122"/>
        <v>0.1</v>
      </c>
      <c r="B321" s="304">
        <f t="shared" ca="1" si="123"/>
        <v>13.699999999999969</v>
      </c>
      <c r="D321" s="306">
        <f t="shared" ca="1" si="124"/>
        <v>-0.34004671883844806</v>
      </c>
      <c r="E321" s="307">
        <f t="shared" ca="1" si="125"/>
        <v>-10.103903242016722</v>
      </c>
      <c r="F321" s="304">
        <f t="shared" ca="1" si="126"/>
        <v>10.109623756353587</v>
      </c>
      <c r="G321" s="306">
        <f t="shared" ca="1" si="127"/>
        <v>23.336247963253655</v>
      </c>
      <c r="H321" s="307">
        <f t="shared" ca="1" si="128"/>
        <v>19.188578334219407</v>
      </c>
      <c r="I321" s="304">
        <f t="shared" ca="1" si="129"/>
        <v>30.212282394597977</v>
      </c>
      <c r="J321" s="306">
        <f t="shared" ca="1" si="130"/>
        <v>391.10843222772428</v>
      </c>
      <c r="K321" s="307">
        <f t="shared" ca="1" si="131"/>
        <v>1360.2572016777599</v>
      </c>
      <c r="L321" s="304">
        <f t="shared" ca="1" si="116"/>
        <v>1415.3676061277642</v>
      </c>
      <c r="M321" s="306">
        <f t="shared" ca="1" si="132"/>
        <v>0.68817044675569994</v>
      </c>
      <c r="N321" s="304">
        <f t="shared" ca="1" si="133"/>
        <v>39.429262184733943</v>
      </c>
      <c r="P321" s="310">
        <f t="shared" ca="1" si="134"/>
        <v>23</v>
      </c>
      <c r="Q321" s="304">
        <f t="shared" ca="1" si="135"/>
        <v>0</v>
      </c>
      <c r="R321" s="306">
        <f t="shared" ca="1" si="136"/>
        <v>0</v>
      </c>
      <c r="S321" s="307">
        <f t="shared" ca="1" si="137"/>
        <v>7.4499999999999984</v>
      </c>
      <c r="T321" s="304">
        <f t="shared" ca="1" si="117"/>
        <v>73.084499999999991</v>
      </c>
      <c r="U321" s="311">
        <f t="shared" ca="1" si="118"/>
        <v>0</v>
      </c>
      <c r="V321" s="306">
        <f t="shared" ca="1" si="119"/>
        <v>1.0689798681895673</v>
      </c>
      <c r="W321" s="304">
        <f t="shared" ca="1" si="120"/>
        <v>3.2025829937225252</v>
      </c>
      <c r="Y321" s="314" t="str">
        <f t="shared" ca="1" si="138"/>
        <v/>
      </c>
      <c r="Z321" s="315" t="str">
        <f t="shared" ca="1" si="139"/>
        <v/>
      </c>
      <c r="AA321" s="316" t="str">
        <f t="shared" ca="1" si="140"/>
        <v/>
      </c>
      <c r="AC321" s="310" t="e">
        <f t="shared" ca="1" si="141"/>
        <v>#N/A</v>
      </c>
      <c r="AD321" s="323" t="e">
        <f t="shared" ca="1" si="142"/>
        <v>#N/A</v>
      </c>
      <c r="AE321" s="324">
        <f t="shared" ca="1" si="121"/>
        <v>1360.2572016777599</v>
      </c>
      <c r="AG321" s="306">
        <f t="shared" ca="1" si="143"/>
        <v>-6.8642986953721765</v>
      </c>
      <c r="AH321" s="304">
        <f t="shared" ca="1" si="144"/>
        <v>-0.44945621217281445</v>
      </c>
    </row>
    <row r="322" spans="1:34" x14ac:dyDescent="0.2">
      <c r="A322" s="347">
        <f t="shared" ca="1" si="122"/>
        <v>0.1</v>
      </c>
      <c r="B322" s="304">
        <f t="shared" ca="1" si="123"/>
        <v>13.799999999999969</v>
      </c>
      <c r="D322" s="306">
        <f t="shared" ca="1" si="124"/>
        <v>-0.33204092557341364</v>
      </c>
      <c r="E322" s="307">
        <f t="shared" ca="1" si="125"/>
        <v>-10.083025608939572</v>
      </c>
      <c r="F322" s="304">
        <f t="shared" ca="1" si="126"/>
        <v>10.088491294875903</v>
      </c>
      <c r="G322" s="306">
        <f t="shared" ca="1" si="127"/>
        <v>23.303043870696314</v>
      </c>
      <c r="H322" s="307">
        <f t="shared" ca="1" si="128"/>
        <v>18.180275773325452</v>
      </c>
      <c r="I322" s="304">
        <f t="shared" ca="1" si="129"/>
        <v>29.555951699002375</v>
      </c>
      <c r="J322" s="306">
        <f t="shared" ca="1" si="130"/>
        <v>393.44039681942178</v>
      </c>
      <c r="K322" s="307">
        <f t="shared" ca="1" si="131"/>
        <v>1362.1256443831371</v>
      </c>
      <c r="L322" s="304">
        <f t="shared" ca="1" si="116"/>
        <v>1417.8087377836266</v>
      </c>
      <c r="M322" s="306">
        <f t="shared" ca="1" si="132"/>
        <v>0.66253038063457448</v>
      </c>
      <c r="N322" s="304">
        <f t="shared" ca="1" si="133"/>
        <v>37.960194609557085</v>
      </c>
      <c r="P322" s="310">
        <f t="shared" ca="1" si="134"/>
        <v>23</v>
      </c>
      <c r="Q322" s="304">
        <f t="shared" ca="1" si="135"/>
        <v>0</v>
      </c>
      <c r="R322" s="306">
        <f t="shared" ca="1" si="136"/>
        <v>0</v>
      </c>
      <c r="S322" s="307">
        <f t="shared" ca="1" si="137"/>
        <v>7.4499999999999984</v>
      </c>
      <c r="T322" s="304">
        <f t="shared" ca="1" si="117"/>
        <v>73.084499999999991</v>
      </c>
      <c r="U322" s="311">
        <f t="shared" ca="1" si="118"/>
        <v>0</v>
      </c>
      <c r="V322" s="306">
        <f t="shared" ca="1" si="119"/>
        <v>1.0687792247694154</v>
      </c>
      <c r="W322" s="304">
        <f t="shared" ca="1" si="120"/>
        <v>3.0643734829378375</v>
      </c>
      <c r="Y322" s="314" t="str">
        <f t="shared" ca="1" si="138"/>
        <v/>
      </c>
      <c r="Z322" s="315" t="str">
        <f t="shared" ca="1" si="139"/>
        <v/>
      </c>
      <c r="AA322" s="316" t="str">
        <f t="shared" ca="1" si="140"/>
        <v/>
      </c>
      <c r="AC322" s="310" t="e">
        <f t="shared" ca="1" si="141"/>
        <v>#N/A</v>
      </c>
      <c r="AD322" s="323" t="e">
        <f t="shared" ca="1" si="142"/>
        <v>#N/A</v>
      </c>
      <c r="AE322" s="324">
        <f t="shared" ca="1" si="121"/>
        <v>1362.1256443831371</v>
      </c>
      <c r="AG322" s="306">
        <f t="shared" ca="1" si="143"/>
        <v>-6.6604539666353286</v>
      </c>
      <c r="AH322" s="304">
        <f t="shared" ca="1" si="144"/>
        <v>-0.42987691190906385</v>
      </c>
    </row>
    <row r="323" spans="1:34" x14ac:dyDescent="0.2">
      <c r="A323" s="347">
        <f t="shared" ca="1" si="122"/>
        <v>0.1</v>
      </c>
      <c r="B323" s="304">
        <f t="shared" ca="1" si="123"/>
        <v>13.899999999999968</v>
      </c>
      <c r="D323" s="306">
        <f t="shared" ca="1" si="124"/>
        <v>-0.32430461391302684</v>
      </c>
      <c r="E323" s="307">
        <f t="shared" ca="1" si="125"/>
        <v>-10.063011896137519</v>
      </c>
      <c r="F323" s="304">
        <f t="shared" ca="1" si="126"/>
        <v>10.068236285686313</v>
      </c>
      <c r="G323" s="306">
        <f t="shared" ca="1" si="127"/>
        <v>23.27061340930501</v>
      </c>
      <c r="H323" s="307">
        <f t="shared" ca="1" si="128"/>
        <v>17.173974583711701</v>
      </c>
      <c r="I323" s="304">
        <f t="shared" ca="1" si="129"/>
        <v>28.921736660292407</v>
      </c>
      <c r="J323" s="306">
        <f t="shared" ca="1" si="130"/>
        <v>395.76907968342186</v>
      </c>
      <c r="K323" s="307">
        <f t="shared" ca="1" si="131"/>
        <v>1363.8933569009889</v>
      </c>
      <c r="L323" s="304">
        <f t="shared" ca="1" si="116"/>
        <v>1420.1543062048261</v>
      </c>
      <c r="M323" s="306">
        <f t="shared" ca="1" si="132"/>
        <v>0.63578405512863922</v>
      </c>
      <c r="N323" s="304">
        <f t="shared" ca="1" si="133"/>
        <v>36.427743040583891</v>
      </c>
      <c r="P323" s="310">
        <f t="shared" ca="1" si="134"/>
        <v>23</v>
      </c>
      <c r="Q323" s="304">
        <f t="shared" ca="1" si="135"/>
        <v>0</v>
      </c>
      <c r="R323" s="306">
        <f t="shared" ca="1" si="136"/>
        <v>0</v>
      </c>
      <c r="S323" s="307">
        <f t="shared" ca="1" si="137"/>
        <v>7.4499999999999984</v>
      </c>
      <c r="T323" s="304">
        <f t="shared" ca="1" si="117"/>
        <v>73.084499999999991</v>
      </c>
      <c r="U323" s="311">
        <f t="shared" ca="1" si="118"/>
        <v>0</v>
      </c>
      <c r="V323" s="306">
        <f t="shared" ca="1" si="119"/>
        <v>1.0685894306068497</v>
      </c>
      <c r="W323" s="304">
        <f t="shared" ca="1" si="120"/>
        <v>2.9337520437513134</v>
      </c>
      <c r="Y323" s="314" t="str">
        <f t="shared" ca="1" si="138"/>
        <v/>
      </c>
      <c r="Z323" s="315" t="str">
        <f t="shared" ca="1" si="139"/>
        <v/>
      </c>
      <c r="AA323" s="316" t="str">
        <f t="shared" ca="1" si="140"/>
        <v/>
      </c>
      <c r="AC323" s="310" t="e">
        <f t="shared" ca="1" si="141"/>
        <v>#N/A</v>
      </c>
      <c r="AD323" s="323" t="e">
        <f t="shared" ca="1" si="142"/>
        <v>#N/A</v>
      </c>
      <c r="AE323" s="324">
        <f t="shared" ca="1" si="121"/>
        <v>1363.8933569009889</v>
      </c>
      <c r="AG323" s="306">
        <f t="shared" ca="1" si="143"/>
        <v>-6.4455923452449522</v>
      </c>
      <c r="AH323" s="304">
        <f t="shared" ca="1" si="144"/>
        <v>-0.41132529972319976</v>
      </c>
    </row>
    <row r="324" spans="1:34" x14ac:dyDescent="0.2">
      <c r="A324" s="347">
        <f t="shared" ca="1" si="122"/>
        <v>0.1</v>
      </c>
      <c r="B324" s="304">
        <f t="shared" ca="1" si="123"/>
        <v>13.999999999999968</v>
      </c>
      <c r="D324" s="306">
        <f t="shared" ca="1" si="124"/>
        <v>-0.31684772728860094</v>
      </c>
      <c r="E324" s="307">
        <f t="shared" ca="1" si="125"/>
        <v>-10.043837188545506</v>
      </c>
      <c r="F324" s="304">
        <f t="shared" ca="1" si="126"/>
        <v>10.048833661291127</v>
      </c>
      <c r="G324" s="306">
        <f t="shared" ca="1" si="127"/>
        <v>23.238928636576151</v>
      </c>
      <c r="H324" s="307">
        <f t="shared" ca="1" si="128"/>
        <v>16.169590864857149</v>
      </c>
      <c r="I324" s="304">
        <f t="shared" ca="1" si="129"/>
        <v>28.310836669246477</v>
      </c>
      <c r="J324" s="306">
        <f t="shared" ca="1" si="130"/>
        <v>398.09455678571589</v>
      </c>
      <c r="K324" s="307">
        <f t="shared" ca="1" si="131"/>
        <v>1365.5605351734173</v>
      </c>
      <c r="L324" s="304">
        <f t="shared" ref="L324:L387" ca="1" si="145">SQRT(pos_x^2+pos_z^2)</f>
        <v>1422.4046018505162</v>
      </c>
      <c r="M324" s="306">
        <f t="shared" ca="1" si="132"/>
        <v>0.60789999263773098</v>
      </c>
      <c r="N324" s="304">
        <f t="shared" ca="1" si="133"/>
        <v>34.830103944175804</v>
      </c>
      <c r="P324" s="310">
        <f t="shared" ca="1" si="134"/>
        <v>23</v>
      </c>
      <c r="Q324" s="304">
        <f t="shared" ca="1" si="135"/>
        <v>0</v>
      </c>
      <c r="R324" s="306">
        <f t="shared" ca="1" si="136"/>
        <v>0</v>
      </c>
      <c r="S324" s="307">
        <f t="shared" ca="1" si="137"/>
        <v>7.4499999999999984</v>
      </c>
      <c r="T324" s="304">
        <f t="shared" ref="T324:T387" ca="1" si="146">m*g</f>
        <v>73.084499999999991</v>
      </c>
      <c r="U324" s="311">
        <f t="shared" ref="U324:U387" ca="1" si="147">IF(pos_xz&lt;L_rampe,Poids*COS(Beta),0)</f>
        <v>0</v>
      </c>
      <c r="V324" s="306">
        <f t="shared" ref="V324:V387" ca="1" si="148">Rho_moyen*(20000-Alt_rampe-pos_z)/(20000+Alt_rampe+pos_z)</f>
        <v>1.0684104592918553</v>
      </c>
      <c r="W324" s="304">
        <f t="shared" ref="W324:W387" ca="1" si="149">1/2*Rho*Sref*Cx*vit_xz^2</f>
        <v>2.8106536731235967</v>
      </c>
      <c r="Y324" s="314" t="str">
        <f t="shared" ca="1" si="138"/>
        <v/>
      </c>
      <c r="Z324" s="315" t="str">
        <f t="shared" ca="1" si="139"/>
        <v/>
      </c>
      <c r="AA324" s="316" t="str">
        <f t="shared" ca="1" si="140"/>
        <v/>
      </c>
      <c r="AC324" s="310">
        <f t="shared" ca="1" si="141"/>
        <v>13.999999999999968</v>
      </c>
      <c r="AD324" s="323">
        <f t="shared" ca="1" si="142"/>
        <v>398.09455678571589</v>
      </c>
      <c r="AE324" s="324">
        <f t="shared" ref="AE324:AE387" ca="1" si="150">IF(t&lt;T_para, pos_z, NA())</f>
        <v>1365.5605351734173</v>
      </c>
      <c r="AG324" s="306">
        <f t="shared" ca="1" si="143"/>
        <v>-6.2190541212316806</v>
      </c>
      <c r="AH324" s="304">
        <f t="shared" ca="1" si="144"/>
        <v>-0.39379222063776026</v>
      </c>
    </row>
    <row r="325" spans="1:34" x14ac:dyDescent="0.2">
      <c r="A325" s="347">
        <f t="shared" ref="A325:A388" ca="1" si="151">IF(B324+0.01&lt;=T_ini+ROUNDUP(Temps_fin_propu,0), 0.01, IF(K324&gt;0, 0.1, 0.0001))</f>
        <v>0.1</v>
      </c>
      <c r="B325" s="304">
        <f t="shared" ref="B325:B388" ca="1" si="152">B324+pas</f>
        <v>14.099999999999968</v>
      </c>
      <c r="D325" s="306">
        <f t="shared" ref="D325:D388" ca="1" si="153">IF(AND(L324&lt;L_rampe,Poussee&lt;Poids*SIN(M324)),0,(-W324+Poussee)/m*COS(M324)-U324/m*SIN(M324))</f>
        <v>-0.30968092870665315</v>
      </c>
      <c r="E325" s="307">
        <f t="shared" ref="E325:E388" ca="1" si="154">IF(AND(L324&lt;L_rampe,Poussee&lt;Poids*SIN(M324)),0,(-W324+Poussee)/m*SIN(M324)+U324/m*COS(M324)-Poids/m)</f>
        <v>-10.025475248198591</v>
      </c>
      <c r="F325" s="304">
        <f t="shared" ref="F325:F388" ca="1" si="155">SQRT(acc_x^2+acc_z^2)</f>
        <v>10.030257037077723</v>
      </c>
      <c r="G325" s="306">
        <f t="shared" ref="G325:G388" ca="1" si="156">G324+acc_x*pas</f>
        <v>23.207960543705486</v>
      </c>
      <c r="H325" s="307">
        <f t="shared" ref="H325:H388" ca="1" si="157">H324+acc_z*pas</f>
        <v>15.16704334003729</v>
      </c>
      <c r="I325" s="304">
        <f t="shared" ref="I325:I388" ca="1" si="158">SQRT(vit_x^2+vit_z^2)</f>
        <v>27.724513273937923</v>
      </c>
      <c r="J325" s="306">
        <f t="shared" ref="J325:J388" ca="1" si="159">J324+0.5*(vit_x+G324)*pas*(K324&gt;=0)</f>
        <v>400.41690124472996</v>
      </c>
      <c r="K325" s="307">
        <f t="shared" ref="K325:K388" ca="1" si="160">K324+0.5*(vit_z+H324)*pas</f>
        <v>1367.127366883662</v>
      </c>
      <c r="L325" s="304">
        <f t="shared" ca="1" si="145"/>
        <v>1424.5599082118965</v>
      </c>
      <c r="M325" s="306">
        <f t="shared" ref="M325:M388" ca="1" si="161">IF(AND(L324&gt;L_rampe,G325&gt;0),ATAN2(G325,H325),$M$4)</f>
        <v>0.57885110172436383</v>
      </c>
      <c r="N325" s="304">
        <f t="shared" ref="N325:N388" ca="1" si="162">DEGREES(Beta)</f>
        <v>33.165725095303934</v>
      </c>
      <c r="P325" s="310">
        <f t="shared" ref="P325:P388" ca="1" si="163">MATCH(t-pas/2-T_ini,CdP_t)</f>
        <v>23</v>
      </c>
      <c r="Q325" s="304">
        <f t="shared" ref="Q325:Q388" ca="1" si="164">(INDEX(CdP,2,i_P+1)-INDEX(CdP,2,i_P+0))/(INDEX(CdP,1,i_P+1)-INDEX(CdP,1,i_P+0))*(t-pas/2-T_ini-INDEX(CdP,1,i_P+0))+INDEX(CdP,2,i_P+0)</f>
        <v>0</v>
      </c>
      <c r="R325" s="306">
        <f t="shared" ref="R325:R388" ca="1" si="165">Poussee/(g*ISP)</f>
        <v>0</v>
      </c>
      <c r="S325" s="307">
        <f t="shared" ref="S325:S388" ca="1" si="166">S324-Débit*pas</f>
        <v>7.4499999999999984</v>
      </c>
      <c r="T325" s="304">
        <f t="shared" ca="1" si="146"/>
        <v>73.084499999999991</v>
      </c>
      <c r="U325" s="311">
        <f t="shared" ca="1" si="147"/>
        <v>0</v>
      </c>
      <c r="V325" s="306">
        <f t="shared" ca="1" si="148"/>
        <v>1.0682422856215941</v>
      </c>
      <c r="W325" s="304">
        <f t="shared" ca="1" si="149"/>
        <v>2.695016461277028</v>
      </c>
      <c r="Y325" s="314" t="str">
        <f t="shared" ref="Y325:Y388" ca="1" si="167">IF(AND(pos_z&lt;=0,K324&gt;0),"Impact balistique","") &amp; IF(AND(H326&lt;0,vit_z&gt;=0),"Apogée","") &amp; IF(AND(Poussee=0,Q324&gt;0),"Fin de propulsion","") &amp; IF(AND(L326&gt;L_rampe,pos_xz&lt;=L_rampe),"Sortie de rampe","")</f>
        <v/>
      </c>
      <c r="Z325" s="315" t="str">
        <f t="shared" ref="Z325:Z388" ca="1" si="168">IF(ABS(t-T_para)&lt;pas/2,"Para","")</f>
        <v/>
      </c>
      <c r="AA325" s="316" t="str">
        <f t="shared" ref="AA325:AA388" ca="1" si="169">IF(ABS(t-T_satellite)&lt;pas/2,"Satellite","")</f>
        <v/>
      </c>
      <c r="AC325" s="310" t="e">
        <f t="shared" ref="AC325:AC388" ca="1" si="170">IF(ABS(t-ROUND(t,0))&lt;0.001,t,NA())</f>
        <v>#N/A</v>
      </c>
      <c r="AD325" s="323" t="e">
        <f t="shared" ref="AD325:AD388" ca="1" si="171">IF(ABS(t-ROUND(t,0))&lt;0.001,pos_x,NA())</f>
        <v>#N/A</v>
      </c>
      <c r="AE325" s="324">
        <f t="shared" ca="1" si="150"/>
        <v>1367.127366883662</v>
      </c>
      <c r="AG325" s="306">
        <f t="shared" ref="AG325:AG388" ca="1" si="172">IF(AND(L324&lt;L_rampe,Poussee&lt;Poids*SIN(M324)),0,(-W324+Poussee)/m-Poids*SIN(M324)/m)</f>
        <v>-5.9802007255885226</v>
      </c>
      <c r="AH325" s="304">
        <f t="shared" ref="AH325:AH388" ca="1" si="173">IF(AND(L324&lt;L_rampe,Poussee&lt;Poids*SIN(M324)), g*SIN(M324), (-W324+Poussee)/m)</f>
        <v>-0.37726894941256339</v>
      </c>
    </row>
    <row r="326" spans="1:34" x14ac:dyDescent="0.2">
      <c r="A326" s="347">
        <f t="shared" ca="1" si="151"/>
        <v>0.1</v>
      </c>
      <c r="B326" s="304">
        <f t="shared" ca="1" si="152"/>
        <v>14.199999999999967</v>
      </c>
      <c r="D326" s="306">
        <f t="shared" ca="1" si="153"/>
        <v>-0.3028155663074108</v>
      </c>
      <c r="E326" s="307">
        <f t="shared" ca="1" si="154"/>
        <v>-10.007898337924749</v>
      </c>
      <c r="F326" s="304">
        <f t="shared" ca="1" si="155"/>
        <v>10.012478534780238</v>
      </c>
      <c r="G326" s="306">
        <f t="shared" ca="1" si="156"/>
        <v>23.177678987074746</v>
      </c>
      <c r="H326" s="307">
        <f t="shared" ca="1" si="157"/>
        <v>14.166253506244816</v>
      </c>
      <c r="I326" s="304">
        <f t="shared" ca="1" si="158"/>
        <v>27.164085510671619</v>
      </c>
      <c r="J326" s="306">
        <f t="shared" ca="1" si="159"/>
        <v>402.73618322126896</v>
      </c>
      <c r="K326" s="307">
        <f t="shared" ca="1" si="160"/>
        <v>1368.594031725976</v>
      </c>
      <c r="L326" s="304">
        <f t="shared" ca="1" si="145"/>
        <v>1426.6205020788107</v>
      </c>
      <c r="M326" s="306">
        <f t="shared" ca="1" si="161"/>
        <v>0.54861588143640694</v>
      </c>
      <c r="N326" s="304">
        <f t="shared" ca="1" si="162"/>
        <v>31.433374580155686</v>
      </c>
      <c r="P326" s="310">
        <f t="shared" ca="1" si="163"/>
        <v>23</v>
      </c>
      <c r="Q326" s="304">
        <f t="shared" ca="1" si="164"/>
        <v>0</v>
      </c>
      <c r="R326" s="306">
        <f t="shared" ca="1" si="165"/>
        <v>0</v>
      </c>
      <c r="S326" s="307">
        <f t="shared" ca="1" si="166"/>
        <v>7.4499999999999984</v>
      </c>
      <c r="T326" s="304">
        <f t="shared" ca="1" si="146"/>
        <v>73.084499999999991</v>
      </c>
      <c r="U326" s="311">
        <f t="shared" ca="1" si="147"/>
        <v>0</v>
      </c>
      <c r="V326" s="306">
        <f t="shared" ca="1" si="148"/>
        <v>1.0680848855684957</v>
      </c>
      <c r="W326" s="304">
        <f t="shared" ca="1" si="149"/>
        <v>2.5867814818736496</v>
      </c>
      <c r="Y326" s="314" t="str">
        <f t="shared" ca="1" si="167"/>
        <v/>
      </c>
      <c r="Z326" s="315" t="str">
        <f t="shared" ca="1" si="168"/>
        <v/>
      </c>
      <c r="AA326" s="316" t="str">
        <f t="shared" ca="1" si="169"/>
        <v/>
      </c>
      <c r="AC326" s="310" t="e">
        <f t="shared" ca="1" si="170"/>
        <v>#N/A</v>
      </c>
      <c r="AD326" s="323" t="e">
        <f t="shared" ca="1" si="171"/>
        <v>#N/A</v>
      </c>
      <c r="AE326" s="324">
        <f t="shared" ca="1" si="150"/>
        <v>1368.594031725976</v>
      </c>
      <c r="AG326" s="306">
        <f t="shared" ca="1" si="172"/>
        <v>-5.7284309368983157</v>
      </c>
      <c r="AH326" s="304">
        <f t="shared" ca="1" si="173"/>
        <v>-0.3617471760103394</v>
      </c>
    </row>
    <row r="327" spans="1:34" x14ac:dyDescent="0.2">
      <c r="A327" s="347">
        <f t="shared" ca="1" si="151"/>
        <v>0.1</v>
      </c>
      <c r="B327" s="304">
        <f t="shared" ca="1" si="152"/>
        <v>14.299999999999967</v>
      </c>
      <c r="D327" s="306">
        <f t="shared" ca="1" si="153"/>
        <v>-0.29626362003255191</v>
      </c>
      <c r="E327" s="307">
        <f t="shared" ca="1" si="154"/>
        <v>-9.9910770417693424</v>
      </c>
      <c r="F327" s="304">
        <f t="shared" ca="1" si="155"/>
        <v>9.9954686026781765</v>
      </c>
      <c r="G327" s="306">
        <f t="shared" ca="1" si="156"/>
        <v>23.14805262507149</v>
      </c>
      <c r="H327" s="307">
        <f t="shared" ca="1" si="157"/>
        <v>13.167145802067882</v>
      </c>
      <c r="I327" s="304">
        <f t="shared" ca="1" si="158"/>
        <v>26.630923170367055</v>
      </c>
      <c r="J327" s="306">
        <f t="shared" ca="1" si="159"/>
        <v>405.05246980187627</v>
      </c>
      <c r="K327" s="307">
        <f t="shared" ca="1" si="160"/>
        <v>1369.9607016913917</v>
      </c>
      <c r="L327" s="304">
        <f t="shared" ca="1" si="145"/>
        <v>1428.586653819561</v>
      </c>
      <c r="M327" s="306">
        <f t="shared" ca="1" si="161"/>
        <v>0.51717974440480097</v>
      </c>
      <c r="N327" s="304">
        <f t="shared" ca="1" si="162"/>
        <v>29.632216604049749</v>
      </c>
      <c r="P327" s="310">
        <f t="shared" ca="1" si="163"/>
        <v>23</v>
      </c>
      <c r="Q327" s="304">
        <f t="shared" ca="1" si="164"/>
        <v>0</v>
      </c>
      <c r="R327" s="306">
        <f t="shared" ca="1" si="165"/>
        <v>0</v>
      </c>
      <c r="S327" s="307">
        <f t="shared" ca="1" si="166"/>
        <v>7.4499999999999984</v>
      </c>
      <c r="T327" s="304">
        <f t="shared" ca="1" si="146"/>
        <v>73.084499999999991</v>
      </c>
      <c r="U327" s="311">
        <f t="shared" ca="1" si="147"/>
        <v>0</v>
      </c>
      <c r="V327" s="306">
        <f t="shared" ca="1" si="148"/>
        <v>1.0679382362468148</v>
      </c>
      <c r="W327" s="304">
        <f t="shared" ca="1" si="149"/>
        <v>2.4858926800757759</v>
      </c>
      <c r="Y327" s="314" t="str">
        <f t="shared" ca="1" si="167"/>
        <v/>
      </c>
      <c r="Z327" s="315" t="str">
        <f t="shared" ca="1" si="168"/>
        <v/>
      </c>
      <c r="AA327" s="316" t="str">
        <f t="shared" ca="1" si="169"/>
        <v/>
      </c>
      <c r="AC327" s="310" t="e">
        <f t="shared" ca="1" si="170"/>
        <v>#N/A</v>
      </c>
      <c r="AD327" s="323" t="e">
        <f t="shared" ca="1" si="171"/>
        <v>#N/A</v>
      </c>
      <c r="AE327" s="324">
        <f t="shared" ca="1" si="150"/>
        <v>1369.9607016913917</v>
      </c>
      <c r="AG327" s="306">
        <f t="shared" ca="1" si="172"/>
        <v>-5.4632000475955289</v>
      </c>
      <c r="AH327" s="304">
        <f t="shared" ca="1" si="173"/>
        <v>-0.34721899085552349</v>
      </c>
    </row>
    <row r="328" spans="1:34" x14ac:dyDescent="0.2">
      <c r="A328" s="347">
        <f t="shared" ca="1" si="151"/>
        <v>0.1</v>
      </c>
      <c r="B328" s="304">
        <f t="shared" ca="1" si="152"/>
        <v>14.399999999999967</v>
      </c>
      <c r="D328" s="306">
        <f t="shared" ca="1" si="153"/>
        <v>-0.29003762628471597</v>
      </c>
      <c r="E328" s="307">
        <f t="shared" ca="1" si="154"/>
        <v>-9.9749800860241802</v>
      </c>
      <c r="F328" s="304">
        <f t="shared" ca="1" si="155"/>
        <v>9.9791958364008391</v>
      </c>
      <c r="G328" s="306">
        <f t="shared" ca="1" si="156"/>
        <v>23.119048862443019</v>
      </c>
      <c r="H328" s="307">
        <f t="shared" ca="1" si="157"/>
        <v>12.169647793465463</v>
      </c>
      <c r="I328" s="304">
        <f t="shared" ca="1" si="158"/>
        <v>26.126437715866025</v>
      </c>
      <c r="J328" s="306">
        <f t="shared" ca="1" si="159"/>
        <v>407.36582487625202</v>
      </c>
      <c r="K328" s="307">
        <f t="shared" ca="1" si="160"/>
        <v>1371.2275413711684</v>
      </c>
      <c r="L328" s="304">
        <f t="shared" ca="1" si="145"/>
        <v>1430.4586276757286</v>
      </c>
      <c r="M328" s="306">
        <f t="shared" ca="1" si="161"/>
        <v>0.48453643507063704</v>
      </c>
      <c r="N328" s="304">
        <f t="shared" ca="1" si="162"/>
        <v>27.761892749862149</v>
      </c>
      <c r="P328" s="310">
        <f t="shared" ca="1" si="163"/>
        <v>23</v>
      </c>
      <c r="Q328" s="304">
        <f t="shared" ca="1" si="164"/>
        <v>0</v>
      </c>
      <c r="R328" s="306">
        <f t="shared" ca="1" si="165"/>
        <v>0</v>
      </c>
      <c r="S328" s="307">
        <f t="shared" ca="1" si="166"/>
        <v>7.4499999999999984</v>
      </c>
      <c r="T328" s="304">
        <f t="shared" ca="1" si="146"/>
        <v>73.084499999999991</v>
      </c>
      <c r="U328" s="311">
        <f t="shared" ca="1" si="147"/>
        <v>0</v>
      </c>
      <c r="V328" s="306">
        <f t="shared" ca="1" si="148"/>
        <v>1.0678023158774614</v>
      </c>
      <c r="W328" s="304">
        <f t="shared" ca="1" si="149"/>
        <v>2.3922967579139307</v>
      </c>
      <c r="Y328" s="314" t="str">
        <f t="shared" ca="1" si="167"/>
        <v/>
      </c>
      <c r="Z328" s="315" t="str">
        <f t="shared" ca="1" si="168"/>
        <v/>
      </c>
      <c r="AA328" s="316" t="str">
        <f t="shared" ca="1" si="169"/>
        <v/>
      </c>
      <c r="AC328" s="310" t="e">
        <f t="shared" ca="1" si="170"/>
        <v>#N/A</v>
      </c>
      <c r="AD328" s="323" t="e">
        <f t="shared" ca="1" si="171"/>
        <v>#N/A</v>
      </c>
      <c r="AE328" s="324">
        <f t="shared" ca="1" si="150"/>
        <v>1371.2275413711684</v>
      </c>
      <c r="AG328" s="306">
        <f t="shared" ca="1" si="172"/>
        <v>-5.184041969506783</v>
      </c>
      <c r="AH328" s="304">
        <f t="shared" ca="1" si="173"/>
        <v>-0.33367686980882905</v>
      </c>
    </row>
    <row r="329" spans="1:34" x14ac:dyDescent="0.2">
      <c r="A329" s="347">
        <f t="shared" ca="1" si="151"/>
        <v>0.1</v>
      </c>
      <c r="B329" s="304">
        <f t="shared" ca="1" si="152"/>
        <v>14.499999999999966</v>
      </c>
      <c r="D329" s="306">
        <f t="shared" ca="1" si="153"/>
        <v>-0.28415057760566537</v>
      </c>
      <c r="E329" s="307">
        <f t="shared" ca="1" si="154"/>
        <v>-9.9595741658900288</v>
      </c>
      <c r="F329" s="304">
        <f t="shared" ca="1" si="155"/>
        <v>9.9636268053664914</v>
      </c>
      <c r="G329" s="306">
        <f t="shared" ca="1" si="156"/>
        <v>23.090633804682454</v>
      </c>
      <c r="H329" s="307">
        <f t="shared" ca="1" si="157"/>
        <v>11.173690376876461</v>
      </c>
      <c r="I329" s="304">
        <f t="shared" ca="1" si="158"/>
        <v>25.652070601420185</v>
      </c>
      <c r="J329" s="306">
        <f t="shared" ca="1" si="159"/>
        <v>409.6763090096083</v>
      </c>
      <c r="K329" s="307">
        <f t="shared" ca="1" si="160"/>
        <v>1372.3947082796856</v>
      </c>
      <c r="L329" s="304">
        <f t="shared" ca="1" si="145"/>
        <v>1432.2366820738182</v>
      </c>
      <c r="M329" s="306">
        <f t="shared" ca="1" si="161"/>
        <v>0.45068950605587232</v>
      </c>
      <c r="N329" s="304">
        <f t="shared" ca="1" si="162"/>
        <v>25.822606567837241</v>
      </c>
      <c r="P329" s="310">
        <f t="shared" ca="1" si="163"/>
        <v>23</v>
      </c>
      <c r="Q329" s="304">
        <f t="shared" ca="1" si="164"/>
        <v>0</v>
      </c>
      <c r="R329" s="306">
        <f t="shared" ca="1" si="165"/>
        <v>0</v>
      </c>
      <c r="S329" s="307">
        <f t="shared" ca="1" si="166"/>
        <v>7.4499999999999984</v>
      </c>
      <c r="T329" s="304">
        <f t="shared" ca="1" si="146"/>
        <v>73.084499999999991</v>
      </c>
      <c r="U329" s="311">
        <f t="shared" ca="1" si="147"/>
        <v>0</v>
      </c>
      <c r="V329" s="306">
        <f t="shared" ca="1" si="148"/>
        <v>1.067677103750913</v>
      </c>
      <c r="W329" s="304">
        <f t="shared" ca="1" si="149"/>
        <v>2.3059430564002481</v>
      </c>
      <c r="Y329" s="314" t="str">
        <f t="shared" ca="1" si="167"/>
        <v/>
      </c>
      <c r="Z329" s="315" t="str">
        <f t="shared" ca="1" si="168"/>
        <v/>
      </c>
      <c r="AA329" s="316" t="str">
        <f t="shared" ca="1" si="169"/>
        <v/>
      </c>
      <c r="AC329" s="310" t="e">
        <f t="shared" ca="1" si="170"/>
        <v>#N/A</v>
      </c>
      <c r="AD329" s="323" t="e">
        <f t="shared" ca="1" si="171"/>
        <v>#N/A</v>
      </c>
      <c r="AE329" s="324">
        <f t="shared" ca="1" si="150"/>
        <v>1372.3947082796856</v>
      </c>
      <c r="AG329" s="306">
        <f t="shared" ca="1" si="172"/>
        <v>-4.8905940507205754</v>
      </c>
      <c r="AH329" s="304">
        <f t="shared" ca="1" si="173"/>
        <v>-0.32111365878039344</v>
      </c>
    </row>
    <row r="330" spans="1:34" x14ac:dyDescent="0.2">
      <c r="A330" s="347">
        <f t="shared" ca="1" si="151"/>
        <v>0.1</v>
      </c>
      <c r="B330" s="304">
        <f t="shared" ca="1" si="152"/>
        <v>14.599999999999966</v>
      </c>
      <c r="D330" s="306">
        <f t="shared" ca="1" si="153"/>
        <v>-0.27861579480067705</v>
      </c>
      <c r="E330" s="307">
        <f t="shared" ca="1" si="154"/>
        <v>-9.9448237840305111</v>
      </c>
      <c r="F330" s="304">
        <f t="shared" ca="1" si="155"/>
        <v>9.9487258911144671</v>
      </c>
      <c r="G330" s="306">
        <f t="shared" ca="1" si="156"/>
        <v>23.062772225202387</v>
      </c>
      <c r="H330" s="307">
        <f t="shared" ca="1" si="157"/>
        <v>10.179207998473411</v>
      </c>
      <c r="I330" s="304">
        <f t="shared" ca="1" si="158"/>
        <v>25.209278811337537</v>
      </c>
      <c r="J330" s="306">
        <f t="shared" ca="1" si="159"/>
        <v>411.98397931110253</v>
      </c>
      <c r="K330" s="307">
        <f t="shared" ca="1" si="160"/>
        <v>1373.462353198453</v>
      </c>
      <c r="L330" s="304">
        <f t="shared" ca="1" si="145"/>
        <v>1433.9210699555408</v>
      </c>
      <c r="M330" s="306">
        <f t="shared" ca="1" si="161"/>
        <v>0.41565380062758456</v>
      </c>
      <c r="N330" s="304">
        <f t="shared" ca="1" si="162"/>
        <v>23.815208514532763</v>
      </c>
      <c r="P330" s="310">
        <f t="shared" ca="1" si="163"/>
        <v>23</v>
      </c>
      <c r="Q330" s="304">
        <f t="shared" ca="1" si="164"/>
        <v>0</v>
      </c>
      <c r="R330" s="306">
        <f t="shared" ca="1" si="165"/>
        <v>0</v>
      </c>
      <c r="S330" s="307">
        <f t="shared" ca="1" si="166"/>
        <v>7.4499999999999984</v>
      </c>
      <c r="T330" s="304">
        <f t="shared" ca="1" si="146"/>
        <v>73.084499999999991</v>
      </c>
      <c r="U330" s="311">
        <f t="shared" ca="1" si="147"/>
        <v>0</v>
      </c>
      <c r="V330" s="306">
        <f t="shared" ca="1" si="148"/>
        <v>1.0675625801880126</v>
      </c>
      <c r="W330" s="304">
        <f t="shared" ca="1" si="149"/>
        <v>2.2267834338543291</v>
      </c>
      <c r="Y330" s="314" t="str">
        <f t="shared" ca="1" si="167"/>
        <v/>
      </c>
      <c r="Z330" s="315" t="str">
        <f t="shared" ca="1" si="168"/>
        <v/>
      </c>
      <c r="AA330" s="316" t="str">
        <f t="shared" ca="1" si="169"/>
        <v/>
      </c>
      <c r="AC330" s="310" t="e">
        <f t="shared" ca="1" si="170"/>
        <v>#N/A</v>
      </c>
      <c r="AD330" s="323" t="e">
        <f t="shared" ca="1" si="171"/>
        <v>#N/A</v>
      </c>
      <c r="AE330" s="324">
        <f t="shared" ca="1" si="150"/>
        <v>1373.462353198453</v>
      </c>
      <c r="AG330" s="306">
        <f t="shared" ca="1" si="172"/>
        <v>-4.582624105938204</v>
      </c>
      <c r="AH330" s="304">
        <f t="shared" ca="1" si="173"/>
        <v>-0.30952255790607364</v>
      </c>
    </row>
    <row r="331" spans="1:34" x14ac:dyDescent="0.2">
      <c r="A331" s="347">
        <f t="shared" ca="1" si="151"/>
        <v>0.1</v>
      </c>
      <c r="B331" s="304">
        <f t="shared" ca="1" si="152"/>
        <v>14.699999999999966</v>
      </c>
      <c r="D331" s="306">
        <f t="shared" ca="1" si="153"/>
        <v>-0.27344676965743542</v>
      </c>
      <c r="E331" s="307">
        <f t="shared" ca="1" si="154"/>
        <v>-9.9306911084961413</v>
      </c>
      <c r="F331" s="304">
        <f t="shared" ca="1" si="155"/>
        <v>9.9344551450092329</v>
      </c>
      <c r="G331" s="306">
        <f t="shared" ca="1" si="156"/>
        <v>23.035427548236644</v>
      </c>
      <c r="H331" s="307">
        <f t="shared" ca="1" si="157"/>
        <v>9.1861388876237964</v>
      </c>
      <c r="I331" s="304">
        <f t="shared" ca="1" si="158"/>
        <v>24.799517535483908</v>
      </c>
      <c r="J331" s="306">
        <f t="shared" ca="1" si="159"/>
        <v>414.2888892997745</v>
      </c>
      <c r="K331" s="307">
        <f t="shared" ca="1" si="160"/>
        <v>1374.4306205427579</v>
      </c>
      <c r="L331" s="304">
        <f t="shared" ca="1" si="145"/>
        <v>1435.5120391284747</v>
      </c>
      <c r="M331" s="306">
        <f t="shared" ca="1" si="161"/>
        <v>0.37945687340355461</v>
      </c>
      <c r="N331" s="304">
        <f t="shared" ca="1" si="162"/>
        <v>21.741277353253658</v>
      </c>
      <c r="P331" s="310">
        <f t="shared" ca="1" si="163"/>
        <v>23</v>
      </c>
      <c r="Q331" s="304">
        <f t="shared" ca="1" si="164"/>
        <v>0</v>
      </c>
      <c r="R331" s="306">
        <f t="shared" ca="1" si="165"/>
        <v>0</v>
      </c>
      <c r="S331" s="307">
        <f t="shared" ca="1" si="166"/>
        <v>7.4499999999999984</v>
      </c>
      <c r="T331" s="304">
        <f t="shared" ca="1" si="146"/>
        <v>73.084499999999991</v>
      </c>
      <c r="U331" s="311">
        <f t="shared" ca="1" si="147"/>
        <v>0</v>
      </c>
      <c r="V331" s="306">
        <f t="shared" ca="1" si="148"/>
        <v>1.0674587264985005</v>
      </c>
      <c r="W331" s="304">
        <f t="shared" ca="1" si="149"/>
        <v>2.1547721399561985</v>
      </c>
      <c r="Y331" s="314" t="str">
        <f t="shared" ca="1" si="167"/>
        <v/>
      </c>
      <c r="Z331" s="315" t="str">
        <f t="shared" ca="1" si="168"/>
        <v/>
      </c>
      <c r="AA331" s="316" t="str">
        <f t="shared" ca="1" si="169"/>
        <v/>
      </c>
      <c r="AC331" s="310" t="e">
        <f t="shared" ca="1" si="170"/>
        <v>#N/A</v>
      </c>
      <c r="AD331" s="323" t="e">
        <f t="shared" ca="1" si="171"/>
        <v>#N/A</v>
      </c>
      <c r="AE331" s="324">
        <f t="shared" ca="1" si="150"/>
        <v>1374.4306205427579</v>
      </c>
      <c r="AG331" s="306">
        <f t="shared" ca="1" si="172"/>
        <v>-4.2600588350826181</v>
      </c>
      <c r="AH331" s="304">
        <f t="shared" ca="1" si="173"/>
        <v>-0.29889710521534624</v>
      </c>
    </row>
    <row r="332" spans="1:34" x14ac:dyDescent="0.2">
      <c r="A332" s="347">
        <f t="shared" ca="1" si="151"/>
        <v>0.1</v>
      </c>
      <c r="B332" s="304">
        <f t="shared" ca="1" si="152"/>
        <v>14.799999999999965</v>
      </c>
      <c r="D332" s="306">
        <f t="shared" ca="1" si="153"/>
        <v>-0.26865697750046957</v>
      </c>
      <c r="E332" s="307">
        <f t="shared" ca="1" si="154"/>
        <v>-9.9171358585934932</v>
      </c>
      <c r="F332" s="304">
        <f t="shared" ca="1" si="155"/>
        <v>9.9207741738919051</v>
      </c>
      <c r="G332" s="306">
        <f t="shared" ca="1" si="156"/>
        <v>23.008561850486597</v>
      </c>
      <c r="H332" s="307">
        <f t="shared" ca="1" si="157"/>
        <v>8.1944253017644471</v>
      </c>
      <c r="I332" s="304">
        <f t="shared" ca="1" si="158"/>
        <v>24.424220037779399</v>
      </c>
      <c r="J332" s="306">
        <f t="shared" ca="1" si="159"/>
        <v>416.59108876971067</v>
      </c>
      <c r="K332" s="307">
        <f t="shared" ca="1" si="160"/>
        <v>1375.2996487522273</v>
      </c>
      <c r="L332" s="304">
        <f t="shared" ca="1" si="145"/>
        <v>1437.0098326387099</v>
      </c>
      <c r="M332" s="306">
        <f t="shared" ca="1" si="161"/>
        <v>0.34214026644574269</v>
      </c>
      <c r="N332" s="304">
        <f t="shared" ca="1" si="162"/>
        <v>19.603193268822512</v>
      </c>
      <c r="P332" s="310">
        <f t="shared" ca="1" si="163"/>
        <v>23</v>
      </c>
      <c r="Q332" s="304">
        <f t="shared" ca="1" si="164"/>
        <v>0</v>
      </c>
      <c r="R332" s="306">
        <f t="shared" ca="1" si="165"/>
        <v>0</v>
      </c>
      <c r="S332" s="307">
        <f t="shared" ca="1" si="166"/>
        <v>7.4499999999999984</v>
      </c>
      <c r="T332" s="304">
        <f t="shared" ca="1" si="146"/>
        <v>73.084499999999991</v>
      </c>
      <c r="U332" s="311">
        <f t="shared" ca="1" si="147"/>
        <v>0</v>
      </c>
      <c r="V332" s="306">
        <f t="shared" ca="1" si="148"/>
        <v>1.0673655249371135</v>
      </c>
      <c r="W332" s="304">
        <f t="shared" ca="1" si="149"/>
        <v>2.0898656851107051</v>
      </c>
      <c r="Y332" s="314" t="str">
        <f t="shared" ca="1" si="167"/>
        <v/>
      </c>
      <c r="Z332" s="315" t="str">
        <f t="shared" ca="1" si="168"/>
        <v/>
      </c>
      <c r="AA332" s="316" t="str">
        <f t="shared" ca="1" si="169"/>
        <v/>
      </c>
      <c r="AC332" s="310" t="e">
        <f t="shared" ca="1" si="170"/>
        <v>#N/A</v>
      </c>
      <c r="AD332" s="323" t="e">
        <f t="shared" ca="1" si="171"/>
        <v>#N/A</v>
      </c>
      <c r="AE332" s="324">
        <f t="shared" ca="1" si="150"/>
        <v>1375.2996487522273</v>
      </c>
      <c r="AG332" s="306">
        <f t="shared" ca="1" si="172"/>
        <v>-3.9230124362625447</v>
      </c>
      <c r="AH332" s="304">
        <f t="shared" ca="1" si="173"/>
        <v>-0.28923115972566432</v>
      </c>
    </row>
    <row r="333" spans="1:34" x14ac:dyDescent="0.2">
      <c r="A333" s="347">
        <f t="shared" ca="1" si="151"/>
        <v>0.1</v>
      </c>
      <c r="B333" s="304">
        <f t="shared" ca="1" si="152"/>
        <v>14.899999999999965</v>
      </c>
      <c r="D333" s="306">
        <f t="shared" ca="1" si="153"/>
        <v>-0.26425966031386422</v>
      </c>
      <c r="E333" s="307">
        <f t="shared" ca="1" si="154"/>
        <v>-9.9041152280956588</v>
      </c>
      <c r="F333" s="304">
        <f t="shared" ca="1" si="155"/>
        <v>9.9076400630758439</v>
      </c>
      <c r="G333" s="306">
        <f t="shared" ca="1" si="156"/>
        <v>22.982135884455211</v>
      </c>
      <c r="H333" s="307">
        <f t="shared" ca="1" si="157"/>
        <v>7.2040137789548808</v>
      </c>
      <c r="I333" s="304">
        <f t="shared" ca="1" si="158"/>
        <v>24.084774948895323</v>
      </c>
      <c r="J333" s="306">
        <f t="shared" ca="1" si="159"/>
        <v>418.89062365645776</v>
      </c>
      <c r="K333" s="307">
        <f t="shared" ca="1" si="160"/>
        <v>1376.0695707062632</v>
      </c>
      <c r="L333" s="304">
        <f t="shared" ca="1" si="145"/>
        <v>1438.4146891668674</v>
      </c>
      <c r="M333" s="306">
        <f t="shared" ca="1" si="161"/>
        <v>0.30376054577099382</v>
      </c>
      <c r="N333" s="304">
        <f t="shared" ca="1" si="162"/>
        <v>17.404197255268414</v>
      </c>
      <c r="P333" s="310">
        <f t="shared" ca="1" si="163"/>
        <v>23</v>
      </c>
      <c r="Q333" s="304">
        <f t="shared" ca="1" si="164"/>
        <v>0</v>
      </c>
      <c r="R333" s="306">
        <f t="shared" ca="1" si="165"/>
        <v>0</v>
      </c>
      <c r="S333" s="307">
        <f t="shared" ca="1" si="166"/>
        <v>7.4499999999999984</v>
      </c>
      <c r="T333" s="304">
        <f t="shared" ca="1" si="146"/>
        <v>73.084499999999991</v>
      </c>
      <c r="U333" s="311">
        <f t="shared" ca="1" si="147"/>
        <v>0</v>
      </c>
      <c r="V333" s="306">
        <f t="shared" ca="1" si="148"/>
        <v>1.0672829586571677</v>
      </c>
      <c r="W333" s="304">
        <f t="shared" ca="1" si="149"/>
        <v>2.0320227048020341</v>
      </c>
      <c r="Y333" s="314" t="str">
        <f t="shared" ca="1" si="167"/>
        <v/>
      </c>
      <c r="Z333" s="315" t="str">
        <f t="shared" ca="1" si="168"/>
        <v/>
      </c>
      <c r="AA333" s="316" t="str">
        <f t="shared" ca="1" si="169"/>
        <v/>
      </c>
      <c r="AC333" s="310" t="e">
        <f t="shared" ca="1" si="170"/>
        <v>#N/A</v>
      </c>
      <c r="AD333" s="323" t="e">
        <f t="shared" ca="1" si="171"/>
        <v>#N/A</v>
      </c>
      <c r="AE333" s="324">
        <f t="shared" ca="1" si="150"/>
        <v>1376.0695707062632</v>
      </c>
      <c r="AG333" s="306">
        <f t="shared" ca="1" si="172"/>
        <v>-3.5718138397327235</v>
      </c>
      <c r="AH333" s="304">
        <f t="shared" ca="1" si="173"/>
        <v>-0.28051888390747726</v>
      </c>
    </row>
    <row r="334" spans="1:34" x14ac:dyDescent="0.2">
      <c r="A334" s="347">
        <f t="shared" ca="1" si="151"/>
        <v>0.1</v>
      </c>
      <c r="B334" s="304">
        <f t="shared" ca="1" si="152"/>
        <v>14.999999999999964</v>
      </c>
      <c r="D334" s="306">
        <f t="shared" ca="1" si="153"/>
        <v>-0.26026758304097086</v>
      </c>
      <c r="E334" s="307">
        <f t="shared" ca="1" si="154"/>
        <v>-9.8915838555593378</v>
      </c>
      <c r="F334" s="304">
        <f t="shared" ca="1" si="155"/>
        <v>9.8950073464522568</v>
      </c>
      <c r="G334" s="306">
        <f t="shared" ca="1" si="156"/>
        <v>22.956109126151112</v>
      </c>
      <c r="H334" s="307">
        <f t="shared" ca="1" si="157"/>
        <v>6.2148553933989472</v>
      </c>
      <c r="I334" s="304">
        <f t="shared" ca="1" si="158"/>
        <v>23.782501419586175</v>
      </c>
      <c r="J334" s="306">
        <f t="shared" ca="1" si="159"/>
        <v>421.1875359069881</v>
      </c>
      <c r="K334" s="307">
        <f t="shared" ca="1" si="160"/>
        <v>1376.740514164881</v>
      </c>
      <c r="L334" s="304">
        <f t="shared" ca="1" si="145"/>
        <v>1439.7268434485693</v>
      </c>
      <c r="M334" s="306">
        <f t="shared" ca="1" si="161"/>
        <v>0.26438999656918316</v>
      </c>
      <c r="N334" s="304">
        <f t="shared" ca="1" si="162"/>
        <v>15.148430948892511</v>
      </c>
      <c r="P334" s="310">
        <f t="shared" ca="1" si="163"/>
        <v>23</v>
      </c>
      <c r="Q334" s="304">
        <f t="shared" ca="1" si="164"/>
        <v>0</v>
      </c>
      <c r="R334" s="306">
        <f t="shared" ca="1" si="165"/>
        <v>0</v>
      </c>
      <c r="S334" s="307">
        <f t="shared" ca="1" si="166"/>
        <v>7.4499999999999984</v>
      </c>
      <c r="T334" s="304">
        <f t="shared" ca="1" si="146"/>
        <v>73.084499999999991</v>
      </c>
      <c r="U334" s="311">
        <f t="shared" ca="1" si="147"/>
        <v>0</v>
      </c>
      <c r="V334" s="306">
        <f t="shared" ca="1" si="148"/>
        <v>1.0672110116615348</v>
      </c>
      <c r="W334" s="304">
        <f t="shared" ca="1" si="149"/>
        <v>1.9812038187373611</v>
      </c>
      <c r="Y334" s="314" t="str">
        <f t="shared" ca="1" si="167"/>
        <v/>
      </c>
      <c r="Z334" s="315" t="str">
        <f t="shared" ca="1" si="168"/>
        <v/>
      </c>
      <c r="AA334" s="316" t="str">
        <f t="shared" ca="1" si="169"/>
        <v/>
      </c>
      <c r="AC334" s="310">
        <f t="shared" ca="1" si="170"/>
        <v>14.999999999999964</v>
      </c>
      <c r="AD334" s="323">
        <f t="shared" ca="1" si="171"/>
        <v>421.1875359069881</v>
      </c>
      <c r="AE334" s="324">
        <f t="shared" ca="1" si="150"/>
        <v>1376.740514164881</v>
      </c>
      <c r="AG334" s="306">
        <f t="shared" ca="1" si="172"/>
        <v>-3.2070306454927522</v>
      </c>
      <c r="AH334" s="304">
        <f t="shared" ca="1" si="173"/>
        <v>-0.27275472547678314</v>
      </c>
    </row>
    <row r="335" spans="1:34" x14ac:dyDescent="0.2">
      <c r="A335" s="347">
        <f t="shared" ca="1" si="151"/>
        <v>0.1</v>
      </c>
      <c r="B335" s="304">
        <f t="shared" ca="1" si="152"/>
        <v>15.099999999999964</v>
      </c>
      <c r="D335" s="306">
        <f t="shared" ca="1" si="153"/>
        <v>-0.25669276785815959</v>
      </c>
      <c r="E335" s="307">
        <f t="shared" ca="1" si="154"/>
        <v>-9.8794938512446979</v>
      </c>
      <c r="F335" s="304">
        <f t="shared" ca="1" si="155"/>
        <v>9.8828280332024629</v>
      </c>
      <c r="G335" s="306">
        <f t="shared" ca="1" si="156"/>
        <v>22.930439849365296</v>
      </c>
      <c r="H335" s="307">
        <f t="shared" ca="1" si="157"/>
        <v>5.2269060082744776</v>
      </c>
      <c r="I335" s="304">
        <f t="shared" ca="1" si="158"/>
        <v>23.518622793537375</v>
      </c>
      <c r="J335" s="306">
        <f t="shared" ca="1" si="159"/>
        <v>423.48186335576395</v>
      </c>
      <c r="K335" s="307">
        <f t="shared" ca="1" si="160"/>
        <v>1377.3126022349647</v>
      </c>
      <c r="L335" s="304">
        <f t="shared" ca="1" si="145"/>
        <v>1440.9465267200308</v>
      </c>
      <c r="M335" s="306">
        <f t="shared" ca="1" si="161"/>
        <v>0.22411687666894547</v>
      </c>
      <c r="N335" s="304">
        <f t="shared" ca="1" si="162"/>
        <v>12.840951150784564</v>
      </c>
      <c r="P335" s="310">
        <f t="shared" ca="1" si="163"/>
        <v>23</v>
      </c>
      <c r="Q335" s="304">
        <f t="shared" ca="1" si="164"/>
        <v>0</v>
      </c>
      <c r="R335" s="306">
        <f t="shared" ca="1" si="165"/>
        <v>0</v>
      </c>
      <c r="S335" s="307">
        <f t="shared" ca="1" si="166"/>
        <v>7.4499999999999984</v>
      </c>
      <c r="T335" s="304">
        <f t="shared" ca="1" si="146"/>
        <v>73.084499999999991</v>
      </c>
      <c r="U335" s="311">
        <f t="shared" ca="1" si="147"/>
        <v>0</v>
      </c>
      <c r="V335" s="306">
        <f t="shared" ca="1" si="148"/>
        <v>1.0671496687510258</v>
      </c>
      <c r="W335" s="304">
        <f t="shared" ca="1" si="149"/>
        <v>1.9373714847252974</v>
      </c>
      <c r="Y335" s="314" t="str">
        <f t="shared" ca="1" si="167"/>
        <v/>
      </c>
      <c r="Z335" s="315" t="str">
        <f t="shared" ca="1" si="168"/>
        <v/>
      </c>
      <c r="AA335" s="316" t="str">
        <f t="shared" ca="1" si="169"/>
        <v/>
      </c>
      <c r="AC335" s="310" t="e">
        <f t="shared" ca="1" si="170"/>
        <v>#N/A</v>
      </c>
      <c r="AD335" s="323" t="e">
        <f t="shared" ca="1" si="171"/>
        <v>#N/A</v>
      </c>
      <c r="AE335" s="324">
        <f t="shared" ca="1" si="150"/>
        <v>1377.3126022349647</v>
      </c>
      <c r="AG335" s="306">
        <f t="shared" ca="1" si="172"/>
        <v>-2.8294875988480634</v>
      </c>
      <c r="AH335" s="304">
        <f t="shared" ca="1" si="173"/>
        <v>-0.26593339848823644</v>
      </c>
    </row>
    <row r="336" spans="1:34" x14ac:dyDescent="0.2">
      <c r="A336" s="347">
        <f t="shared" ca="1" si="151"/>
        <v>0.1</v>
      </c>
      <c r="B336" s="304">
        <f t="shared" ca="1" si="152"/>
        <v>15.199999999999964</v>
      </c>
      <c r="D336" s="306">
        <f t="shared" ca="1" si="153"/>
        <v>-0.25354621357932788</v>
      </c>
      <c r="E336" s="307">
        <f t="shared" ca="1" si="154"/>
        <v>-9.8677948890574694</v>
      </c>
      <c r="F336" s="304">
        <f t="shared" ca="1" si="155"/>
        <v>9.8710516995368405</v>
      </c>
      <c r="G336" s="306">
        <f t="shared" ca="1" si="156"/>
        <v>22.905085228007362</v>
      </c>
      <c r="H336" s="307">
        <f t="shared" ca="1" si="157"/>
        <v>4.2401265193687303</v>
      </c>
      <c r="I336" s="304">
        <f t="shared" ca="1" si="158"/>
        <v>23.294239678567212</v>
      </c>
      <c r="J336" s="306">
        <f t="shared" ca="1" si="159"/>
        <v>425.7736396096326</v>
      </c>
      <c r="K336" s="307">
        <f t="shared" ca="1" si="160"/>
        <v>1377.7859538613468</v>
      </c>
      <c r="L336" s="304">
        <f t="shared" ca="1" si="145"/>
        <v>1442.0739671889423</v>
      </c>
      <c r="M336" s="306">
        <f t="shared" ca="1" si="161"/>
        <v>0.18304513929874269</v>
      </c>
      <c r="N336" s="304">
        <f t="shared" ca="1" si="162"/>
        <v>10.487713942202202</v>
      </c>
      <c r="P336" s="310">
        <f t="shared" ca="1" si="163"/>
        <v>23</v>
      </c>
      <c r="Q336" s="304">
        <f t="shared" ca="1" si="164"/>
        <v>0</v>
      </c>
      <c r="R336" s="306">
        <f t="shared" ca="1" si="165"/>
        <v>0</v>
      </c>
      <c r="S336" s="307">
        <f t="shared" ca="1" si="166"/>
        <v>7.4499999999999984</v>
      </c>
      <c r="T336" s="304">
        <f t="shared" ca="1" si="146"/>
        <v>73.084499999999991</v>
      </c>
      <c r="U336" s="311">
        <f t="shared" ca="1" si="147"/>
        <v>0</v>
      </c>
      <c r="V336" s="306">
        <f t="shared" ca="1" si="148"/>
        <v>1.0670989154702153</v>
      </c>
      <c r="W336" s="304">
        <f t="shared" ca="1" si="149"/>
        <v>1.9004898474053327</v>
      </c>
      <c r="Y336" s="314" t="str">
        <f t="shared" ca="1" si="167"/>
        <v/>
      </c>
      <c r="Z336" s="315" t="str">
        <f t="shared" ca="1" si="168"/>
        <v/>
      </c>
      <c r="AA336" s="316" t="str">
        <f t="shared" ca="1" si="169"/>
        <v/>
      </c>
      <c r="AC336" s="310" t="e">
        <f t="shared" ca="1" si="170"/>
        <v>#N/A</v>
      </c>
      <c r="AD336" s="323" t="e">
        <f t="shared" ca="1" si="171"/>
        <v>#N/A</v>
      </c>
      <c r="AE336" s="324">
        <f t="shared" ca="1" si="150"/>
        <v>1377.7859538613468</v>
      </c>
      <c r="AG336" s="306">
        <f t="shared" ca="1" si="172"/>
        <v>-2.4402773537113904</v>
      </c>
      <c r="AH336" s="304">
        <f t="shared" ca="1" si="173"/>
        <v>-0.26004986372151651</v>
      </c>
    </row>
    <row r="337" spans="1:34" x14ac:dyDescent="0.2">
      <c r="A337" s="347">
        <f t="shared" ca="1" si="151"/>
        <v>0.1</v>
      </c>
      <c r="B337" s="304">
        <f t="shared" ca="1" si="152"/>
        <v>15.299999999999963</v>
      </c>
      <c r="D337" s="306">
        <f t="shared" ca="1" si="153"/>
        <v>-0.25083760966651636</v>
      </c>
      <c r="E337" s="307">
        <f t="shared" ca="1" si="154"/>
        <v>-9.8564343699320336</v>
      </c>
      <c r="F337" s="304">
        <f t="shared" ca="1" si="155"/>
        <v>9.8596256518795222</v>
      </c>
      <c r="G337" s="306">
        <f t="shared" ca="1" si="156"/>
        <v>22.88000146704071</v>
      </c>
      <c r="H337" s="307">
        <f t="shared" ca="1" si="157"/>
        <v>3.2544830823755269</v>
      </c>
      <c r="I337" s="304">
        <f t="shared" ca="1" si="158"/>
        <v>23.110303487086743</v>
      </c>
      <c r="J337" s="306">
        <f t="shared" ca="1" si="159"/>
        <v>428.062893944385</v>
      </c>
      <c r="K337" s="307">
        <f t="shared" ca="1" si="160"/>
        <v>1378.160684341434</v>
      </c>
      <c r="L337" s="304">
        <f t="shared" ca="1" si="145"/>
        <v>1443.1093905302159</v>
      </c>
      <c r="M337" s="306">
        <f t="shared" ca="1" si="161"/>
        <v>0.14129355930569534</v>
      </c>
      <c r="N337" s="304">
        <f t="shared" ca="1" si="162"/>
        <v>8.0955246205977414</v>
      </c>
      <c r="P337" s="310">
        <f t="shared" ca="1" si="163"/>
        <v>23</v>
      </c>
      <c r="Q337" s="304">
        <f t="shared" ca="1" si="164"/>
        <v>0</v>
      </c>
      <c r="R337" s="306">
        <f t="shared" ca="1" si="165"/>
        <v>0</v>
      </c>
      <c r="S337" s="307">
        <f t="shared" ca="1" si="166"/>
        <v>7.4499999999999984</v>
      </c>
      <c r="T337" s="304">
        <f t="shared" ca="1" si="146"/>
        <v>73.084499999999991</v>
      </c>
      <c r="U337" s="311">
        <f t="shared" ca="1" si="147"/>
        <v>0</v>
      </c>
      <c r="V337" s="306">
        <f t="shared" ca="1" si="148"/>
        <v>1.0670587380508538</v>
      </c>
      <c r="W337" s="304">
        <f t="shared" ca="1" si="149"/>
        <v>1.8705245821347849</v>
      </c>
      <c r="Y337" s="314" t="str">
        <f t="shared" ca="1" si="167"/>
        <v/>
      </c>
      <c r="Z337" s="315" t="str">
        <f t="shared" ca="1" si="168"/>
        <v/>
      </c>
      <c r="AA337" s="316" t="str">
        <f t="shared" ca="1" si="169"/>
        <v/>
      </c>
      <c r="AC337" s="310" t="e">
        <f t="shared" ca="1" si="170"/>
        <v>#N/A</v>
      </c>
      <c r="AD337" s="323" t="e">
        <f t="shared" ca="1" si="171"/>
        <v>#N/A</v>
      </c>
      <c r="AE337" s="324">
        <f t="shared" ca="1" si="150"/>
        <v>1378.160684341434</v>
      </c>
      <c r="AG337" s="306">
        <f t="shared" ca="1" si="172"/>
        <v>-2.0407614175064341</v>
      </c>
      <c r="AH337" s="304">
        <f t="shared" ca="1" si="173"/>
        <v>-0.25509930837655476</v>
      </c>
    </row>
    <row r="338" spans="1:34" x14ac:dyDescent="0.2">
      <c r="A338" s="347">
        <f t="shared" ca="1" si="151"/>
        <v>0.1</v>
      </c>
      <c r="B338" s="304">
        <f t="shared" ca="1" si="152"/>
        <v>15.399999999999963</v>
      </c>
      <c r="D338" s="306">
        <f t="shared" ca="1" si="153"/>
        <v>-0.24857505632790924</v>
      </c>
      <c r="E338" s="307">
        <f t="shared" ca="1" si="154"/>
        <v>-9.8453576601245025</v>
      </c>
      <c r="F338" s="304">
        <f t="shared" ca="1" si="155"/>
        <v>9.8484951649681296</v>
      </c>
      <c r="G338" s="306">
        <f t="shared" ca="1" si="156"/>
        <v>22.855143961407919</v>
      </c>
      <c r="H338" s="307">
        <f t="shared" ca="1" si="157"/>
        <v>2.2699473163630763</v>
      </c>
      <c r="I338" s="304">
        <f t="shared" ca="1" si="158"/>
        <v>22.967591652494715</v>
      </c>
      <c r="J338" s="306">
        <f t="shared" ca="1" si="159"/>
        <v>430.34965121580746</v>
      </c>
      <c r="K338" s="307">
        <f t="shared" ca="1" si="160"/>
        <v>1378.4369058613709</v>
      </c>
      <c r="L338" s="304">
        <f t="shared" ca="1" si="145"/>
        <v>1444.0530204054965</v>
      </c>
      <c r="M338" s="306">
        <f t="shared" ca="1" si="161"/>
        <v>9.8994231562298488E-2</v>
      </c>
      <c r="N338" s="304">
        <f t="shared" ca="1" si="162"/>
        <v>5.6719516646604689</v>
      </c>
      <c r="P338" s="310">
        <f t="shared" ca="1" si="163"/>
        <v>23</v>
      </c>
      <c r="Q338" s="304">
        <f t="shared" ca="1" si="164"/>
        <v>0</v>
      </c>
      <c r="R338" s="306">
        <f t="shared" ca="1" si="165"/>
        <v>0</v>
      </c>
      <c r="S338" s="307">
        <f t="shared" ca="1" si="166"/>
        <v>7.4499999999999984</v>
      </c>
      <c r="T338" s="304">
        <f t="shared" ca="1" si="146"/>
        <v>73.084499999999991</v>
      </c>
      <c r="U338" s="311">
        <f t="shared" ca="1" si="147"/>
        <v>0</v>
      </c>
      <c r="V338" s="306">
        <f t="shared" ca="1" si="148"/>
        <v>1.0670291233530536</v>
      </c>
      <c r="W338" s="304">
        <f t="shared" ca="1" si="149"/>
        <v>1.8474427345425215</v>
      </c>
      <c r="Y338" s="314" t="str">
        <f t="shared" ca="1" si="167"/>
        <v/>
      </c>
      <c r="Z338" s="315" t="str">
        <f t="shared" ca="1" si="168"/>
        <v/>
      </c>
      <c r="AA338" s="316" t="str">
        <f t="shared" ca="1" si="169"/>
        <v/>
      </c>
      <c r="AC338" s="310" t="e">
        <f t="shared" ca="1" si="170"/>
        <v>#N/A</v>
      </c>
      <c r="AD338" s="323" t="e">
        <f t="shared" ca="1" si="171"/>
        <v>#N/A</v>
      </c>
      <c r="AE338" s="324">
        <f t="shared" ca="1" si="150"/>
        <v>1378.4369058613709</v>
      </c>
      <c r="AG338" s="306">
        <f t="shared" ca="1" si="172"/>
        <v>-1.6325595905456391</v>
      </c>
      <c r="AH338" s="304">
        <f t="shared" ca="1" si="173"/>
        <v>-0.25107712511876312</v>
      </c>
    </row>
    <row r="339" spans="1:34" x14ac:dyDescent="0.2">
      <c r="A339" s="347">
        <f t="shared" ca="1" si="151"/>
        <v>0.1</v>
      </c>
      <c r="B339" s="304">
        <f t="shared" ca="1" si="152"/>
        <v>15.499999999999963</v>
      </c>
      <c r="D339" s="306">
        <f t="shared" ca="1" si="153"/>
        <v>-0.24676480357600744</v>
      </c>
      <c r="E339" s="307">
        <f t="shared" ca="1" si="154"/>
        <v>-9.8345084040860158</v>
      </c>
      <c r="F339" s="304">
        <f t="shared" ca="1" si="155"/>
        <v>9.8376037945387065</v>
      </c>
      <c r="G339" s="306">
        <f t="shared" ca="1" si="156"/>
        <v>22.830467481050317</v>
      </c>
      <c r="H339" s="307">
        <f t="shared" ca="1" si="157"/>
        <v>1.2864964759544746</v>
      </c>
      <c r="I339" s="304">
        <f t="shared" ca="1" si="158"/>
        <v>22.866685780539758</v>
      </c>
      <c r="J339" s="306">
        <f t="shared" ca="1" si="159"/>
        <v>432.63393178793035</v>
      </c>
      <c r="K339" s="307">
        <f t="shared" ca="1" si="160"/>
        <v>1378.6147280509867</v>
      </c>
      <c r="L339" s="304">
        <f t="shared" ca="1" si="145"/>
        <v>1444.9050790046313</v>
      </c>
      <c r="M339" s="306">
        <f t="shared" ca="1" si="161"/>
        <v>5.629045422689239E-2</v>
      </c>
      <c r="N339" s="304">
        <f t="shared" ca="1" si="162"/>
        <v>3.2252054540752795</v>
      </c>
      <c r="P339" s="310">
        <f t="shared" ca="1" si="163"/>
        <v>23</v>
      </c>
      <c r="Q339" s="304">
        <f t="shared" ca="1" si="164"/>
        <v>0</v>
      </c>
      <c r="R339" s="306">
        <f t="shared" ca="1" si="165"/>
        <v>0</v>
      </c>
      <c r="S339" s="307">
        <f t="shared" ca="1" si="166"/>
        <v>7.4499999999999984</v>
      </c>
      <c r="T339" s="304">
        <f t="shared" ca="1" si="146"/>
        <v>73.084499999999991</v>
      </c>
      <c r="U339" s="311">
        <f t="shared" ca="1" si="147"/>
        <v>0</v>
      </c>
      <c r="V339" s="306">
        <f t="shared" ca="1" si="148"/>
        <v>1.0670100588045519</v>
      </c>
      <c r="W339" s="304">
        <f t="shared" ca="1" si="149"/>
        <v>1.8312125564646986</v>
      </c>
      <c r="Y339" s="314" t="str">
        <f t="shared" ca="1" si="167"/>
        <v/>
      </c>
      <c r="Z339" s="315" t="str">
        <f t="shared" ca="1" si="168"/>
        <v/>
      </c>
      <c r="AA339" s="316" t="str">
        <f t="shared" ca="1" si="169"/>
        <v/>
      </c>
      <c r="AC339" s="310" t="e">
        <f t="shared" ca="1" si="170"/>
        <v>#N/A</v>
      </c>
      <c r="AD339" s="323" t="e">
        <f t="shared" ca="1" si="171"/>
        <v>#N/A</v>
      </c>
      <c r="AE339" s="324">
        <f t="shared" ca="1" si="150"/>
        <v>1378.6147280509867</v>
      </c>
      <c r="AG339" s="306">
        <f t="shared" ca="1" si="172"/>
        <v>-1.2175269176255139</v>
      </c>
      <c r="AH339" s="304">
        <f t="shared" ca="1" si="173"/>
        <v>-0.2479788905426204</v>
      </c>
    </row>
    <row r="340" spans="1:34" x14ac:dyDescent="0.2">
      <c r="A340" s="347">
        <f t="shared" ca="1" si="151"/>
        <v>0.1</v>
      </c>
      <c r="B340" s="304">
        <f t="shared" ca="1" si="152"/>
        <v>15.599999999999962</v>
      </c>
      <c r="D340" s="306">
        <f t="shared" ca="1" si="153"/>
        <v>-0.24541102261020517</v>
      </c>
      <c r="E340" s="307">
        <f t="shared" ca="1" si="154"/>
        <v>-9.8238289071833709</v>
      </c>
      <c r="F340" s="304">
        <f t="shared" ca="1" si="155"/>
        <v>9.8268937598627879</v>
      </c>
      <c r="G340" s="306">
        <f t="shared" ca="1" si="156"/>
        <v>22.805926378789295</v>
      </c>
      <c r="H340" s="307">
        <f t="shared" ca="1" si="157"/>
        <v>0.30411358523613741</v>
      </c>
      <c r="I340" s="304">
        <f t="shared" ca="1" si="158"/>
        <v>22.807953943032299</v>
      </c>
      <c r="J340" s="306">
        <f t="shared" ca="1" si="159"/>
        <v>434.91575148092232</v>
      </c>
      <c r="K340" s="307">
        <f t="shared" ca="1" si="160"/>
        <v>1378.6942585540462</v>
      </c>
      <c r="L340" s="304">
        <f t="shared" ca="1" si="145"/>
        <v>1445.6657876065638</v>
      </c>
      <c r="M340" s="306">
        <f t="shared" ca="1" si="161"/>
        <v>1.333405872074497E-2</v>
      </c>
      <c r="N340" s="304">
        <f t="shared" ca="1" si="162"/>
        <v>0.76398528847829639</v>
      </c>
      <c r="P340" s="310">
        <f t="shared" ca="1" si="163"/>
        <v>23</v>
      </c>
      <c r="Q340" s="304">
        <f t="shared" ca="1" si="164"/>
        <v>0</v>
      </c>
      <c r="R340" s="306">
        <f t="shared" ca="1" si="165"/>
        <v>0</v>
      </c>
      <c r="S340" s="307">
        <f t="shared" ca="1" si="166"/>
        <v>7.4499999999999984</v>
      </c>
      <c r="T340" s="304">
        <f t="shared" ca="1" si="146"/>
        <v>73.084499999999991</v>
      </c>
      <c r="U340" s="311">
        <f t="shared" ca="1" si="147"/>
        <v>0</v>
      </c>
      <c r="V340" s="306">
        <f t="shared" ca="1" si="148"/>
        <v>1.0670015323383988</v>
      </c>
      <c r="W340" s="304">
        <f t="shared" ca="1" si="149"/>
        <v>1.8218033391752746</v>
      </c>
      <c r="Y340" s="314" t="str">
        <f t="shared" ca="1" si="167"/>
        <v>Apogée</v>
      </c>
      <c r="Z340" s="315" t="str">
        <f t="shared" ca="1" si="168"/>
        <v>Para</v>
      </c>
      <c r="AA340" s="316" t="str">
        <f t="shared" ca="1" si="169"/>
        <v/>
      </c>
      <c r="AC340" s="310" t="e">
        <f t="shared" ca="1" si="170"/>
        <v>#N/A</v>
      </c>
      <c r="AD340" s="323" t="e">
        <f t="shared" ca="1" si="171"/>
        <v>#N/A</v>
      </c>
      <c r="AE340" s="324" t="e">
        <f t="shared" ca="1" si="150"/>
        <v>#N/A</v>
      </c>
      <c r="AG340" s="306">
        <f t="shared" ca="1" si="172"/>
        <v>-0.79771812215080529</v>
      </c>
      <c r="AH340" s="304">
        <f t="shared" ca="1" si="173"/>
        <v>-0.24580034314962404</v>
      </c>
    </row>
    <row r="341" spans="1:34" x14ac:dyDescent="0.2">
      <c r="A341" s="347">
        <f t="shared" ca="1" si="151"/>
        <v>0.1</v>
      </c>
      <c r="B341" s="304">
        <f t="shared" ca="1" si="152"/>
        <v>15.699999999999962</v>
      </c>
      <c r="D341" s="306">
        <f t="shared" ca="1" si="153"/>
        <v>-0.24451562226572038</v>
      </c>
      <c r="E341" s="307">
        <f t="shared" ca="1" si="154"/>
        <v>-9.8132605789082366</v>
      </c>
      <c r="F341" s="304">
        <f t="shared" ca="1" si="155"/>
        <v>9.8163063867773808</v>
      </c>
      <c r="G341" s="306">
        <f t="shared" ca="1" si="156"/>
        <v>22.781474816562721</v>
      </c>
      <c r="H341" s="307">
        <f t="shared" ca="1" si="157"/>
        <v>-0.67721247265468631</v>
      </c>
      <c r="I341" s="304">
        <f t="shared" ca="1" si="158"/>
        <v>22.791538156754594</v>
      </c>
      <c r="J341" s="306">
        <f t="shared" ca="1" si="159"/>
        <v>437.19512154068991</v>
      </c>
      <c r="K341" s="307">
        <f t="shared" ca="1" si="160"/>
        <v>1378.6756036096754</v>
      </c>
      <c r="L341" s="304">
        <f t="shared" ca="1" si="145"/>
        <v>1446.3353671564148</v>
      </c>
      <c r="M341" s="306">
        <f t="shared" ca="1" si="161"/>
        <v>-2.9717703008136868E-2</v>
      </c>
      <c r="N341" s="304">
        <f t="shared" ca="1" si="162"/>
        <v>-1.7026989591894732</v>
      </c>
      <c r="P341" s="310">
        <f t="shared" ca="1" si="163"/>
        <v>23</v>
      </c>
      <c r="Q341" s="304">
        <f t="shared" ca="1" si="164"/>
        <v>0</v>
      </c>
      <c r="R341" s="306">
        <f t="shared" ca="1" si="165"/>
        <v>0</v>
      </c>
      <c r="S341" s="307">
        <f t="shared" ca="1" si="166"/>
        <v>7.4499999999999984</v>
      </c>
      <c r="T341" s="304">
        <f t="shared" ca="1" si="146"/>
        <v>73.084499999999991</v>
      </c>
      <c r="U341" s="311">
        <f t="shared" ca="1" si="147"/>
        <v>0</v>
      </c>
      <c r="V341" s="306">
        <f t="shared" ca="1" si="148"/>
        <v>1.0670035323295057</v>
      </c>
      <c r="W341" s="304">
        <f t="shared" ca="1" si="149"/>
        <v>1.8191852450008847</v>
      </c>
      <c r="Y341" s="314" t="str">
        <f t="shared" ca="1" si="167"/>
        <v/>
      </c>
      <c r="Z341" s="315" t="str">
        <f t="shared" ca="1" si="168"/>
        <v/>
      </c>
      <c r="AA341" s="316" t="str">
        <f t="shared" ca="1" si="169"/>
        <v/>
      </c>
      <c r="AC341" s="310" t="e">
        <f t="shared" ca="1" si="170"/>
        <v>#N/A</v>
      </c>
      <c r="AD341" s="323" t="e">
        <f t="shared" ca="1" si="171"/>
        <v>#N/A</v>
      </c>
      <c r="AE341" s="324" t="e">
        <f t="shared" ca="1" si="150"/>
        <v>#N/A</v>
      </c>
      <c r="AG341" s="306">
        <f t="shared" ca="1" si="172"/>
        <v>-0.37534060085996312</v>
      </c>
      <c r="AH341" s="304">
        <f t="shared" ca="1" si="173"/>
        <v>-0.24453736096312417</v>
      </c>
    </row>
    <row r="342" spans="1:34" x14ac:dyDescent="0.2">
      <c r="A342" s="347">
        <f t="shared" ca="1" si="151"/>
        <v>0.1</v>
      </c>
      <c r="B342" s="304">
        <f t="shared" ca="1" si="152"/>
        <v>15.799999999999962</v>
      </c>
      <c r="D342" s="306">
        <f t="shared" ca="1" si="153"/>
        <v>-0.24407812144786836</v>
      </c>
      <c r="E342" s="307">
        <f t="shared" ca="1" si="154"/>
        <v>-9.8027444228489351</v>
      </c>
      <c r="F342" s="304">
        <f t="shared" ca="1" si="155"/>
        <v>9.8057825974812136</v>
      </c>
      <c r="G342" s="306">
        <f t="shared" ca="1" si="156"/>
        <v>22.757067004417934</v>
      </c>
      <c r="H342" s="307">
        <f t="shared" ca="1" si="157"/>
        <v>-1.6574869149395799</v>
      </c>
      <c r="I342" s="304">
        <f t="shared" ca="1" si="158"/>
        <v>22.81734781951582</v>
      </c>
      <c r="J342" s="306">
        <f t="shared" ca="1" si="159"/>
        <v>439.47204863173897</v>
      </c>
      <c r="K342" s="307">
        <f t="shared" ca="1" si="160"/>
        <v>1378.5588686402957</v>
      </c>
      <c r="L342" s="304">
        <f t="shared" ca="1" si="145"/>
        <v>1446.9140388548967</v>
      </c>
      <c r="M342" s="306">
        <f t="shared" ca="1" si="161"/>
        <v>-7.2705561679157441E-2</v>
      </c>
      <c r="N342" s="304">
        <f t="shared" ca="1" si="162"/>
        <v>-4.165721831343812</v>
      </c>
      <c r="P342" s="310">
        <f t="shared" ca="1" si="163"/>
        <v>23</v>
      </c>
      <c r="Q342" s="304">
        <f t="shared" ca="1" si="164"/>
        <v>0</v>
      </c>
      <c r="R342" s="306">
        <f t="shared" ca="1" si="165"/>
        <v>0</v>
      </c>
      <c r="S342" s="307">
        <f t="shared" ca="1" si="166"/>
        <v>7.4499999999999984</v>
      </c>
      <c r="T342" s="304">
        <f t="shared" ca="1" si="146"/>
        <v>73.084499999999991</v>
      </c>
      <c r="U342" s="311">
        <f t="shared" ca="1" si="147"/>
        <v>0</v>
      </c>
      <c r="V342" s="306">
        <f t="shared" ca="1" si="148"/>
        <v>1.0670160475305448</v>
      </c>
      <c r="W342" s="304">
        <f t="shared" ca="1" si="149"/>
        <v>1.8233291385534838</v>
      </c>
      <c r="Y342" s="314" t="str">
        <f t="shared" ca="1" si="167"/>
        <v/>
      </c>
      <c r="Z342" s="315" t="str">
        <f t="shared" ca="1" si="168"/>
        <v/>
      </c>
      <c r="AA342" s="316" t="str">
        <f t="shared" ca="1" si="169"/>
        <v/>
      </c>
      <c r="AC342" s="310" t="e">
        <f t="shared" ca="1" si="170"/>
        <v>#N/A</v>
      </c>
      <c r="AD342" s="323" t="e">
        <f t="shared" ca="1" si="171"/>
        <v>#N/A</v>
      </c>
      <c r="AE342" s="324" t="e">
        <f t="shared" ca="1" si="150"/>
        <v>#N/A</v>
      </c>
      <c r="AG342" s="306">
        <f t="shared" ca="1" si="172"/>
        <v>4.7301818988527033E-2</v>
      </c>
      <c r="AH342" s="304">
        <f t="shared" ca="1" si="173"/>
        <v>-0.24418593892629331</v>
      </c>
    </row>
    <row r="343" spans="1:34" x14ac:dyDescent="0.2">
      <c r="A343" s="347">
        <f t="shared" ca="1" si="151"/>
        <v>0.1</v>
      </c>
      <c r="B343" s="304">
        <f t="shared" ca="1" si="152"/>
        <v>15.899999999999961</v>
      </c>
      <c r="D343" s="306">
        <f t="shared" ca="1" si="153"/>
        <v>-0.2440955855249039</v>
      </c>
      <c r="E343" s="307">
        <f t="shared" ca="1" si="154"/>
        <v>-9.7922215561028363</v>
      </c>
      <c r="F343" s="304">
        <f t="shared" ca="1" si="155"/>
        <v>9.7952634297745043</v>
      </c>
      <c r="G343" s="306">
        <f t="shared" ca="1" si="156"/>
        <v>22.732657445865442</v>
      </c>
      <c r="H343" s="307">
        <f t="shared" ca="1" si="157"/>
        <v>-2.6367090705498635</v>
      </c>
      <c r="I343" s="304">
        <f t="shared" ca="1" si="158"/>
        <v>22.88505952087041</v>
      </c>
      <c r="J343" s="306">
        <f t="shared" ca="1" si="159"/>
        <v>441.74653485425313</v>
      </c>
      <c r="K343" s="307">
        <f t="shared" ca="1" si="160"/>
        <v>1378.3441588410212</v>
      </c>
      <c r="L343" s="304">
        <f t="shared" ca="1" si="145"/>
        <v>1447.4020247557007</v>
      </c>
      <c r="M343" s="306">
        <f t="shared" ca="1" si="161"/>
        <v>-0.11547174352018494</v>
      </c>
      <c r="N343" s="304">
        <f t="shared" ca="1" si="162"/>
        <v>-6.6160435567237084</v>
      </c>
      <c r="P343" s="310">
        <f t="shared" ca="1" si="163"/>
        <v>23</v>
      </c>
      <c r="Q343" s="304">
        <f t="shared" ca="1" si="164"/>
        <v>0</v>
      </c>
      <c r="R343" s="306">
        <f t="shared" ca="1" si="165"/>
        <v>0</v>
      </c>
      <c r="S343" s="307">
        <f t="shared" ca="1" si="166"/>
        <v>7.4499999999999984</v>
      </c>
      <c r="T343" s="304">
        <f t="shared" ca="1" si="146"/>
        <v>73.084499999999991</v>
      </c>
      <c r="U343" s="311">
        <f t="shared" ca="1" si="147"/>
        <v>0</v>
      </c>
      <c r="V343" s="306">
        <f t="shared" ca="1" si="148"/>
        <v>1.0670390670077241</v>
      </c>
      <c r="W343" s="304">
        <f t="shared" ca="1" si="149"/>
        <v>1.8342064189141924</v>
      </c>
      <c r="Y343" s="314" t="str">
        <f t="shared" ca="1" si="167"/>
        <v/>
      </c>
      <c r="Z343" s="315" t="str">
        <f t="shared" ca="1" si="168"/>
        <v/>
      </c>
      <c r="AA343" s="316" t="str">
        <f t="shared" ca="1" si="169"/>
        <v/>
      </c>
      <c r="AC343" s="310" t="e">
        <f t="shared" ca="1" si="170"/>
        <v>#N/A</v>
      </c>
      <c r="AD343" s="323" t="e">
        <f t="shared" ca="1" si="171"/>
        <v>#N/A</v>
      </c>
      <c r="AE343" s="324" t="e">
        <f t="shared" ca="1" si="150"/>
        <v>#N/A</v>
      </c>
      <c r="AG343" s="306">
        <f t="shared" ca="1" si="172"/>
        <v>0.46787118233899139</v>
      </c>
      <c r="AH343" s="304">
        <f t="shared" ca="1" si="173"/>
        <v>-0.24474216624878983</v>
      </c>
    </row>
    <row r="344" spans="1:34" x14ac:dyDescent="0.2">
      <c r="A344" s="347">
        <f t="shared" ca="1" si="151"/>
        <v>0.1</v>
      </c>
      <c r="B344" s="304">
        <f t="shared" ca="1" si="152"/>
        <v>15.999999999999961</v>
      </c>
      <c r="D344" s="306">
        <f t="shared" ca="1" si="153"/>
        <v>-0.24456263083528534</v>
      </c>
      <c r="E344" s="307">
        <f t="shared" ca="1" si="154"/>
        <v>-9.7816337384409842</v>
      </c>
      <c r="F344" s="304">
        <f t="shared" ca="1" si="155"/>
        <v>9.7846905660530741</v>
      </c>
      <c r="G344" s="306">
        <f t="shared" ca="1" si="156"/>
        <v>22.708201182781913</v>
      </c>
      <c r="H344" s="307">
        <f t="shared" ca="1" si="157"/>
        <v>-3.6148724443939617</v>
      </c>
      <c r="I344" s="304">
        <f t="shared" ca="1" si="158"/>
        <v>22.994123243710263</v>
      </c>
      <c r="J344" s="306">
        <f t="shared" ca="1" si="159"/>
        <v>444.01857778568552</v>
      </c>
      <c r="K344" s="307">
        <f t="shared" ca="1" si="160"/>
        <v>1378.031579765274</v>
      </c>
      <c r="L344" s="304">
        <f t="shared" ca="1" si="145"/>
        <v>1447.7995483661402</v>
      </c>
      <c r="M344" s="306">
        <f t="shared" ca="1" si="161"/>
        <v>-0.15786340093480689</v>
      </c>
      <c r="N344" s="304">
        <f t="shared" ca="1" si="162"/>
        <v>-9.0449066131460096</v>
      </c>
      <c r="P344" s="310">
        <f t="shared" ca="1" si="163"/>
        <v>23</v>
      </c>
      <c r="Q344" s="304">
        <f t="shared" ca="1" si="164"/>
        <v>0</v>
      </c>
      <c r="R344" s="306">
        <f t="shared" ca="1" si="165"/>
        <v>0</v>
      </c>
      <c r="S344" s="307">
        <f t="shared" ca="1" si="166"/>
        <v>7.4499999999999984</v>
      </c>
      <c r="T344" s="304">
        <f t="shared" ca="1" si="146"/>
        <v>73.084499999999991</v>
      </c>
      <c r="U344" s="311">
        <f t="shared" ca="1" si="147"/>
        <v>0</v>
      </c>
      <c r="V344" s="306">
        <f t="shared" ca="1" si="148"/>
        <v>1.067072580076992</v>
      </c>
      <c r="W344" s="304">
        <f t="shared" ca="1" si="149"/>
        <v>1.8517888541504455</v>
      </c>
      <c r="Y344" s="314" t="str">
        <f t="shared" ca="1" si="167"/>
        <v/>
      </c>
      <c r="Z344" s="315" t="str">
        <f t="shared" ca="1" si="168"/>
        <v/>
      </c>
      <c r="AA344" s="316" t="str">
        <f t="shared" ca="1" si="169"/>
        <v/>
      </c>
      <c r="AC344" s="310">
        <f t="shared" ca="1" si="170"/>
        <v>15.999999999999961</v>
      </c>
      <c r="AD344" s="323">
        <f t="shared" ca="1" si="171"/>
        <v>444.01857778568552</v>
      </c>
      <c r="AE344" s="324" t="e">
        <f t="shared" ca="1" si="150"/>
        <v>#N/A</v>
      </c>
      <c r="AG344" s="306">
        <f t="shared" ca="1" si="172"/>
        <v>0.88405992012627388</v>
      </c>
      <c r="AH344" s="304">
        <f t="shared" ca="1" si="173"/>
        <v>-0.2462022038810997</v>
      </c>
    </row>
    <row r="345" spans="1:34" x14ac:dyDescent="0.2">
      <c r="A345" s="347">
        <f t="shared" ca="1" si="151"/>
        <v>0.1</v>
      </c>
      <c r="B345" s="304">
        <f t="shared" ca="1" si="152"/>
        <v>16.099999999999962</v>
      </c>
      <c r="D345" s="306">
        <f t="shared" ca="1" si="153"/>
        <v>-0.24547149717251512</v>
      </c>
      <c r="E345" s="307">
        <f t="shared" ca="1" si="154"/>
        <v>-9.7709238907181319</v>
      </c>
      <c r="F345" s="304">
        <f t="shared" ca="1" si="155"/>
        <v>9.7740068515491885</v>
      </c>
      <c r="G345" s="306">
        <f t="shared" ca="1" si="156"/>
        <v>22.683654033064663</v>
      </c>
      <c r="H345" s="307">
        <f t="shared" ca="1" si="157"/>
        <v>-4.5919648334657754</v>
      </c>
      <c r="I345" s="304">
        <f t="shared" ca="1" si="158"/>
        <v>23.143774569493999</v>
      </c>
      <c r="J345" s="306">
        <f t="shared" ca="1" si="159"/>
        <v>446.28817054647783</v>
      </c>
      <c r="K345" s="307">
        <f t="shared" ca="1" si="160"/>
        <v>1377.6212379013812</v>
      </c>
      <c r="L345" s="304">
        <f t="shared" ca="1" si="145"/>
        <v>1448.1068352461623</v>
      </c>
      <c r="M345" s="306">
        <f t="shared" ca="1" si="161"/>
        <v>-0.19973577745988197</v>
      </c>
      <c r="N345" s="304">
        <f t="shared" ca="1" si="162"/>
        <v>-11.444017066215475</v>
      </c>
      <c r="P345" s="310">
        <f t="shared" ca="1" si="163"/>
        <v>23</v>
      </c>
      <c r="Q345" s="304">
        <f t="shared" ca="1" si="164"/>
        <v>0</v>
      </c>
      <c r="R345" s="306">
        <f t="shared" ca="1" si="165"/>
        <v>0</v>
      </c>
      <c r="S345" s="307">
        <f t="shared" ca="1" si="166"/>
        <v>7.4499999999999984</v>
      </c>
      <c r="T345" s="304">
        <f t="shared" ca="1" si="146"/>
        <v>73.084499999999991</v>
      </c>
      <c r="U345" s="311">
        <f t="shared" ca="1" si="147"/>
        <v>0</v>
      </c>
      <c r="V345" s="306">
        <f t="shared" ca="1" si="148"/>
        <v>1.0671165762412151</v>
      </c>
      <c r="W345" s="304">
        <f t="shared" ca="1" si="149"/>
        <v>1.876048419541833</v>
      </c>
      <c r="Y345" s="314" t="str">
        <f t="shared" ca="1" si="167"/>
        <v/>
      </c>
      <c r="Z345" s="315" t="str">
        <f t="shared" ca="1" si="168"/>
        <v/>
      </c>
      <c r="AA345" s="316" t="str">
        <f t="shared" ca="1" si="169"/>
        <v/>
      </c>
      <c r="AC345" s="310" t="e">
        <f t="shared" ca="1" si="170"/>
        <v>#N/A</v>
      </c>
      <c r="AD345" s="323" t="e">
        <f t="shared" ca="1" si="171"/>
        <v>#N/A</v>
      </c>
      <c r="AE345" s="324" t="e">
        <f t="shared" ca="1" si="150"/>
        <v>#N/A</v>
      </c>
      <c r="AG345" s="306">
        <f t="shared" ca="1" si="172"/>
        <v>1.2936534727207829</v>
      </c>
      <c r="AH345" s="304">
        <f t="shared" ca="1" si="173"/>
        <v>-0.24856226230207326</v>
      </c>
    </row>
    <row r="346" spans="1:34" x14ac:dyDescent="0.2">
      <c r="A346" s="347">
        <f t="shared" ca="1" si="151"/>
        <v>0.1</v>
      </c>
      <c r="B346" s="304">
        <f t="shared" ca="1" si="152"/>
        <v>16.199999999999964</v>
      </c>
      <c r="D346" s="306">
        <f t="shared" ca="1" si="153"/>
        <v>-0.24681218382186731</v>
      </c>
      <c r="E346" s="307">
        <f t="shared" ca="1" si="154"/>
        <v>-9.760036582865844</v>
      </c>
      <c r="F346" s="304">
        <f t="shared" ca="1" si="155"/>
        <v>9.7631567821561944</v>
      </c>
      <c r="G346" s="306">
        <f t="shared" ca="1" si="156"/>
        <v>22.658972814682475</v>
      </c>
      <c r="H346" s="307">
        <f t="shared" ca="1" si="157"/>
        <v>-5.5679684917523602</v>
      </c>
      <c r="I346" s="304">
        <f t="shared" ca="1" si="158"/>
        <v>23.333052139436592</v>
      </c>
      <c r="J346" s="306">
        <f t="shared" ca="1" si="159"/>
        <v>448.55530188886519</v>
      </c>
      <c r="K346" s="307">
        <f t="shared" ca="1" si="160"/>
        <v>1377.1132412351203</v>
      </c>
      <c r="L346" s="304">
        <f t="shared" ca="1" si="145"/>
        <v>1448.3241136008576</v>
      </c>
      <c r="M346" s="306">
        <f t="shared" ca="1" si="161"/>
        <v>-0.24095494973743725</v>
      </c>
      <c r="N346" s="304">
        <f t="shared" ca="1" si="162"/>
        <v>-13.805701672742039</v>
      </c>
      <c r="P346" s="310">
        <f t="shared" ca="1" si="163"/>
        <v>23</v>
      </c>
      <c r="Q346" s="304">
        <f t="shared" ca="1" si="164"/>
        <v>0</v>
      </c>
      <c r="R346" s="306">
        <f t="shared" ca="1" si="165"/>
        <v>0</v>
      </c>
      <c r="S346" s="307">
        <f t="shared" ca="1" si="166"/>
        <v>7.4499999999999984</v>
      </c>
      <c r="T346" s="304">
        <f t="shared" ca="1" si="146"/>
        <v>73.084499999999991</v>
      </c>
      <c r="U346" s="311">
        <f t="shared" ca="1" si="147"/>
        <v>0</v>
      </c>
      <c r="V346" s="306">
        <f t="shared" ca="1" si="148"/>
        <v>1.0671710451288647</v>
      </c>
      <c r="W346" s="304">
        <f t="shared" ca="1" si="149"/>
        <v>1.9069571408286001</v>
      </c>
      <c r="Y346" s="314" t="str">
        <f t="shared" ca="1" si="167"/>
        <v/>
      </c>
      <c r="Z346" s="315" t="str">
        <f t="shared" ca="1" si="168"/>
        <v/>
      </c>
      <c r="AA346" s="316" t="str">
        <f t="shared" ca="1" si="169"/>
        <v/>
      </c>
      <c r="AC346" s="310" t="e">
        <f t="shared" ca="1" si="170"/>
        <v>#N/A</v>
      </c>
      <c r="AD346" s="323" t="e">
        <f t="shared" ca="1" si="171"/>
        <v>#N/A</v>
      </c>
      <c r="AE346" s="324" t="e">
        <f t="shared" ca="1" si="150"/>
        <v>#N/A</v>
      </c>
      <c r="AG346" s="306">
        <f t="shared" ca="1" si="172"/>
        <v>1.6945871320659216</v>
      </c>
      <c r="AH346" s="304">
        <f t="shared" ca="1" si="173"/>
        <v>-0.25181857980427291</v>
      </c>
    </row>
    <row r="347" spans="1:34" x14ac:dyDescent="0.2">
      <c r="A347" s="347">
        <f t="shared" ca="1" si="151"/>
        <v>0.1</v>
      </c>
      <c r="B347" s="304">
        <f t="shared" ca="1" si="152"/>
        <v>16.299999999999965</v>
      </c>
      <c r="D347" s="306">
        <f t="shared" ca="1" si="153"/>
        <v>-0.24857264091811598</v>
      </c>
      <c r="E347" s="307">
        <f t="shared" ca="1" si="154"/>
        <v>-9.7489184742016679</v>
      </c>
      <c r="F347" s="304">
        <f t="shared" ca="1" si="155"/>
        <v>9.7520869445695357</v>
      </c>
      <c r="G347" s="306">
        <f t="shared" ca="1" si="156"/>
        <v>22.634115550590664</v>
      </c>
      <c r="H347" s="307">
        <f t="shared" ca="1" si="157"/>
        <v>-6.5428603391725275</v>
      </c>
      <c r="I347" s="304">
        <f t="shared" ca="1" si="158"/>
        <v>23.560819344314133</v>
      </c>
      <c r="J347" s="306">
        <f t="shared" ca="1" si="159"/>
        <v>450.81995630712885</v>
      </c>
      <c r="K347" s="307">
        <f t="shared" ca="1" si="160"/>
        <v>1376.5076997935741</v>
      </c>
      <c r="L347" s="304">
        <f t="shared" ca="1" si="145"/>
        <v>1448.4516148618006</v>
      </c>
      <c r="M347" s="306">
        <f t="shared" ca="1" si="161"/>
        <v>-0.28140002937524428</v>
      </c>
      <c r="N347" s="304">
        <f t="shared" ca="1" si="162"/>
        <v>-16.123034038058886</v>
      </c>
      <c r="P347" s="310">
        <f t="shared" ca="1" si="163"/>
        <v>23</v>
      </c>
      <c r="Q347" s="304">
        <f t="shared" ca="1" si="164"/>
        <v>0</v>
      </c>
      <c r="R347" s="306">
        <f t="shared" ca="1" si="165"/>
        <v>0</v>
      </c>
      <c r="S347" s="307">
        <f t="shared" ca="1" si="166"/>
        <v>7.4499999999999984</v>
      </c>
      <c r="T347" s="304">
        <f t="shared" ca="1" si="146"/>
        <v>73.084499999999991</v>
      </c>
      <c r="U347" s="311">
        <f t="shared" ca="1" si="147"/>
        <v>0</v>
      </c>
      <c r="V347" s="306">
        <f t="shared" ca="1" si="148"/>
        <v>1.0672359764346904</v>
      </c>
      <c r="W347" s="304">
        <f t="shared" ca="1" si="149"/>
        <v>1.94448694368563</v>
      </c>
      <c r="Y347" s="314" t="str">
        <f t="shared" ca="1" si="167"/>
        <v/>
      </c>
      <c r="Z347" s="315" t="str">
        <f t="shared" ca="1" si="168"/>
        <v/>
      </c>
      <c r="AA347" s="316" t="str">
        <f t="shared" ca="1" si="169"/>
        <v/>
      </c>
      <c r="AC347" s="310" t="e">
        <f t="shared" ca="1" si="170"/>
        <v>#N/A</v>
      </c>
      <c r="AD347" s="323" t="e">
        <f t="shared" ca="1" si="171"/>
        <v>#N/A</v>
      </c>
      <c r="AE347" s="324" t="e">
        <f t="shared" ca="1" si="150"/>
        <v>#N/A</v>
      </c>
      <c r="AG347" s="306">
        <f t="shared" ca="1" si="172"/>
        <v>2.0849938486082116</v>
      </c>
      <c r="AH347" s="304">
        <f t="shared" ca="1" si="173"/>
        <v>-0.25596740145350344</v>
      </c>
    </row>
    <row r="348" spans="1:34" x14ac:dyDescent="0.2">
      <c r="A348" s="347">
        <f t="shared" ca="1" si="151"/>
        <v>0.1</v>
      </c>
      <c r="B348" s="304">
        <f t="shared" ca="1" si="152"/>
        <v>16.399999999999967</v>
      </c>
      <c r="D348" s="306">
        <f t="shared" ca="1" si="153"/>
        <v>-0.25073900496939955</v>
      </c>
      <c r="E348" s="307">
        <f t="shared" ca="1" si="154"/>
        <v>-9.737518692416721</v>
      </c>
      <c r="F348" s="304">
        <f t="shared" ca="1" si="155"/>
        <v>9.7407463951063882</v>
      </c>
      <c r="G348" s="306">
        <f t="shared" ca="1" si="156"/>
        <v>22.609041650093726</v>
      </c>
      <c r="H348" s="307">
        <f t="shared" ca="1" si="157"/>
        <v>-7.5166122084142</v>
      </c>
      <c r="I348" s="304">
        <f t="shared" ca="1" si="158"/>
        <v>23.825789041023473</v>
      </c>
      <c r="J348" s="306">
        <f t="shared" ca="1" si="159"/>
        <v>453.08211416716307</v>
      </c>
      <c r="K348" s="307">
        <f t="shared" ca="1" si="160"/>
        <v>1375.8047261661948</v>
      </c>
      <c r="L348" s="304">
        <f t="shared" ca="1" si="145"/>
        <v>1448.4895742529266</v>
      </c>
      <c r="M348" s="306">
        <f t="shared" ca="1" si="161"/>
        <v>-0.3209647556707248</v>
      </c>
      <c r="N348" s="304">
        <f t="shared" ca="1" si="162"/>
        <v>-18.389925872380186</v>
      </c>
      <c r="P348" s="310">
        <f t="shared" ca="1" si="163"/>
        <v>23</v>
      </c>
      <c r="Q348" s="304">
        <f t="shared" ca="1" si="164"/>
        <v>0</v>
      </c>
      <c r="R348" s="306">
        <f t="shared" ca="1" si="165"/>
        <v>0</v>
      </c>
      <c r="S348" s="307">
        <f t="shared" ca="1" si="166"/>
        <v>7.4499999999999984</v>
      </c>
      <c r="T348" s="304">
        <f t="shared" ca="1" si="146"/>
        <v>73.084499999999991</v>
      </c>
      <c r="U348" s="311">
        <f t="shared" ca="1" si="147"/>
        <v>0</v>
      </c>
      <c r="V348" s="306">
        <f t="shared" ca="1" si="148"/>
        <v>1.0673113598628141</v>
      </c>
      <c r="W348" s="304">
        <f t="shared" ca="1" si="149"/>
        <v>1.9886095104725403</v>
      </c>
      <c r="Y348" s="314" t="str">
        <f t="shared" ca="1" si="167"/>
        <v/>
      </c>
      <c r="Z348" s="315" t="str">
        <f t="shared" ca="1" si="168"/>
        <v/>
      </c>
      <c r="AA348" s="316" t="str">
        <f t="shared" ca="1" si="169"/>
        <v/>
      </c>
      <c r="AC348" s="310" t="e">
        <f t="shared" ca="1" si="170"/>
        <v>#N/A</v>
      </c>
      <c r="AD348" s="323" t="e">
        <f t="shared" ca="1" si="171"/>
        <v>#N/A</v>
      </c>
      <c r="AE348" s="324" t="e">
        <f t="shared" ca="1" si="150"/>
        <v>#N/A</v>
      </c>
      <c r="AG348" s="306">
        <f t="shared" ca="1" si="172"/>
        <v>2.4632407046172031</v>
      </c>
      <c r="AH348" s="304">
        <f t="shared" ca="1" si="173"/>
        <v>-0.26100495888397723</v>
      </c>
    </row>
    <row r="349" spans="1:34" x14ac:dyDescent="0.2">
      <c r="A349" s="347">
        <f t="shared" ca="1" si="151"/>
        <v>0.1</v>
      </c>
      <c r="B349" s="304">
        <f t="shared" ca="1" si="152"/>
        <v>16.499999999999968</v>
      </c>
      <c r="D349" s="306">
        <f t="shared" ca="1" si="153"/>
        <v>-0.25329586560206119</v>
      </c>
      <c r="E349" s="307">
        <f t="shared" ca="1" si="154"/>
        <v>-9.7257891420082636</v>
      </c>
      <c r="F349" s="304">
        <f t="shared" ca="1" si="155"/>
        <v>9.7290869679706802</v>
      </c>
      <c r="G349" s="306">
        <f t="shared" ca="1" si="156"/>
        <v>22.583712063533518</v>
      </c>
      <c r="H349" s="307">
        <f t="shared" ca="1" si="157"/>
        <v>-8.4891911226150256</v>
      </c>
      <c r="I349" s="304">
        <f t="shared" ca="1" si="158"/>
        <v>24.126550032793233</v>
      </c>
      <c r="J349" s="306">
        <f t="shared" ca="1" si="159"/>
        <v>455.34175185284442</v>
      </c>
      <c r="K349" s="307">
        <f t="shared" ca="1" si="160"/>
        <v>1375.0044359996434</v>
      </c>
      <c r="L349" s="304">
        <f t="shared" ca="1" si="145"/>
        <v>1448.4382313371582</v>
      </c>
      <c r="M349" s="306">
        <f t="shared" ca="1" si="161"/>
        <v>-0.35955845967334704</v>
      </c>
      <c r="N349" s="304">
        <f t="shared" ca="1" si="162"/>
        <v>-20.601182227507593</v>
      </c>
      <c r="P349" s="310">
        <f t="shared" ca="1" si="163"/>
        <v>23</v>
      </c>
      <c r="Q349" s="304">
        <f t="shared" ca="1" si="164"/>
        <v>0</v>
      </c>
      <c r="R349" s="306">
        <f t="shared" ca="1" si="165"/>
        <v>0</v>
      </c>
      <c r="S349" s="307">
        <f t="shared" ca="1" si="166"/>
        <v>7.4499999999999984</v>
      </c>
      <c r="T349" s="304">
        <f t="shared" ca="1" si="146"/>
        <v>73.084499999999991</v>
      </c>
      <c r="U349" s="311">
        <f t="shared" ca="1" si="147"/>
        <v>0</v>
      </c>
      <c r="V349" s="306">
        <f t="shared" ca="1" si="148"/>
        <v>1.0673971850726038</v>
      </c>
      <c r="W349" s="304">
        <f t="shared" ca="1" si="149"/>
        <v>2.0392961451286373</v>
      </c>
      <c r="Y349" s="314" t="str">
        <f t="shared" ca="1" si="167"/>
        <v/>
      </c>
      <c r="Z349" s="315" t="str">
        <f t="shared" ca="1" si="168"/>
        <v/>
      </c>
      <c r="AA349" s="316" t="str">
        <f t="shared" ca="1" si="169"/>
        <v/>
      </c>
      <c r="AC349" s="310" t="e">
        <f t="shared" ca="1" si="170"/>
        <v>#N/A</v>
      </c>
      <c r="AD349" s="323" t="e">
        <f t="shared" ca="1" si="171"/>
        <v>#N/A</v>
      </c>
      <c r="AE349" s="324" t="e">
        <f t="shared" ca="1" si="150"/>
        <v>#N/A</v>
      </c>
      <c r="AG349" s="306">
        <f t="shared" ca="1" si="172"/>
        <v>2.8279528753518135</v>
      </c>
      <c r="AH349" s="304">
        <f t="shared" ca="1" si="173"/>
        <v>-0.26692745107013971</v>
      </c>
    </row>
    <row r="350" spans="1:34" x14ac:dyDescent="0.2">
      <c r="A350" s="347">
        <f t="shared" ca="1" si="151"/>
        <v>0.1</v>
      </c>
      <c r="B350" s="304">
        <f t="shared" ca="1" si="152"/>
        <v>16.599999999999969</v>
      </c>
      <c r="D350" s="306">
        <f t="shared" ca="1" si="153"/>
        <v>-0.25622655000270828</v>
      </c>
      <c r="E350" s="307">
        <f t="shared" ca="1" si="154"/>
        <v>-9.7136847375868935</v>
      </c>
      <c r="F350" s="304">
        <f t="shared" ca="1" si="155"/>
        <v>9.7170635083936165</v>
      </c>
      <c r="G350" s="306">
        <f t="shared" ca="1" si="156"/>
        <v>22.558089408533249</v>
      </c>
      <c r="H350" s="307">
        <f t="shared" ca="1" si="157"/>
        <v>-9.4605595963737148</v>
      </c>
      <c r="I350" s="304">
        <f t="shared" ca="1" si="158"/>
        <v>24.461594094414998</v>
      </c>
      <c r="J350" s="306">
        <f t="shared" ca="1" si="159"/>
        <v>457.59884192644779</v>
      </c>
      <c r="K350" s="307">
        <f t="shared" ca="1" si="160"/>
        <v>1374.1069484636939</v>
      </c>
      <c r="L350" s="304">
        <f t="shared" ca="1" si="145"/>
        <v>1448.2978305406077</v>
      </c>
      <c r="M350" s="306">
        <f t="shared" ca="1" si="161"/>
        <v>-0.39710642503667265</v>
      </c>
      <c r="N350" s="304">
        <f t="shared" ca="1" si="162"/>
        <v>-22.752522172129549</v>
      </c>
      <c r="P350" s="310">
        <f t="shared" ca="1" si="163"/>
        <v>23</v>
      </c>
      <c r="Q350" s="304">
        <f t="shared" ca="1" si="164"/>
        <v>0</v>
      </c>
      <c r="R350" s="306">
        <f t="shared" ca="1" si="165"/>
        <v>0</v>
      </c>
      <c r="S350" s="307">
        <f t="shared" ca="1" si="166"/>
        <v>7.4499999999999984</v>
      </c>
      <c r="T350" s="304">
        <f t="shared" ca="1" si="146"/>
        <v>73.084499999999991</v>
      </c>
      <c r="U350" s="311">
        <f t="shared" ca="1" si="147"/>
        <v>0</v>
      </c>
      <c r="V350" s="306">
        <f t="shared" ca="1" si="148"/>
        <v>1.0674934416276032</v>
      </c>
      <c r="W350" s="304">
        <f t="shared" ca="1" si="149"/>
        <v>2.0965176468823188</v>
      </c>
      <c r="Y350" s="314" t="str">
        <f t="shared" ca="1" si="167"/>
        <v/>
      </c>
      <c r="Z350" s="315" t="str">
        <f t="shared" ca="1" si="168"/>
        <v/>
      </c>
      <c r="AA350" s="316" t="str">
        <f t="shared" ca="1" si="169"/>
        <v/>
      </c>
      <c r="AC350" s="310" t="e">
        <f t="shared" ca="1" si="170"/>
        <v>#N/A</v>
      </c>
      <c r="AD350" s="323" t="e">
        <f t="shared" ca="1" si="171"/>
        <v>#N/A</v>
      </c>
      <c r="AE350" s="324" t="e">
        <f t="shared" ca="1" si="150"/>
        <v>#N/A</v>
      </c>
      <c r="AG350" s="306">
        <f t="shared" ca="1" si="172"/>
        <v>3.1780250184834666</v>
      </c>
      <c r="AH350" s="304">
        <f t="shared" ca="1" si="173"/>
        <v>-0.27373102619176348</v>
      </c>
    </row>
    <row r="351" spans="1:34" x14ac:dyDescent="0.2">
      <c r="A351" s="347">
        <f t="shared" ca="1" si="151"/>
        <v>0.1</v>
      </c>
      <c r="B351" s="304">
        <f t="shared" ca="1" si="152"/>
        <v>16.699999999999971</v>
      </c>
      <c r="D351" s="306">
        <f t="shared" ca="1" si="153"/>
        <v>-0.25951341207821588</v>
      </c>
      <c r="E351" s="307">
        <f t="shared" ca="1" si="154"/>
        <v>-9.7011635619240195</v>
      </c>
      <c r="F351" s="304">
        <f t="shared" ca="1" si="155"/>
        <v>9.7046340305160808</v>
      </c>
      <c r="G351" s="306">
        <f t="shared" ca="1" si="156"/>
        <v>22.532138067325427</v>
      </c>
      <c r="H351" s="307">
        <f t="shared" ca="1" si="157"/>
        <v>-10.430675952566117</v>
      </c>
      <c r="I351" s="304">
        <f t="shared" ca="1" si="158"/>
        <v>24.829342454290984</v>
      </c>
      <c r="J351" s="306">
        <f t="shared" ca="1" si="159"/>
        <v>459.85335330024071</v>
      </c>
      <c r="K351" s="307">
        <f t="shared" ca="1" si="160"/>
        <v>1373.112386686247</v>
      </c>
      <c r="L351" s="304">
        <f t="shared" ca="1" si="145"/>
        <v>1448.0686216518461</v>
      </c>
      <c r="M351" s="306">
        <f t="shared" ca="1" si="161"/>
        <v>-0.43354970718713731</v>
      </c>
      <c r="N351" s="304">
        <f t="shared" ca="1" si="162"/>
        <v>-24.840568430955621</v>
      </c>
      <c r="P351" s="310">
        <f t="shared" ca="1" si="163"/>
        <v>23</v>
      </c>
      <c r="Q351" s="304">
        <f t="shared" ca="1" si="164"/>
        <v>0</v>
      </c>
      <c r="R351" s="306">
        <f t="shared" ca="1" si="165"/>
        <v>0</v>
      </c>
      <c r="S351" s="307">
        <f t="shared" ca="1" si="166"/>
        <v>7.4499999999999984</v>
      </c>
      <c r="T351" s="304">
        <f t="shared" ca="1" si="146"/>
        <v>73.084499999999991</v>
      </c>
      <c r="U351" s="311">
        <f t="shared" ca="1" si="147"/>
        <v>0</v>
      </c>
      <c r="V351" s="306">
        <f t="shared" ca="1" si="148"/>
        <v>1.0676001189477258</v>
      </c>
      <c r="W351" s="304">
        <f t="shared" ca="1" si="149"/>
        <v>2.1602441932406706</v>
      </c>
      <c r="Y351" s="314" t="str">
        <f t="shared" ca="1" si="167"/>
        <v/>
      </c>
      <c r="Z351" s="315" t="str">
        <f t="shared" ca="1" si="168"/>
        <v/>
      </c>
      <c r="AA351" s="316" t="str">
        <f t="shared" ca="1" si="169"/>
        <v/>
      </c>
      <c r="AC351" s="310" t="e">
        <f t="shared" ca="1" si="170"/>
        <v>#N/A</v>
      </c>
      <c r="AD351" s="323" t="e">
        <f t="shared" ca="1" si="171"/>
        <v>#N/A</v>
      </c>
      <c r="AE351" s="324" t="e">
        <f t="shared" ca="1" si="150"/>
        <v>#N/A</v>
      </c>
      <c r="AG351" s="306">
        <f t="shared" ca="1" si="172"/>
        <v>3.5126210069439168</v>
      </c>
      <c r="AH351" s="304">
        <f t="shared" ca="1" si="173"/>
        <v>-0.28141176468219048</v>
      </c>
    </row>
    <row r="352" spans="1:34" x14ac:dyDescent="0.2">
      <c r="A352" s="347">
        <f t="shared" ca="1" si="151"/>
        <v>0.1</v>
      </c>
      <c r="B352" s="304">
        <f t="shared" ca="1" si="152"/>
        <v>16.799999999999972</v>
      </c>
      <c r="D352" s="306">
        <f t="shared" ca="1" si="153"/>
        <v>-0.26313811480487137</v>
      </c>
      <c r="E352" s="307">
        <f t="shared" ca="1" si="154"/>
        <v>-9.6881869524277882</v>
      </c>
      <c r="F352" s="304">
        <f t="shared" ca="1" si="155"/>
        <v>9.691759803702066</v>
      </c>
      <c r="G352" s="306">
        <f t="shared" ca="1" si="156"/>
        <v>22.505824255844939</v>
      </c>
      <c r="H352" s="307">
        <f t="shared" ca="1" si="157"/>
        <v>-11.399494647808897</v>
      </c>
      <c r="I352" s="304">
        <f t="shared" ca="1" si="158"/>
        <v>25.228170834612683</v>
      </c>
      <c r="J352" s="306">
        <f t="shared" ca="1" si="159"/>
        <v>462.10525141639926</v>
      </c>
      <c r="K352" s="307">
        <f t="shared" ca="1" si="160"/>
        <v>1372.0208781562283</v>
      </c>
      <c r="L352" s="304">
        <f t="shared" ca="1" si="145"/>
        <v>1447.750860294409</v>
      </c>
      <c r="M352" s="306">
        <f t="shared" ca="1" si="161"/>
        <v>-0.46884449713524157</v>
      </c>
      <c r="N352" s="304">
        <f t="shared" ca="1" si="162"/>
        <v>-26.862810933782757</v>
      </c>
      <c r="P352" s="310">
        <f t="shared" ca="1" si="163"/>
        <v>23</v>
      </c>
      <c r="Q352" s="304">
        <f t="shared" ca="1" si="164"/>
        <v>0</v>
      </c>
      <c r="R352" s="306">
        <f t="shared" ca="1" si="165"/>
        <v>0</v>
      </c>
      <c r="S352" s="307">
        <f t="shared" ca="1" si="166"/>
        <v>7.4499999999999984</v>
      </c>
      <c r="T352" s="304">
        <f t="shared" ca="1" si="146"/>
        <v>73.084499999999991</v>
      </c>
      <c r="U352" s="311">
        <f t="shared" ca="1" si="147"/>
        <v>0</v>
      </c>
      <c r="V352" s="306">
        <f t="shared" ca="1" si="148"/>
        <v>1.0677172062648317</v>
      </c>
      <c r="W352" s="304">
        <f t="shared" ca="1" si="149"/>
        <v>2.2304452325273245</v>
      </c>
      <c r="Y352" s="314" t="str">
        <f t="shared" ca="1" si="167"/>
        <v/>
      </c>
      <c r="Z352" s="315" t="str">
        <f t="shared" ca="1" si="168"/>
        <v/>
      </c>
      <c r="AA352" s="316" t="str">
        <f t="shared" ca="1" si="169"/>
        <v/>
      </c>
      <c r="AC352" s="310" t="e">
        <f t="shared" ca="1" si="170"/>
        <v>#N/A</v>
      </c>
      <c r="AD352" s="323" t="e">
        <f t="shared" ca="1" si="171"/>
        <v>#N/A</v>
      </c>
      <c r="AE352" s="324" t="e">
        <f t="shared" ca="1" si="150"/>
        <v>#N/A</v>
      </c>
      <c r="AG352" s="306">
        <f t="shared" ca="1" si="172"/>
        <v>3.8311636528519832</v>
      </c>
      <c r="AH352" s="304">
        <f t="shared" ca="1" si="173"/>
        <v>-0.28996566352223774</v>
      </c>
    </row>
    <row r="353" spans="1:34" x14ac:dyDescent="0.2">
      <c r="A353" s="347">
        <f t="shared" ca="1" si="151"/>
        <v>0.1</v>
      </c>
      <c r="B353" s="304">
        <f t="shared" ca="1" si="152"/>
        <v>16.899999999999974</v>
      </c>
      <c r="D353" s="306">
        <f t="shared" ca="1" si="153"/>
        <v>-0.26708189630381107</v>
      </c>
      <c r="E353" s="307">
        <f t="shared" ca="1" si="154"/>
        <v>-9.6747195226963871</v>
      </c>
      <c r="F353" s="304">
        <f t="shared" ca="1" si="155"/>
        <v>9.6784053739330353</v>
      </c>
      <c r="G353" s="306">
        <f t="shared" ca="1" si="156"/>
        <v>22.479116066214559</v>
      </c>
      <c r="H353" s="307">
        <f t="shared" ca="1" si="157"/>
        <v>-12.366966600078536</v>
      </c>
      <c r="I353" s="304">
        <f t="shared" ca="1" si="158"/>
        <v>25.656432370963106</v>
      </c>
      <c r="J353" s="306">
        <f t="shared" ca="1" si="159"/>
        <v>464.35449843250223</v>
      </c>
      <c r="K353" s="307">
        <f t="shared" ca="1" si="160"/>
        <v>1370.8325550938339</v>
      </c>
      <c r="L353" s="304">
        <f t="shared" ca="1" si="145"/>
        <v>1447.3448083713811</v>
      </c>
      <c r="M353" s="306">
        <f t="shared" ca="1" si="161"/>
        <v>-0.502961129366852</v>
      </c>
      <c r="N353" s="304">
        <f t="shared" ca="1" si="162"/>
        <v>-28.817549971854028</v>
      </c>
      <c r="P353" s="310">
        <f t="shared" ca="1" si="163"/>
        <v>23</v>
      </c>
      <c r="Q353" s="304">
        <f t="shared" ca="1" si="164"/>
        <v>0</v>
      </c>
      <c r="R353" s="306">
        <f t="shared" ca="1" si="165"/>
        <v>0</v>
      </c>
      <c r="S353" s="307">
        <f t="shared" ca="1" si="166"/>
        <v>7.4499999999999984</v>
      </c>
      <c r="T353" s="304">
        <f t="shared" ca="1" si="146"/>
        <v>73.084499999999991</v>
      </c>
      <c r="U353" s="311">
        <f t="shared" ca="1" si="147"/>
        <v>0</v>
      </c>
      <c r="V353" s="306">
        <f t="shared" ca="1" si="148"/>
        <v>1.0678446925817415</v>
      </c>
      <c r="W353" s="304">
        <f t="shared" ca="1" si="149"/>
        <v>2.3070893860543156</v>
      </c>
      <c r="Y353" s="314" t="str">
        <f t="shared" ca="1" si="167"/>
        <v/>
      </c>
      <c r="Z353" s="315" t="str">
        <f t="shared" ca="1" si="168"/>
        <v/>
      </c>
      <c r="AA353" s="316" t="str">
        <f t="shared" ca="1" si="169"/>
        <v/>
      </c>
      <c r="AC353" s="310" t="e">
        <f t="shared" ca="1" si="170"/>
        <v>#N/A</v>
      </c>
      <c r="AD353" s="323" t="e">
        <f t="shared" ca="1" si="171"/>
        <v>#N/A</v>
      </c>
      <c r="AE353" s="324" t="e">
        <f t="shared" ca="1" si="150"/>
        <v>#N/A</v>
      </c>
      <c r="AG353" s="306">
        <f t="shared" ca="1" si="172"/>
        <v>4.1333165167421955</v>
      </c>
      <c r="AH353" s="304">
        <f t="shared" ca="1" si="173"/>
        <v>-0.29938862181574832</v>
      </c>
    </row>
    <row r="354" spans="1:34" x14ac:dyDescent="0.2">
      <c r="A354" s="347">
        <f t="shared" ca="1" si="151"/>
        <v>0.1</v>
      </c>
      <c r="B354" s="304">
        <f t="shared" ca="1" si="152"/>
        <v>16.999999999999975</v>
      </c>
      <c r="D354" s="306">
        <f t="shared" ca="1" si="153"/>
        <v>-0.27132581255451649</v>
      </c>
      <c r="E354" s="307">
        <f t="shared" ca="1" si="154"/>
        <v>-9.6607291277950189</v>
      </c>
      <c r="F354" s="304">
        <f t="shared" ca="1" si="155"/>
        <v>9.6645385289306738</v>
      </c>
      <c r="G354" s="306">
        <f t="shared" ca="1" si="156"/>
        <v>22.451983484959108</v>
      </c>
      <c r="H354" s="307">
        <f t="shared" ca="1" si="157"/>
        <v>-13.333039512858038</v>
      </c>
      <c r="I354" s="304">
        <f t="shared" ca="1" si="158"/>
        <v>26.112477957105302</v>
      </c>
      <c r="J354" s="306">
        <f t="shared" ca="1" si="159"/>
        <v>466.6010534100609</v>
      </c>
      <c r="K354" s="307">
        <f t="shared" ca="1" si="160"/>
        <v>1369.547554788187</v>
      </c>
      <c r="L354" s="304">
        <f t="shared" ca="1" si="145"/>
        <v>1446.8507344815084</v>
      </c>
      <c r="M354" s="306">
        <f t="shared" ca="1" si="161"/>
        <v>-0.53588283584643059</v>
      </c>
      <c r="N354" s="304">
        <f t="shared" ca="1" si="162"/>
        <v>-30.703824807502375</v>
      </c>
      <c r="P354" s="310">
        <f t="shared" ca="1" si="163"/>
        <v>23</v>
      </c>
      <c r="Q354" s="304">
        <f t="shared" ca="1" si="164"/>
        <v>0</v>
      </c>
      <c r="R354" s="306">
        <f t="shared" ca="1" si="165"/>
        <v>0</v>
      </c>
      <c r="S354" s="307">
        <f t="shared" ca="1" si="166"/>
        <v>7.4499999999999984</v>
      </c>
      <c r="T354" s="304">
        <f t="shared" ca="1" si="146"/>
        <v>73.084499999999991</v>
      </c>
      <c r="U354" s="311">
        <f t="shared" ca="1" si="147"/>
        <v>0</v>
      </c>
      <c r="V354" s="306">
        <f t="shared" ca="1" si="148"/>
        <v>1.0679825666346769</v>
      </c>
      <c r="W354" s="304">
        <f t="shared" ca="1" si="149"/>
        <v>2.3901443598530081</v>
      </c>
      <c r="Y354" s="314" t="str">
        <f t="shared" ca="1" si="167"/>
        <v/>
      </c>
      <c r="Z354" s="315" t="str">
        <f t="shared" ca="1" si="168"/>
        <v/>
      </c>
      <c r="AA354" s="316" t="str">
        <f t="shared" ca="1" si="169"/>
        <v/>
      </c>
      <c r="AC354" s="310">
        <f t="shared" ca="1" si="170"/>
        <v>16.999999999999975</v>
      </c>
      <c r="AD354" s="323">
        <f t="shared" ca="1" si="171"/>
        <v>466.6010534100609</v>
      </c>
      <c r="AE354" s="324" t="e">
        <f t="shared" ca="1" si="150"/>
        <v>#N/A</v>
      </c>
      <c r="AG354" s="306">
        <f t="shared" ca="1" si="172"/>
        <v>4.4189600636753674</v>
      </c>
      <c r="AH354" s="304">
        <f t="shared" ca="1" si="173"/>
        <v>-0.30967642765829745</v>
      </c>
    </row>
    <row r="355" spans="1:34" x14ac:dyDescent="0.2">
      <c r="A355" s="347">
        <f t="shared" ca="1" si="151"/>
        <v>0.1</v>
      </c>
      <c r="B355" s="304">
        <f t="shared" ca="1" si="152"/>
        <v>17.099999999999977</v>
      </c>
      <c r="D355" s="306">
        <f t="shared" ca="1" si="153"/>
        <v>-0.27585095206511012</v>
      </c>
      <c r="E355" s="307">
        <f t="shared" ca="1" si="154"/>
        <v>-9.6461867829625163</v>
      </c>
      <c r="F355" s="304">
        <f t="shared" ca="1" si="155"/>
        <v>9.650130216715004</v>
      </c>
      <c r="G355" s="306">
        <f t="shared" ca="1" si="156"/>
        <v>22.424398389752596</v>
      </c>
      <c r="H355" s="307">
        <f t="shared" ca="1" si="157"/>
        <v>-14.297658191154289</v>
      </c>
      <c r="I355" s="304">
        <f t="shared" ca="1" si="158"/>
        <v>26.594673769261021</v>
      </c>
      <c r="J355" s="306">
        <f t="shared" ca="1" si="159"/>
        <v>468.84487250379647</v>
      </c>
      <c r="K355" s="307">
        <f t="shared" ca="1" si="160"/>
        <v>1368.1660199029864</v>
      </c>
      <c r="L355" s="304">
        <f t="shared" ca="1" si="145"/>
        <v>1446.268914306838</v>
      </c>
      <c r="M355" s="306">
        <f t="shared" ca="1" si="161"/>
        <v>-0.56760434241404101</v>
      </c>
      <c r="N355" s="304">
        <f t="shared" ca="1" si="162"/>
        <v>-32.521333253622977</v>
      </c>
      <c r="P355" s="310">
        <f t="shared" ca="1" si="163"/>
        <v>23</v>
      </c>
      <c r="Q355" s="304">
        <f t="shared" ca="1" si="164"/>
        <v>0</v>
      </c>
      <c r="R355" s="306">
        <f t="shared" ca="1" si="165"/>
        <v>0</v>
      </c>
      <c r="S355" s="307">
        <f t="shared" ca="1" si="166"/>
        <v>7.4499999999999984</v>
      </c>
      <c r="T355" s="304">
        <f t="shared" ca="1" si="146"/>
        <v>73.084499999999991</v>
      </c>
      <c r="U355" s="311">
        <f t="shared" ca="1" si="147"/>
        <v>0</v>
      </c>
      <c r="V355" s="306">
        <f t="shared" ca="1" si="148"/>
        <v>1.0681308168590533</v>
      </c>
      <c r="W355" s="304">
        <f t="shared" ca="1" si="149"/>
        <v>2.4795768657539003</v>
      </c>
      <c r="Y355" s="314" t="str">
        <f t="shared" ca="1" si="167"/>
        <v/>
      </c>
      <c r="Z355" s="315" t="str">
        <f t="shared" ca="1" si="168"/>
        <v/>
      </c>
      <c r="AA355" s="316" t="str">
        <f t="shared" ca="1" si="169"/>
        <v/>
      </c>
      <c r="AC355" s="310" t="e">
        <f t="shared" ca="1" si="170"/>
        <v>#N/A</v>
      </c>
      <c r="AD355" s="323" t="e">
        <f t="shared" ca="1" si="171"/>
        <v>#N/A</v>
      </c>
      <c r="AE355" s="324" t="e">
        <f t="shared" ca="1" si="150"/>
        <v>#N/A</v>
      </c>
      <c r="AG355" s="306">
        <f t="shared" ca="1" si="172"/>
        <v>4.6881643598385985</v>
      </c>
      <c r="AH355" s="304">
        <f t="shared" ca="1" si="173"/>
        <v>-0.32082474628899443</v>
      </c>
    </row>
    <row r="356" spans="1:34" x14ac:dyDescent="0.2">
      <c r="A356" s="347">
        <f t="shared" ca="1" si="151"/>
        <v>0.1</v>
      </c>
      <c r="B356" s="304">
        <f t="shared" ca="1" si="152"/>
        <v>17.199999999999978</v>
      </c>
      <c r="D356" s="306">
        <f t="shared" ca="1" si="153"/>
        <v>-0.28063862004194345</v>
      </c>
      <c r="E356" s="307">
        <f t="shared" ca="1" si="154"/>
        <v>-9.6310665456946882</v>
      </c>
      <c r="F356" s="304">
        <f t="shared" ca="1" si="155"/>
        <v>9.6351544275459577</v>
      </c>
      <c r="G356" s="306">
        <f t="shared" ca="1" si="156"/>
        <v>22.396334527748401</v>
      </c>
      <c r="H356" s="307">
        <f t="shared" ca="1" si="157"/>
        <v>-15.260764845723758</v>
      </c>
      <c r="I356" s="304">
        <f t="shared" ca="1" si="158"/>
        <v>27.10141590314597</v>
      </c>
      <c r="J356" s="306">
        <f t="shared" ca="1" si="159"/>
        <v>471.08590914967152</v>
      </c>
      <c r="K356" s="307">
        <f t="shared" ca="1" si="160"/>
        <v>1366.6880987511424</v>
      </c>
      <c r="L356" s="304">
        <f t="shared" ca="1" si="145"/>
        <v>1445.5996309723466</v>
      </c>
      <c r="M356" s="306">
        <f t="shared" ca="1" si="161"/>
        <v>-0.59813039235689758</v>
      </c>
      <c r="N356" s="304">
        <f t="shared" ca="1" si="162"/>
        <v>-34.270347080554224</v>
      </c>
      <c r="P356" s="310">
        <f t="shared" ca="1" si="163"/>
        <v>23</v>
      </c>
      <c r="Q356" s="304">
        <f t="shared" ca="1" si="164"/>
        <v>0</v>
      </c>
      <c r="R356" s="306">
        <f t="shared" ca="1" si="165"/>
        <v>0</v>
      </c>
      <c r="S356" s="307">
        <f t="shared" ca="1" si="166"/>
        <v>7.4499999999999984</v>
      </c>
      <c r="T356" s="304">
        <f t="shared" ca="1" si="146"/>
        <v>73.084499999999991</v>
      </c>
      <c r="U356" s="311">
        <f t="shared" ca="1" si="147"/>
        <v>0</v>
      </c>
      <c r="V356" s="306">
        <f t="shared" ca="1" si="148"/>
        <v>1.0682894313585263</v>
      </c>
      <c r="W356" s="304">
        <f t="shared" ca="1" si="149"/>
        <v>2.5753525514969322</v>
      </c>
      <c r="Y356" s="314" t="str">
        <f t="shared" ca="1" si="167"/>
        <v/>
      </c>
      <c r="Z356" s="315" t="str">
        <f t="shared" ca="1" si="168"/>
        <v/>
      </c>
      <c r="AA356" s="316" t="str">
        <f t="shared" ca="1" si="169"/>
        <v/>
      </c>
      <c r="AC356" s="310" t="e">
        <f t="shared" ca="1" si="170"/>
        <v>#N/A</v>
      </c>
      <c r="AD356" s="323" t="e">
        <f t="shared" ca="1" si="171"/>
        <v>#N/A</v>
      </c>
      <c r="AE356" s="324" t="e">
        <f t="shared" ca="1" si="150"/>
        <v>#N/A</v>
      </c>
      <c r="AG356" s="306">
        <f t="shared" ca="1" si="172"/>
        <v>4.9411602641698495</v>
      </c>
      <c r="AH356" s="304">
        <f t="shared" ca="1" si="173"/>
        <v>-0.33282910949716793</v>
      </c>
    </row>
    <row r="357" spans="1:34" x14ac:dyDescent="0.2">
      <c r="A357" s="347">
        <f t="shared" ca="1" si="151"/>
        <v>0.1</v>
      </c>
      <c r="B357" s="304">
        <f t="shared" ca="1" si="152"/>
        <v>17.299999999999979</v>
      </c>
      <c r="D357" s="306">
        <f t="shared" ca="1" si="153"/>
        <v>-0.28567049149902618</v>
      </c>
      <c r="E357" s="307">
        <f t="shared" ca="1" si="154"/>
        <v>-9.6153453707468248</v>
      </c>
      <c r="F357" s="304">
        <f t="shared" ca="1" si="155"/>
        <v>9.6195880487916785</v>
      </c>
      <c r="G357" s="306">
        <f t="shared" ca="1" si="156"/>
        <v>22.367767478598498</v>
      </c>
      <c r="H357" s="307">
        <f t="shared" ca="1" si="157"/>
        <v>-16.22229938279844</v>
      </c>
      <c r="I357" s="304">
        <f t="shared" ca="1" si="158"/>
        <v>27.631142199369741</v>
      </c>
      <c r="J357" s="306">
        <f t="shared" ca="1" si="159"/>
        <v>473.3241142499889</v>
      </c>
      <c r="K357" s="307">
        <f t="shared" ca="1" si="160"/>
        <v>1365.1139455397163</v>
      </c>
      <c r="L357" s="304">
        <f t="shared" ca="1" si="145"/>
        <v>1444.8431753784034</v>
      </c>
      <c r="M357" s="306">
        <f t="shared" ca="1" si="161"/>
        <v>-0.62747426721599397</v>
      </c>
      <c r="N357" s="304">
        <f t="shared" ca="1" si="162"/>
        <v>-35.951627264540491</v>
      </c>
      <c r="P357" s="310">
        <f t="shared" ca="1" si="163"/>
        <v>23</v>
      </c>
      <c r="Q357" s="304">
        <f t="shared" ca="1" si="164"/>
        <v>0</v>
      </c>
      <c r="R357" s="306">
        <f t="shared" ca="1" si="165"/>
        <v>0</v>
      </c>
      <c r="S357" s="307">
        <f t="shared" ca="1" si="166"/>
        <v>7.4499999999999984</v>
      </c>
      <c r="T357" s="304">
        <f t="shared" ca="1" si="146"/>
        <v>73.084499999999991</v>
      </c>
      <c r="U357" s="311">
        <f t="shared" ca="1" si="147"/>
        <v>0</v>
      </c>
      <c r="V357" s="306">
        <f t="shared" ca="1" si="148"/>
        <v>1.0684583978771371</v>
      </c>
      <c r="W357" s="304">
        <f t="shared" ca="1" si="149"/>
        <v>2.6774359394720255</v>
      </c>
      <c r="Y357" s="314" t="str">
        <f t="shared" ca="1" si="167"/>
        <v/>
      </c>
      <c r="Z357" s="315" t="str">
        <f t="shared" ca="1" si="168"/>
        <v/>
      </c>
      <c r="AA357" s="316" t="str">
        <f t="shared" ca="1" si="169"/>
        <v/>
      </c>
      <c r="AC357" s="310" t="e">
        <f t="shared" ca="1" si="170"/>
        <v>#N/A</v>
      </c>
      <c r="AD357" s="323" t="e">
        <f t="shared" ca="1" si="171"/>
        <v>#N/A</v>
      </c>
      <c r="AE357" s="324" t="e">
        <f t="shared" ca="1" si="150"/>
        <v>#N/A</v>
      </c>
      <c r="AG357" s="306">
        <f t="shared" ca="1" si="172"/>
        <v>5.1783107282146297</v>
      </c>
      <c r="AH357" s="304">
        <f t="shared" ca="1" si="173"/>
        <v>-0.34568490624119902</v>
      </c>
    </row>
    <row r="358" spans="1:34" x14ac:dyDescent="0.2">
      <c r="A358" s="347">
        <f t="shared" ca="1" si="151"/>
        <v>0.1</v>
      </c>
      <c r="B358" s="304">
        <f t="shared" ca="1" si="152"/>
        <v>17.399999999999981</v>
      </c>
      <c r="D358" s="306">
        <f t="shared" ca="1" si="153"/>
        <v>-0.29092873424838445</v>
      </c>
      <c r="E358" s="307">
        <f t="shared" ca="1" si="154"/>
        <v>-9.5990029467379099</v>
      </c>
      <c r="F358" s="304">
        <f t="shared" ca="1" si="155"/>
        <v>9.6034107014067907</v>
      </c>
      <c r="G358" s="306">
        <f t="shared" ca="1" si="156"/>
        <v>22.338674605173662</v>
      </c>
      <c r="H358" s="307">
        <f t="shared" ca="1" si="157"/>
        <v>-17.18219967747223</v>
      </c>
      <c r="I358" s="304">
        <f t="shared" ca="1" si="158"/>
        <v>28.1823414370126</v>
      </c>
      <c r="J358" s="306">
        <f t="shared" ca="1" si="159"/>
        <v>475.55943635417748</v>
      </c>
      <c r="K358" s="307">
        <f t="shared" ca="1" si="160"/>
        <v>1363.4437205867027</v>
      </c>
      <c r="L358" s="304">
        <f t="shared" ca="1" si="145"/>
        <v>1443.9998465071988</v>
      </c>
      <c r="M358" s="306">
        <f t="shared" ca="1" si="161"/>
        <v>-0.65565635910161169</v>
      </c>
      <c r="N358" s="304">
        <f t="shared" ca="1" si="162"/>
        <v>-37.56634218743627</v>
      </c>
      <c r="P358" s="310">
        <f t="shared" ca="1" si="163"/>
        <v>23</v>
      </c>
      <c r="Q358" s="304">
        <f t="shared" ca="1" si="164"/>
        <v>0</v>
      </c>
      <c r="R358" s="306">
        <f t="shared" ca="1" si="165"/>
        <v>0</v>
      </c>
      <c r="S358" s="307">
        <f t="shared" ca="1" si="166"/>
        <v>7.4499999999999984</v>
      </c>
      <c r="T358" s="304">
        <f t="shared" ca="1" si="146"/>
        <v>73.084499999999991</v>
      </c>
      <c r="U358" s="311">
        <f t="shared" ca="1" si="147"/>
        <v>0</v>
      </c>
      <c r="V358" s="306">
        <f t="shared" ca="1" si="148"/>
        <v>1.068637703774395</v>
      </c>
      <c r="W358" s="304">
        <f t="shared" ca="1" si="149"/>
        <v>2.7857903736323038</v>
      </c>
      <c r="Y358" s="314" t="str">
        <f t="shared" ca="1" si="167"/>
        <v/>
      </c>
      <c r="Z358" s="315" t="str">
        <f t="shared" ca="1" si="168"/>
        <v/>
      </c>
      <c r="AA358" s="316" t="str">
        <f t="shared" ca="1" si="169"/>
        <v/>
      </c>
      <c r="AC358" s="310" t="e">
        <f t="shared" ca="1" si="170"/>
        <v>#N/A</v>
      </c>
      <c r="AD358" s="323" t="e">
        <f t="shared" ca="1" si="171"/>
        <v>#N/A</v>
      </c>
      <c r="AE358" s="324" t="e">
        <f t="shared" ca="1" si="150"/>
        <v>#N/A</v>
      </c>
      <c r="AG358" s="306">
        <f t="shared" ca="1" si="172"/>
        <v>5.4000834356112657</v>
      </c>
      <c r="AH358" s="304">
        <f t="shared" ca="1" si="173"/>
        <v>-0.35938737442577534</v>
      </c>
    </row>
    <row r="359" spans="1:34" x14ac:dyDescent="0.2">
      <c r="A359" s="347">
        <f t="shared" ca="1" si="151"/>
        <v>0.1</v>
      </c>
      <c r="B359" s="304">
        <f t="shared" ca="1" si="152"/>
        <v>17.499999999999982</v>
      </c>
      <c r="D359" s="306">
        <f t="shared" ca="1" si="153"/>
        <v>-0.29639610380239612</v>
      </c>
      <c r="E359" s="307">
        <f t="shared" ca="1" si="154"/>
        <v>-9.5820215219045242</v>
      </c>
      <c r="F359" s="304">
        <f t="shared" ca="1" si="155"/>
        <v>9.5866045655691217</v>
      </c>
      <c r="G359" s="306">
        <f t="shared" ca="1" si="156"/>
        <v>22.309034994793421</v>
      </c>
      <c r="H359" s="307">
        <f t="shared" ca="1" si="157"/>
        <v>-18.140401829662682</v>
      </c>
      <c r="I359" s="304">
        <f t="shared" ca="1" si="158"/>
        <v>28.753560143755184</v>
      </c>
      <c r="J359" s="306">
        <f t="shared" ca="1" si="159"/>
        <v>477.79182183417583</v>
      </c>
      <c r="K359" s="307">
        <f t="shared" ca="1" si="160"/>
        <v>1361.6775905113459</v>
      </c>
      <c r="L359" s="304">
        <f t="shared" ca="1" si="145"/>
        <v>1443.0699517044923</v>
      </c>
      <c r="M359" s="306">
        <f t="shared" ca="1" si="161"/>
        <v>-0.68270283355695383</v>
      </c>
      <c r="N359" s="304">
        <f t="shared" ca="1" si="162"/>
        <v>-39.115991024435765</v>
      </c>
      <c r="P359" s="310">
        <f t="shared" ca="1" si="163"/>
        <v>23</v>
      </c>
      <c r="Q359" s="304">
        <f t="shared" ca="1" si="164"/>
        <v>0</v>
      </c>
      <c r="R359" s="306">
        <f t="shared" ca="1" si="165"/>
        <v>0</v>
      </c>
      <c r="S359" s="307">
        <f t="shared" ca="1" si="166"/>
        <v>7.4499999999999984</v>
      </c>
      <c r="T359" s="304">
        <f t="shared" ca="1" si="146"/>
        <v>73.084499999999991</v>
      </c>
      <c r="U359" s="311">
        <f t="shared" ca="1" si="147"/>
        <v>0</v>
      </c>
      <c r="V359" s="306">
        <f t="shared" ca="1" si="148"/>
        <v>1.0688273360031113</v>
      </c>
      <c r="W359" s="304">
        <f t="shared" ca="1" si="149"/>
        <v>2.9003779740867741</v>
      </c>
      <c r="Y359" s="314" t="str">
        <f t="shared" ca="1" si="167"/>
        <v/>
      </c>
      <c r="Z359" s="315" t="str">
        <f t="shared" ca="1" si="168"/>
        <v/>
      </c>
      <c r="AA359" s="316" t="str">
        <f t="shared" ca="1" si="169"/>
        <v/>
      </c>
      <c r="AC359" s="310" t="e">
        <f t="shared" ca="1" si="170"/>
        <v>#N/A</v>
      </c>
      <c r="AD359" s="323" t="e">
        <f t="shared" ca="1" si="171"/>
        <v>#N/A</v>
      </c>
      <c r="AE359" s="324" t="e">
        <f t="shared" ca="1" si="150"/>
        <v>#N/A</v>
      </c>
      <c r="AG359" s="306">
        <f t="shared" ca="1" si="172"/>
        <v>5.607025638351903</v>
      </c>
      <c r="AH359" s="304">
        <f t="shared" ca="1" si="173"/>
        <v>-0.37393159377614821</v>
      </c>
    </row>
    <row r="360" spans="1:34" x14ac:dyDescent="0.2">
      <c r="A360" s="347">
        <f t="shared" ca="1" si="151"/>
        <v>0.1</v>
      </c>
      <c r="B360" s="304">
        <f t="shared" ca="1" si="152"/>
        <v>17.599999999999984</v>
      </c>
      <c r="D360" s="306">
        <f t="shared" ca="1" si="153"/>
        <v>-0.30205601292773976</v>
      </c>
      <c r="E360" s="307">
        <f t="shared" ca="1" si="154"/>
        <v>-9.5643857252967788</v>
      </c>
      <c r="F360" s="304">
        <f t="shared" ca="1" si="155"/>
        <v>9.5691542017676046</v>
      </c>
      <c r="G360" s="306">
        <f t="shared" ca="1" si="156"/>
        <v>22.278829393500647</v>
      </c>
      <c r="H360" s="307">
        <f t="shared" ca="1" si="157"/>
        <v>-19.09684040219236</v>
      </c>
      <c r="I360" s="304">
        <f t="shared" ca="1" si="158"/>
        <v>29.343407308823473</v>
      </c>
      <c r="J360" s="306">
        <f t="shared" ca="1" si="159"/>
        <v>480.02121505359054</v>
      </c>
      <c r="K360" s="307">
        <f t="shared" ca="1" si="160"/>
        <v>1359.8157283997532</v>
      </c>
      <c r="L360" s="304">
        <f t="shared" ca="1" si="145"/>
        <v>1442.0538069381728</v>
      </c>
      <c r="M360" s="306">
        <f t="shared" ca="1" si="161"/>
        <v>-0.70864440838866527</v>
      </c>
      <c r="N360" s="304">
        <f t="shared" ca="1" si="162"/>
        <v>-40.60233377621563</v>
      </c>
      <c r="P360" s="310">
        <f t="shared" ca="1" si="163"/>
        <v>23</v>
      </c>
      <c r="Q360" s="304">
        <f t="shared" ca="1" si="164"/>
        <v>0</v>
      </c>
      <c r="R360" s="306">
        <f t="shared" ca="1" si="165"/>
        <v>0</v>
      </c>
      <c r="S360" s="307">
        <f t="shared" ca="1" si="166"/>
        <v>7.4499999999999984</v>
      </c>
      <c r="T360" s="304">
        <f t="shared" ca="1" si="146"/>
        <v>73.084499999999991</v>
      </c>
      <c r="U360" s="311">
        <f t="shared" ca="1" si="147"/>
        <v>0</v>
      </c>
      <c r="V360" s="306">
        <f t="shared" ca="1" si="148"/>
        <v>1.0690272810897985</v>
      </c>
      <c r="W360" s="304">
        <f t="shared" ca="1" si="149"/>
        <v>3.0211595988619053</v>
      </c>
      <c r="Y360" s="314" t="str">
        <f t="shared" ca="1" si="167"/>
        <v/>
      </c>
      <c r="Z360" s="315" t="str">
        <f t="shared" ca="1" si="168"/>
        <v/>
      </c>
      <c r="AA360" s="316" t="str">
        <f t="shared" ca="1" si="169"/>
        <v/>
      </c>
      <c r="AC360" s="310" t="e">
        <f t="shared" ca="1" si="170"/>
        <v>#N/A</v>
      </c>
      <c r="AD360" s="323" t="e">
        <f t="shared" ca="1" si="171"/>
        <v>#N/A</v>
      </c>
      <c r="AE360" s="324" t="e">
        <f t="shared" ca="1" si="150"/>
        <v>#N/A</v>
      </c>
      <c r="AG360" s="306">
        <f t="shared" ca="1" si="172"/>
        <v>5.7997417124779567</v>
      </c>
      <c r="AH360" s="304">
        <f t="shared" ca="1" si="173"/>
        <v>-0.38931247974319122</v>
      </c>
    </row>
    <row r="361" spans="1:34" x14ac:dyDescent="0.2">
      <c r="A361" s="347">
        <f t="shared" ca="1" si="151"/>
        <v>0.1</v>
      </c>
      <c r="B361" s="304">
        <f t="shared" ca="1" si="152"/>
        <v>17.699999999999985</v>
      </c>
      <c r="D361" s="306">
        <f t="shared" ca="1" si="153"/>
        <v>-0.30789257897264971</v>
      </c>
      <c r="E361" s="307">
        <f t="shared" ca="1" si="154"/>
        <v>-9.5460823884501131</v>
      </c>
      <c r="F361" s="304">
        <f t="shared" ca="1" si="155"/>
        <v>9.5510463723753247</v>
      </c>
      <c r="G361" s="306">
        <f t="shared" ca="1" si="156"/>
        <v>22.248040135603382</v>
      </c>
      <c r="H361" s="307">
        <f t="shared" ca="1" si="157"/>
        <v>-20.051448641037371</v>
      </c>
      <c r="I361" s="304">
        <f t="shared" ca="1" si="158"/>
        <v>29.950557298313807</v>
      </c>
      <c r="J361" s="306">
        <f t="shared" ca="1" si="159"/>
        <v>482.24755853004575</v>
      </c>
      <c r="K361" s="307">
        <f t="shared" ca="1" si="160"/>
        <v>1357.8583139475918</v>
      </c>
      <c r="L361" s="304">
        <f t="shared" ca="1" si="145"/>
        <v>1440.9517370352094</v>
      </c>
      <c r="M361" s="306">
        <f t="shared" ca="1" si="161"/>
        <v>-0.73351526244541709</v>
      </c>
      <c r="N361" s="304">
        <f t="shared" ca="1" si="162"/>
        <v>-42.02732874655333</v>
      </c>
      <c r="P361" s="310">
        <f t="shared" ca="1" si="163"/>
        <v>23</v>
      </c>
      <c r="Q361" s="304">
        <f t="shared" ca="1" si="164"/>
        <v>0</v>
      </c>
      <c r="R361" s="306">
        <f t="shared" ca="1" si="165"/>
        <v>0</v>
      </c>
      <c r="S361" s="307">
        <f t="shared" ca="1" si="166"/>
        <v>7.4499999999999984</v>
      </c>
      <c r="T361" s="304">
        <f t="shared" ca="1" si="146"/>
        <v>73.084499999999991</v>
      </c>
      <c r="U361" s="311">
        <f t="shared" ca="1" si="147"/>
        <v>0</v>
      </c>
      <c r="V361" s="306">
        <f t="shared" ca="1" si="148"/>
        <v>1.0692375251174371</v>
      </c>
      <c r="W361" s="304">
        <f t="shared" ca="1" si="149"/>
        <v>3.1480948123190786</v>
      </c>
      <c r="Y361" s="314" t="str">
        <f t="shared" ca="1" si="167"/>
        <v/>
      </c>
      <c r="Z361" s="315" t="str">
        <f t="shared" ca="1" si="168"/>
        <v/>
      </c>
      <c r="AA361" s="316" t="str">
        <f t="shared" ca="1" si="169"/>
        <v/>
      </c>
      <c r="AC361" s="310" t="e">
        <f t="shared" ca="1" si="170"/>
        <v>#N/A</v>
      </c>
      <c r="AD361" s="323" t="e">
        <f t="shared" ca="1" si="171"/>
        <v>#N/A</v>
      </c>
      <c r="AE361" s="324" t="e">
        <f t="shared" ca="1" si="150"/>
        <v>#N/A</v>
      </c>
      <c r="AG361" s="306">
        <f t="shared" ca="1" si="172"/>
        <v>5.9788736786269547</v>
      </c>
      <c r="AH361" s="304">
        <f t="shared" ca="1" si="173"/>
        <v>-0.40552477837072565</v>
      </c>
    </row>
    <row r="362" spans="1:34" x14ac:dyDescent="0.2">
      <c r="A362" s="347">
        <f t="shared" ca="1" si="151"/>
        <v>0.1</v>
      </c>
      <c r="B362" s="304">
        <f t="shared" ca="1" si="152"/>
        <v>17.799999999999986</v>
      </c>
      <c r="D362" s="306">
        <f t="shared" ca="1" si="153"/>
        <v>-0.31389065221101059</v>
      </c>
      <c r="E362" s="307">
        <f t="shared" ca="1" si="154"/>
        <v>-9.5271003713878333</v>
      </c>
      <c r="F362" s="304">
        <f t="shared" ca="1" si="155"/>
        <v>9.5322698675626913</v>
      </c>
      <c r="G362" s="306">
        <f t="shared" ca="1" si="156"/>
        <v>22.21665107038228</v>
      </c>
      <c r="H362" s="307">
        <f t="shared" ca="1" si="157"/>
        <v>-21.004158678176154</v>
      </c>
      <c r="I362" s="304">
        <f t="shared" ca="1" si="158"/>
        <v>30.573751267404539</v>
      </c>
      <c r="J362" s="306">
        <f t="shared" ca="1" si="159"/>
        <v>484.47079309034501</v>
      </c>
      <c r="K362" s="307">
        <f t="shared" ca="1" si="160"/>
        <v>1355.8055335816312</v>
      </c>
      <c r="L362" s="304">
        <f t="shared" ca="1" si="145"/>
        <v>1439.7640758986033</v>
      </c>
      <c r="M362" s="306">
        <f t="shared" ca="1" si="161"/>
        <v>-0.7573520792537688</v>
      </c>
      <c r="N362" s="304">
        <f t="shared" ca="1" si="162"/>
        <v>-43.393077746698388</v>
      </c>
      <c r="P362" s="310">
        <f t="shared" ca="1" si="163"/>
        <v>23</v>
      </c>
      <c r="Q362" s="304">
        <f t="shared" ca="1" si="164"/>
        <v>0</v>
      </c>
      <c r="R362" s="306">
        <f t="shared" ca="1" si="165"/>
        <v>0</v>
      </c>
      <c r="S362" s="307">
        <f t="shared" ca="1" si="166"/>
        <v>7.4499999999999984</v>
      </c>
      <c r="T362" s="304">
        <f t="shared" ca="1" si="146"/>
        <v>73.084499999999991</v>
      </c>
      <c r="U362" s="311">
        <f t="shared" ca="1" si="147"/>
        <v>0</v>
      </c>
      <c r="V362" s="306">
        <f t="shared" ca="1" si="148"/>
        <v>1.0694580537104235</v>
      </c>
      <c r="W362" s="304">
        <f t="shared" ca="1" si="149"/>
        <v>3.281141859723967</v>
      </c>
      <c r="Y362" s="314" t="str">
        <f t="shared" ca="1" si="167"/>
        <v/>
      </c>
      <c r="Z362" s="315" t="str">
        <f t="shared" ca="1" si="168"/>
        <v/>
      </c>
      <c r="AA362" s="316" t="str">
        <f t="shared" ca="1" si="169"/>
        <v/>
      </c>
      <c r="AC362" s="310" t="e">
        <f t="shared" ca="1" si="170"/>
        <v>#N/A</v>
      </c>
      <c r="AD362" s="323" t="e">
        <f t="shared" ca="1" si="171"/>
        <v>#N/A</v>
      </c>
      <c r="AE362" s="324" t="e">
        <f t="shared" ca="1" si="150"/>
        <v>#N/A</v>
      </c>
      <c r="AG362" s="306">
        <f t="shared" ca="1" si="172"/>
        <v>6.1450847185628747</v>
      </c>
      <c r="AH362" s="304">
        <f t="shared" ca="1" si="173"/>
        <v>-0.42256306205625227</v>
      </c>
    </row>
    <row r="363" spans="1:34" x14ac:dyDescent="0.2">
      <c r="A363" s="347">
        <f t="shared" ca="1" si="151"/>
        <v>0.1</v>
      </c>
      <c r="B363" s="304">
        <f t="shared" ca="1" si="152"/>
        <v>17.899999999999988</v>
      </c>
      <c r="D363" s="306">
        <f t="shared" ca="1" si="153"/>
        <v>-0.32003582837552558</v>
      </c>
      <c r="E363" s="307">
        <f t="shared" ca="1" si="154"/>
        <v>-9.5074303957601192</v>
      </c>
      <c r="F363" s="304">
        <f t="shared" ca="1" si="155"/>
        <v>9.5128153383563294</v>
      </c>
      <c r="G363" s="306">
        <f t="shared" ca="1" si="156"/>
        <v>22.184647487544726</v>
      </c>
      <c r="H363" s="307">
        <f t="shared" ca="1" si="157"/>
        <v>-21.954901717752165</v>
      </c>
      <c r="I363" s="304">
        <f t="shared" ca="1" si="158"/>
        <v>31.211797346240434</v>
      </c>
      <c r="J363" s="306">
        <f t="shared" ca="1" si="159"/>
        <v>486.69085801824139</v>
      </c>
      <c r="K363" s="307">
        <f t="shared" ca="1" si="160"/>
        <v>1353.6575805618347</v>
      </c>
      <c r="L363" s="304">
        <f t="shared" ca="1" si="145"/>
        <v>1438.4911667059523</v>
      </c>
      <c r="M363" s="306">
        <f t="shared" ca="1" si="161"/>
        <v>-0.78019322362769916</v>
      </c>
      <c r="N363" s="304">
        <f t="shared" ca="1" si="162"/>
        <v>-44.701778918573581</v>
      </c>
      <c r="P363" s="310">
        <f t="shared" ca="1" si="163"/>
        <v>23</v>
      </c>
      <c r="Q363" s="304">
        <f t="shared" ca="1" si="164"/>
        <v>0</v>
      </c>
      <c r="R363" s="306">
        <f t="shared" ca="1" si="165"/>
        <v>0</v>
      </c>
      <c r="S363" s="307">
        <f t="shared" ca="1" si="166"/>
        <v>7.4499999999999984</v>
      </c>
      <c r="T363" s="304">
        <f t="shared" ca="1" si="146"/>
        <v>73.084499999999991</v>
      </c>
      <c r="U363" s="311">
        <f t="shared" ca="1" si="147"/>
        <v>0</v>
      </c>
      <c r="V363" s="306">
        <f t="shared" ca="1" si="148"/>
        <v>1.0696888520215171</v>
      </c>
      <c r="W363" s="304">
        <f t="shared" ca="1" si="149"/>
        <v>3.420257647481622</v>
      </c>
      <c r="Y363" s="314" t="str">
        <f t="shared" ca="1" si="167"/>
        <v/>
      </c>
      <c r="Z363" s="315" t="str">
        <f t="shared" ca="1" si="168"/>
        <v/>
      </c>
      <c r="AA363" s="316" t="str">
        <f t="shared" ca="1" si="169"/>
        <v/>
      </c>
      <c r="AC363" s="310" t="e">
        <f t="shared" ca="1" si="170"/>
        <v>#N/A</v>
      </c>
      <c r="AD363" s="323" t="e">
        <f t="shared" ca="1" si="171"/>
        <v>#N/A</v>
      </c>
      <c r="AE363" s="324" t="e">
        <f t="shared" ca="1" si="150"/>
        <v>#N/A</v>
      </c>
      <c r="AG363" s="306">
        <f t="shared" ca="1" si="172"/>
        <v>6.2990455649628183</v>
      </c>
      <c r="AH363" s="304">
        <f t="shared" ca="1" si="173"/>
        <v>-0.44042172613744535</v>
      </c>
    </row>
    <row r="364" spans="1:34" x14ac:dyDescent="0.2">
      <c r="A364" s="347">
        <f t="shared" ca="1" si="151"/>
        <v>0.1</v>
      </c>
      <c r="B364" s="304">
        <f t="shared" ca="1" si="152"/>
        <v>17.999999999999989</v>
      </c>
      <c r="D364" s="306">
        <f t="shared" ca="1" si="153"/>
        <v>-0.32631444834885182</v>
      </c>
      <c r="E364" s="307">
        <f t="shared" ca="1" si="154"/>
        <v>-9.4870648870303764</v>
      </c>
      <c r="F364" s="304">
        <f t="shared" ca="1" si="155"/>
        <v>9.4926751387544019</v>
      </c>
      <c r="G364" s="306">
        <f t="shared" ca="1" si="156"/>
        <v>22.152016042709842</v>
      </c>
      <c r="H364" s="307">
        <f t="shared" ca="1" si="157"/>
        <v>-22.903608206455203</v>
      </c>
      <c r="I364" s="304">
        <f t="shared" ca="1" si="158"/>
        <v>31.863569850713155</v>
      </c>
      <c r="J364" s="306">
        <f t="shared" ca="1" si="159"/>
        <v>488.90769119475414</v>
      </c>
      <c r="K364" s="307">
        <f t="shared" ca="1" si="160"/>
        <v>1351.4146550656244</v>
      </c>
      <c r="L364" s="304">
        <f t="shared" ca="1" si="145"/>
        <v>1437.1333620911894</v>
      </c>
      <c r="M364" s="306">
        <f t="shared" ca="1" si="161"/>
        <v>-0.8020780446045257</v>
      </c>
      <c r="N364" s="304">
        <f t="shared" ca="1" si="162"/>
        <v>-45.955686795945113</v>
      </c>
      <c r="P364" s="310">
        <f t="shared" ca="1" si="163"/>
        <v>23</v>
      </c>
      <c r="Q364" s="304">
        <f t="shared" ca="1" si="164"/>
        <v>0</v>
      </c>
      <c r="R364" s="306">
        <f t="shared" ca="1" si="165"/>
        <v>0</v>
      </c>
      <c r="S364" s="307">
        <f t="shared" ca="1" si="166"/>
        <v>7.4499999999999984</v>
      </c>
      <c r="T364" s="304">
        <f t="shared" ca="1" si="146"/>
        <v>73.084499999999991</v>
      </c>
      <c r="U364" s="311">
        <f t="shared" ca="1" si="147"/>
        <v>0</v>
      </c>
      <c r="V364" s="306">
        <f t="shared" ca="1" si="148"/>
        <v>1.0699299047206103</v>
      </c>
      <c r="W364" s="304">
        <f t="shared" ca="1" si="149"/>
        <v>3.5653977285746024</v>
      </c>
      <c r="Y364" s="314" t="str">
        <f t="shared" ca="1" si="167"/>
        <v/>
      </c>
      <c r="Z364" s="315" t="str">
        <f t="shared" ca="1" si="168"/>
        <v/>
      </c>
      <c r="AA364" s="316" t="str">
        <f t="shared" ca="1" si="169"/>
        <v/>
      </c>
      <c r="AC364" s="310">
        <f t="shared" ca="1" si="170"/>
        <v>17.999999999999989</v>
      </c>
      <c r="AD364" s="323">
        <f t="shared" ca="1" si="171"/>
        <v>488.90769119475414</v>
      </c>
      <c r="AE364" s="324" t="e">
        <f t="shared" ca="1" si="150"/>
        <v>#N/A</v>
      </c>
      <c r="AG364" s="306">
        <f t="shared" ca="1" si="172"/>
        <v>6.4414235408392626</v>
      </c>
      <c r="AH364" s="304">
        <f t="shared" ca="1" si="173"/>
        <v>-0.45909498623914397</v>
      </c>
    </row>
    <row r="365" spans="1:34" x14ac:dyDescent="0.2">
      <c r="A365" s="347">
        <f t="shared" ca="1" si="151"/>
        <v>0.1</v>
      </c>
      <c r="B365" s="304">
        <f t="shared" ca="1" si="152"/>
        <v>18.099999999999991</v>
      </c>
      <c r="D365" s="306">
        <f t="shared" ca="1" si="153"/>
        <v>-0.33271358769756265</v>
      </c>
      <c r="E365" s="307">
        <f t="shared" ca="1" si="154"/>
        <v>-9.4659978268841645</v>
      </c>
      <c r="F365" s="304">
        <f t="shared" ca="1" si="155"/>
        <v>9.4718431780733319</v>
      </c>
      <c r="G365" s="306">
        <f t="shared" ca="1" si="156"/>
        <v>22.118744683940086</v>
      </c>
      <c r="H365" s="307">
        <f t="shared" ca="1" si="157"/>
        <v>-23.85020798914362</v>
      </c>
      <c r="I365" s="304">
        <f t="shared" ca="1" si="158"/>
        <v>32.528007739773088</v>
      </c>
      <c r="J365" s="306">
        <f t="shared" ca="1" si="159"/>
        <v>491.12122923108666</v>
      </c>
      <c r="K365" s="307">
        <f t="shared" ca="1" si="160"/>
        <v>1349.0769642558444</v>
      </c>
      <c r="L365" s="304">
        <f t="shared" ca="1" si="145"/>
        <v>1435.6910243110174</v>
      </c>
      <c r="M365" s="306">
        <f t="shared" ca="1" si="161"/>
        <v>-0.82304629499623161</v>
      </c>
      <c r="N365" s="304">
        <f t="shared" ca="1" si="162"/>
        <v>-47.1570790471634</v>
      </c>
      <c r="P365" s="310">
        <f t="shared" ca="1" si="163"/>
        <v>23</v>
      </c>
      <c r="Q365" s="304">
        <f t="shared" ca="1" si="164"/>
        <v>0</v>
      </c>
      <c r="R365" s="306">
        <f t="shared" ca="1" si="165"/>
        <v>0</v>
      </c>
      <c r="S365" s="307">
        <f t="shared" ca="1" si="166"/>
        <v>7.4499999999999984</v>
      </c>
      <c r="T365" s="304">
        <f t="shared" ca="1" si="146"/>
        <v>73.084499999999991</v>
      </c>
      <c r="U365" s="311">
        <f t="shared" ca="1" si="147"/>
        <v>0</v>
      </c>
      <c r="V365" s="306">
        <f t="shared" ca="1" si="148"/>
        <v>1.0701811959851621</v>
      </c>
      <c r="W365" s="304">
        <f t="shared" ca="1" si="149"/>
        <v>3.7165162927690329</v>
      </c>
      <c r="Y365" s="314" t="str">
        <f t="shared" ca="1" si="167"/>
        <v/>
      </c>
      <c r="Z365" s="315" t="str">
        <f t="shared" ca="1" si="168"/>
        <v/>
      </c>
      <c r="AA365" s="316" t="str">
        <f t="shared" ca="1" si="169"/>
        <v/>
      </c>
      <c r="AC365" s="310" t="e">
        <f t="shared" ca="1" si="170"/>
        <v>#N/A</v>
      </c>
      <c r="AD365" s="323" t="e">
        <f t="shared" ca="1" si="171"/>
        <v>#N/A</v>
      </c>
      <c r="AE365" s="324" t="e">
        <f t="shared" ca="1" si="150"/>
        <v>#N/A</v>
      </c>
      <c r="AG365" s="306">
        <f t="shared" ca="1" si="172"/>
        <v>6.5728739673254113</v>
      </c>
      <c r="AH365" s="304">
        <f t="shared" ca="1" si="173"/>
        <v>-0.47857687631873869</v>
      </c>
    </row>
    <row r="366" spans="1:34" x14ac:dyDescent="0.2">
      <c r="A366" s="347">
        <f t="shared" ca="1" si="151"/>
        <v>0.1</v>
      </c>
      <c r="B366" s="304">
        <f t="shared" ca="1" si="152"/>
        <v>18.199999999999992</v>
      </c>
      <c r="D366" s="306">
        <f t="shared" ca="1" si="153"/>
        <v>-0.3392210384095829</v>
      </c>
      <c r="E366" s="307">
        <f t="shared" ca="1" si="154"/>
        <v>-9.4442246164523009</v>
      </c>
      <c r="F366" s="304">
        <f t="shared" ca="1" si="155"/>
        <v>9.4503147841171558</v>
      </c>
      <c r="G366" s="306">
        <f t="shared" ca="1" si="156"/>
        <v>22.084822580099129</v>
      </c>
      <c r="H366" s="307">
        <f t="shared" ca="1" si="157"/>
        <v>-24.794630450788851</v>
      </c>
      <c r="I366" s="304">
        <f t="shared" ca="1" si="158"/>
        <v>33.204112510134074</v>
      </c>
      <c r="J366" s="306">
        <f t="shared" ca="1" si="159"/>
        <v>493.33140759428863</v>
      </c>
      <c r="K366" s="307">
        <f t="shared" ca="1" si="160"/>
        <v>1346.6447223338478</v>
      </c>
      <c r="L366" s="304">
        <f t="shared" ca="1" si="145"/>
        <v>1434.1645253974762</v>
      </c>
      <c r="M366" s="306">
        <f t="shared" ca="1" si="161"/>
        <v>-0.84313765613340208</v>
      </c>
      <c r="N366" s="304">
        <f t="shared" ca="1" si="162"/>
        <v>-48.308229244996426</v>
      </c>
      <c r="P366" s="310">
        <f t="shared" ca="1" si="163"/>
        <v>23</v>
      </c>
      <c r="Q366" s="304">
        <f t="shared" ca="1" si="164"/>
        <v>0</v>
      </c>
      <c r="R366" s="306">
        <f t="shared" ca="1" si="165"/>
        <v>0</v>
      </c>
      <c r="S366" s="307">
        <f t="shared" ca="1" si="166"/>
        <v>7.4499999999999984</v>
      </c>
      <c r="T366" s="304">
        <f t="shared" ca="1" si="146"/>
        <v>73.084499999999991</v>
      </c>
      <c r="U366" s="311">
        <f t="shared" ca="1" si="147"/>
        <v>0</v>
      </c>
      <c r="V366" s="306">
        <f t="shared" ca="1" si="148"/>
        <v>1.0704427094921354</v>
      </c>
      <c r="W366" s="304">
        <f t="shared" ca="1" si="149"/>
        <v>3.8735661611829419</v>
      </c>
      <c r="Y366" s="314" t="str">
        <f t="shared" ca="1" si="167"/>
        <v/>
      </c>
      <c r="Z366" s="315" t="str">
        <f t="shared" ca="1" si="168"/>
        <v/>
      </c>
      <c r="AA366" s="316" t="str">
        <f t="shared" ca="1" si="169"/>
        <v/>
      </c>
      <c r="AC366" s="310" t="e">
        <f t="shared" ca="1" si="170"/>
        <v>#N/A</v>
      </c>
      <c r="AD366" s="323" t="e">
        <f t="shared" ca="1" si="171"/>
        <v>#N/A</v>
      </c>
      <c r="AE366" s="324" t="e">
        <f t="shared" ca="1" si="150"/>
        <v>#N/A</v>
      </c>
      <c r="AG366" s="306">
        <f t="shared" ca="1" si="172"/>
        <v>6.6940336340467761</v>
      </c>
      <c r="AH366" s="304">
        <f t="shared" ca="1" si="173"/>
        <v>-0.49886124735154813</v>
      </c>
    </row>
    <row r="367" spans="1:34" x14ac:dyDescent="0.2">
      <c r="A367" s="347">
        <f t="shared" ca="1" si="151"/>
        <v>0.1</v>
      </c>
      <c r="B367" s="304">
        <f t="shared" ca="1" si="152"/>
        <v>18.299999999999994</v>
      </c>
      <c r="D367" s="306">
        <f t="shared" ca="1" si="153"/>
        <v>-0.34582528486126712</v>
      </c>
      <c r="E367" s="307">
        <f t="shared" ca="1" si="154"/>
        <v>-9.4217419504922546</v>
      </c>
      <c r="F367" s="304">
        <f t="shared" ca="1" si="155"/>
        <v>9.4280865773132874</v>
      </c>
      <c r="G367" s="306">
        <f t="shared" ca="1" si="156"/>
        <v>22.050240051613002</v>
      </c>
      <c r="H367" s="307">
        <f t="shared" ca="1" si="157"/>
        <v>-25.736804645838077</v>
      </c>
      <c r="I367" s="304">
        <f t="shared" ca="1" si="158"/>
        <v>33.890945689251438</v>
      </c>
      <c r="J367" s="306">
        <f t="shared" ca="1" si="159"/>
        <v>495.53816072587426</v>
      </c>
      <c r="K367" s="307">
        <f t="shared" ca="1" si="160"/>
        <v>1344.1181505790164</v>
      </c>
      <c r="L367" s="304">
        <f t="shared" ca="1" si="145"/>
        <v>1432.5542472979994</v>
      </c>
      <c r="M367" s="306">
        <f t="shared" ca="1" si="161"/>
        <v>-0.86239135569069236</v>
      </c>
      <c r="N367" s="304">
        <f t="shared" ca="1" si="162"/>
        <v>-49.411384969642064</v>
      </c>
      <c r="P367" s="310">
        <f t="shared" ca="1" si="163"/>
        <v>23</v>
      </c>
      <c r="Q367" s="304">
        <f t="shared" ca="1" si="164"/>
        <v>0</v>
      </c>
      <c r="R367" s="306">
        <f t="shared" ca="1" si="165"/>
        <v>0</v>
      </c>
      <c r="S367" s="307">
        <f t="shared" ca="1" si="166"/>
        <v>7.4499999999999984</v>
      </c>
      <c r="T367" s="304">
        <f t="shared" ca="1" si="146"/>
        <v>73.084499999999991</v>
      </c>
      <c r="U367" s="311">
        <f t="shared" ca="1" si="147"/>
        <v>0</v>
      </c>
      <c r="V367" s="306">
        <f t="shared" ca="1" si="148"/>
        <v>1.0707144284113113</v>
      </c>
      <c r="W367" s="304">
        <f t="shared" ca="1" si="149"/>
        <v>4.0364987848415463</v>
      </c>
      <c r="Y367" s="314" t="str">
        <f t="shared" ca="1" si="167"/>
        <v/>
      </c>
      <c r="Z367" s="315" t="str">
        <f t="shared" ca="1" si="168"/>
        <v/>
      </c>
      <c r="AA367" s="316" t="str">
        <f t="shared" ca="1" si="169"/>
        <v/>
      </c>
      <c r="AC367" s="310" t="e">
        <f t="shared" ca="1" si="170"/>
        <v>#N/A</v>
      </c>
      <c r="AD367" s="323" t="e">
        <f t="shared" ca="1" si="171"/>
        <v>#N/A</v>
      </c>
      <c r="AE367" s="324" t="e">
        <f t="shared" ca="1" si="150"/>
        <v>#N/A</v>
      </c>
      <c r="AG367" s="306">
        <f t="shared" ca="1" si="172"/>
        <v>6.805516025652218</v>
      </c>
      <c r="AH367" s="304">
        <f t="shared" ca="1" si="173"/>
        <v>-0.5199417666017373</v>
      </c>
    </row>
    <row r="368" spans="1:34" x14ac:dyDescent="0.2">
      <c r="A368" s="347">
        <f t="shared" ca="1" si="151"/>
        <v>0.1</v>
      </c>
      <c r="B368" s="304">
        <f t="shared" ca="1" si="152"/>
        <v>18.399999999999995</v>
      </c>
      <c r="D368" s="306">
        <f t="shared" ca="1" si="153"/>
        <v>-0.35251547571627312</v>
      </c>
      <c r="E368" s="307">
        <f t="shared" ca="1" si="154"/>
        <v>-9.3985477023421016</v>
      </c>
      <c r="F368" s="304">
        <f t="shared" ca="1" si="155"/>
        <v>9.4051563556285149</v>
      </c>
      <c r="G368" s="306">
        <f t="shared" ca="1" si="156"/>
        <v>22.014988504041376</v>
      </c>
      <c r="H368" s="307">
        <f t="shared" ca="1" si="157"/>
        <v>-26.676659416072287</v>
      </c>
      <c r="I368" s="304">
        <f t="shared" ca="1" si="158"/>
        <v>34.587626059534529</v>
      </c>
      <c r="J368" s="306">
        <f t="shared" ca="1" si="159"/>
        <v>497.74142215365697</v>
      </c>
      <c r="K368" s="307">
        <f t="shared" ca="1" si="160"/>
        <v>1341.4974773759209</v>
      </c>
      <c r="L368" s="304">
        <f t="shared" ca="1" si="145"/>
        <v>1430.8605820042371</v>
      </c>
      <c r="M368" s="306">
        <f t="shared" ca="1" si="161"/>
        <v>-0.88084586653059604</v>
      </c>
      <c r="N368" s="304">
        <f t="shared" ca="1" si="162"/>
        <v>-50.468750553746972</v>
      </c>
      <c r="P368" s="310">
        <f t="shared" ca="1" si="163"/>
        <v>23</v>
      </c>
      <c r="Q368" s="304">
        <f t="shared" ca="1" si="164"/>
        <v>0</v>
      </c>
      <c r="R368" s="306">
        <f t="shared" ca="1" si="165"/>
        <v>0</v>
      </c>
      <c r="S368" s="307">
        <f t="shared" ca="1" si="166"/>
        <v>7.4499999999999984</v>
      </c>
      <c r="T368" s="304">
        <f t="shared" ca="1" si="146"/>
        <v>73.084499999999991</v>
      </c>
      <c r="U368" s="311">
        <f t="shared" ca="1" si="147"/>
        <v>0</v>
      </c>
      <c r="V368" s="306">
        <f t="shared" ca="1" si="148"/>
        <v>1.070996335399838</v>
      </c>
      <c r="W368" s="304">
        <f t="shared" ca="1" si="149"/>
        <v>4.2052642468741253</v>
      </c>
      <c r="Y368" s="314" t="str">
        <f t="shared" ca="1" si="167"/>
        <v/>
      </c>
      <c r="Z368" s="315" t="str">
        <f t="shared" ca="1" si="168"/>
        <v/>
      </c>
      <c r="AA368" s="316" t="str">
        <f t="shared" ca="1" si="169"/>
        <v/>
      </c>
      <c r="AC368" s="310" t="e">
        <f t="shared" ca="1" si="170"/>
        <v>#N/A</v>
      </c>
      <c r="AD368" s="323" t="e">
        <f t="shared" ca="1" si="171"/>
        <v>#N/A</v>
      </c>
      <c r="AE368" s="324" t="e">
        <f t="shared" ca="1" si="150"/>
        <v>#N/A</v>
      </c>
      <c r="AG368" s="306">
        <f t="shared" ca="1" si="172"/>
        <v>6.9079080133950557</v>
      </c>
      <c r="AH368" s="304">
        <f t="shared" ca="1" si="173"/>
        <v>-0.54181191742839563</v>
      </c>
    </row>
    <row r="369" spans="1:34" x14ac:dyDescent="0.2">
      <c r="A369" s="347">
        <f t="shared" ca="1" si="151"/>
        <v>0.1</v>
      </c>
      <c r="B369" s="304">
        <f t="shared" ca="1" si="152"/>
        <v>18.499999999999996</v>
      </c>
      <c r="D369" s="306">
        <f t="shared" ca="1" si="153"/>
        <v>-0.3592813931579753</v>
      </c>
      <c r="E369" s="307">
        <f t="shared" ca="1" si="154"/>
        <v>-9.3746408192287802</v>
      </c>
      <c r="F369" s="304">
        <f t="shared" ca="1" si="155"/>
        <v>9.3815229898465837</v>
      </c>
      <c r="G369" s="306">
        <f t="shared" ca="1" si="156"/>
        <v>21.97906036472558</v>
      </c>
      <c r="H369" s="307">
        <f t="shared" ca="1" si="157"/>
        <v>-27.614123497995166</v>
      </c>
      <c r="I369" s="304">
        <f t="shared" ca="1" si="158"/>
        <v>35.293326721616651</v>
      </c>
      <c r="J369" s="306">
        <f t="shared" ca="1" si="159"/>
        <v>499.94112459709532</v>
      </c>
      <c r="K369" s="307">
        <f t="shared" ca="1" si="160"/>
        <v>1338.7829382302175</v>
      </c>
      <c r="L369" s="304">
        <f t="shared" ca="1" si="145"/>
        <v>1429.0839316708248</v>
      </c>
      <c r="M369" s="306">
        <f t="shared" ca="1" si="161"/>
        <v>-0.89853867504844831</v>
      </c>
      <c r="N369" s="304">
        <f t="shared" ca="1" si="162"/>
        <v>-51.482473809553021</v>
      </c>
      <c r="P369" s="310">
        <f t="shared" ca="1" si="163"/>
        <v>23</v>
      </c>
      <c r="Q369" s="304">
        <f t="shared" ca="1" si="164"/>
        <v>0</v>
      </c>
      <c r="R369" s="306">
        <f t="shared" ca="1" si="165"/>
        <v>0</v>
      </c>
      <c r="S369" s="307">
        <f t="shared" ca="1" si="166"/>
        <v>7.4499999999999984</v>
      </c>
      <c r="T369" s="304">
        <f t="shared" ca="1" si="146"/>
        <v>73.084499999999991</v>
      </c>
      <c r="U369" s="311">
        <f t="shared" ca="1" si="147"/>
        <v>0</v>
      </c>
      <c r="V369" s="306">
        <f t="shared" ca="1" si="148"/>
        <v>1.0712884125979085</v>
      </c>
      <c r="W369" s="304">
        <f t="shared" ca="1" si="149"/>
        <v>4.3798112680361605</v>
      </c>
      <c r="Y369" s="314" t="str">
        <f t="shared" ca="1" si="167"/>
        <v/>
      </c>
      <c r="Z369" s="315" t="str">
        <f t="shared" ca="1" si="168"/>
        <v/>
      </c>
      <c r="AA369" s="316" t="str">
        <f t="shared" ca="1" si="169"/>
        <v/>
      </c>
      <c r="AC369" s="310" t="e">
        <f t="shared" ca="1" si="170"/>
        <v>#N/A</v>
      </c>
      <c r="AD369" s="323" t="e">
        <f t="shared" ca="1" si="171"/>
        <v>#N/A</v>
      </c>
      <c r="AE369" s="324" t="e">
        <f t="shared" ca="1" si="150"/>
        <v>#N/A</v>
      </c>
      <c r="AG369" s="306">
        <f t="shared" ca="1" si="172"/>
        <v>7.0017677456567666</v>
      </c>
      <c r="AH369" s="304">
        <f t="shared" ca="1" si="173"/>
        <v>-0.56446499958041962</v>
      </c>
    </row>
    <row r="370" spans="1:34" x14ac:dyDescent="0.2">
      <c r="A370" s="347">
        <f t="shared" ca="1" si="151"/>
        <v>0.1</v>
      </c>
      <c r="B370" s="304">
        <f t="shared" ca="1" si="152"/>
        <v>18.599999999999998</v>
      </c>
      <c r="D370" s="306">
        <f t="shared" ca="1" si="153"/>
        <v>-0.36611342058767338</v>
      </c>
      <c r="E370" s="307">
        <f t="shared" ca="1" si="154"/>
        <v>-9.3500212273584307</v>
      </c>
      <c r="F370" s="304">
        <f t="shared" ca="1" si="155"/>
        <v>9.3571863286346737</v>
      </c>
      <c r="G370" s="306">
        <f t="shared" ca="1" si="156"/>
        <v>21.942449022666814</v>
      </c>
      <c r="H370" s="307">
        <f t="shared" ca="1" si="157"/>
        <v>-28.549125620731008</v>
      </c>
      <c r="I370" s="304">
        <f t="shared" ca="1" si="158"/>
        <v>36.007272082464283</v>
      </c>
      <c r="J370" s="306">
        <f t="shared" ca="1" si="159"/>
        <v>502.13720006646497</v>
      </c>
      <c r="K370" s="307">
        <f t="shared" ca="1" si="160"/>
        <v>1335.9747757742812</v>
      </c>
      <c r="L370" s="304">
        <f t="shared" ca="1" si="145"/>
        <v>1427.2247087251992</v>
      </c>
      <c r="M370" s="306">
        <f t="shared" ca="1" si="161"/>
        <v>-0.91550610835835267</v>
      </c>
      <c r="N370" s="304">
        <f t="shared" ca="1" si="162"/>
        <v>-52.454636127380226</v>
      </c>
      <c r="P370" s="310">
        <f t="shared" ca="1" si="163"/>
        <v>23</v>
      </c>
      <c r="Q370" s="304">
        <f t="shared" ca="1" si="164"/>
        <v>0</v>
      </c>
      <c r="R370" s="306">
        <f t="shared" ca="1" si="165"/>
        <v>0</v>
      </c>
      <c r="S370" s="307">
        <f t="shared" ca="1" si="166"/>
        <v>7.4499999999999984</v>
      </c>
      <c r="T370" s="304">
        <f t="shared" ca="1" si="146"/>
        <v>73.084499999999991</v>
      </c>
      <c r="U370" s="311">
        <f t="shared" ca="1" si="147"/>
        <v>0</v>
      </c>
      <c r="V370" s="306">
        <f t="shared" ca="1" si="148"/>
        <v>1.0715906416254559</v>
      </c>
      <c r="W370" s="304">
        <f t="shared" ca="1" si="149"/>
        <v>4.5600872152678855</v>
      </c>
      <c r="Y370" s="314" t="str">
        <f t="shared" ca="1" si="167"/>
        <v/>
      </c>
      <c r="Z370" s="315" t="str">
        <f t="shared" ca="1" si="168"/>
        <v/>
      </c>
      <c r="AA370" s="316" t="str">
        <f t="shared" ca="1" si="169"/>
        <v/>
      </c>
      <c r="AC370" s="310" t="e">
        <f t="shared" ca="1" si="170"/>
        <v>#N/A</v>
      </c>
      <c r="AD370" s="323" t="e">
        <f t="shared" ca="1" si="171"/>
        <v>#N/A</v>
      </c>
      <c r="AE370" s="324" t="e">
        <f t="shared" ca="1" si="150"/>
        <v>#N/A</v>
      </c>
      <c r="AG370" s="306">
        <f t="shared" ca="1" si="172"/>
        <v>7.0876235012583484</v>
      </c>
      <c r="AH370" s="304">
        <f t="shared" ca="1" si="173"/>
        <v>-0.58789412993773982</v>
      </c>
    </row>
    <row r="371" spans="1:34" x14ac:dyDescent="0.2">
      <c r="A371" s="347">
        <f t="shared" ca="1" si="151"/>
        <v>0.1</v>
      </c>
      <c r="B371" s="304">
        <f t="shared" ca="1" si="152"/>
        <v>18.7</v>
      </c>
      <c r="D371" s="306">
        <f t="shared" ca="1" si="153"/>
        <v>-0.37300250968533616</v>
      </c>
      <c r="E371" s="307">
        <f t="shared" ca="1" si="154"/>
        <v>-9.3246897461238643</v>
      </c>
      <c r="F371" s="304">
        <f t="shared" ca="1" si="155"/>
        <v>9.3321471127334412</v>
      </c>
      <c r="G371" s="306">
        <f t="shared" ca="1" si="156"/>
        <v>21.905148771698279</v>
      </c>
      <c r="H371" s="307">
        <f t="shared" ca="1" si="157"/>
        <v>-29.481594595343395</v>
      </c>
      <c r="I371" s="304">
        <f t="shared" ca="1" si="158"/>
        <v>36.728734835199752</v>
      </c>
      <c r="J371" s="306">
        <f t="shared" ca="1" si="159"/>
        <v>504.32957995618324</v>
      </c>
      <c r="K371" s="307">
        <f t="shared" ca="1" si="160"/>
        <v>1333.0732397634774</v>
      </c>
      <c r="L371" s="304">
        <f t="shared" ca="1" si="145"/>
        <v>1425.2833359694746</v>
      </c>
      <c r="M371" s="306">
        <f t="shared" ca="1" si="161"/>
        <v>-0.93178321068501879</v>
      </c>
      <c r="N371" s="304">
        <f t="shared" ca="1" si="162"/>
        <v>-53.387245393400768</v>
      </c>
      <c r="P371" s="310">
        <f t="shared" ca="1" si="163"/>
        <v>23</v>
      </c>
      <c r="Q371" s="304">
        <f t="shared" ca="1" si="164"/>
        <v>0</v>
      </c>
      <c r="R371" s="306">
        <f t="shared" ca="1" si="165"/>
        <v>0</v>
      </c>
      <c r="S371" s="307">
        <f t="shared" ca="1" si="166"/>
        <v>7.4499999999999984</v>
      </c>
      <c r="T371" s="304">
        <f t="shared" ca="1" si="146"/>
        <v>73.084499999999991</v>
      </c>
      <c r="U371" s="311">
        <f t="shared" ca="1" si="147"/>
        <v>0</v>
      </c>
      <c r="V371" s="306">
        <f t="shared" ca="1" si="148"/>
        <v>1.0719030035797725</v>
      </c>
      <c r="W371" s="304">
        <f t="shared" ca="1" si="149"/>
        <v>4.7460381130262581</v>
      </c>
      <c r="Y371" s="314" t="str">
        <f t="shared" ca="1" si="167"/>
        <v/>
      </c>
      <c r="Z371" s="315" t="str">
        <f t="shared" ca="1" si="168"/>
        <v/>
      </c>
      <c r="AA371" s="316" t="str">
        <f t="shared" ca="1" si="169"/>
        <v/>
      </c>
      <c r="AC371" s="310" t="e">
        <f t="shared" ca="1" si="170"/>
        <v>#N/A</v>
      </c>
      <c r="AD371" s="323" t="e">
        <f t="shared" ca="1" si="171"/>
        <v>#N/A</v>
      </c>
      <c r="AE371" s="324" t="e">
        <f t="shared" ca="1" si="150"/>
        <v>#N/A</v>
      </c>
      <c r="AG371" s="306">
        <f t="shared" ca="1" si="172"/>
        <v>7.1659733009320572</v>
      </c>
      <c r="AH371" s="304">
        <f t="shared" ca="1" si="173"/>
        <v>-0.61209224366011894</v>
      </c>
    </row>
    <row r="372" spans="1:34" x14ac:dyDescent="0.2">
      <c r="A372" s="347">
        <f t="shared" ca="1" si="151"/>
        <v>0.1</v>
      </c>
      <c r="B372" s="304">
        <f t="shared" ca="1" si="152"/>
        <v>18.8</v>
      </c>
      <c r="D372" s="306">
        <f t="shared" ca="1" si="153"/>
        <v>-0.37994014752822342</v>
      </c>
      <c r="E372" s="307">
        <f t="shared" ca="1" si="154"/>
        <v>-9.2986480107181855</v>
      </c>
      <c r="F372" s="304">
        <f t="shared" ca="1" si="155"/>
        <v>9.306406897559178</v>
      </c>
      <c r="G372" s="306">
        <f t="shared" ca="1" si="156"/>
        <v>21.867154756945457</v>
      </c>
      <c r="H372" s="307">
        <f t="shared" ca="1" si="157"/>
        <v>-30.411459396415214</v>
      </c>
      <c r="I372" s="304">
        <f t="shared" ca="1" si="158"/>
        <v>37.457032981591233</v>
      </c>
      <c r="J372" s="306">
        <f t="shared" ca="1" si="159"/>
        <v>506.5181951326154</v>
      </c>
      <c r="K372" s="307">
        <f t="shared" ca="1" si="160"/>
        <v>1330.0785870638895</v>
      </c>
      <c r="L372" s="304">
        <f t="shared" ca="1" si="145"/>
        <v>1423.2602466753137</v>
      </c>
      <c r="M372" s="306">
        <f t="shared" ca="1" si="161"/>
        <v>-0.94740366041739044</v>
      </c>
      <c r="N372" s="304">
        <f t="shared" ca="1" si="162"/>
        <v>-54.282231237161923</v>
      </c>
      <c r="P372" s="310">
        <f t="shared" ca="1" si="163"/>
        <v>23</v>
      </c>
      <c r="Q372" s="304">
        <f t="shared" ca="1" si="164"/>
        <v>0</v>
      </c>
      <c r="R372" s="306">
        <f t="shared" ca="1" si="165"/>
        <v>0</v>
      </c>
      <c r="S372" s="307">
        <f t="shared" ca="1" si="166"/>
        <v>7.4499999999999984</v>
      </c>
      <c r="T372" s="304">
        <f t="shared" ca="1" si="146"/>
        <v>73.084499999999991</v>
      </c>
      <c r="U372" s="311">
        <f t="shared" ca="1" si="147"/>
        <v>0</v>
      </c>
      <c r="V372" s="306">
        <f t="shared" ca="1" si="148"/>
        <v>1.0722254790339669</v>
      </c>
      <c r="W372" s="304">
        <f t="shared" ca="1" si="149"/>
        <v>4.9376086571510207</v>
      </c>
      <c r="Y372" s="314" t="str">
        <f t="shared" ca="1" si="167"/>
        <v/>
      </c>
      <c r="Z372" s="315" t="str">
        <f t="shared" ca="1" si="168"/>
        <v/>
      </c>
      <c r="AA372" s="316" t="str">
        <f t="shared" ca="1" si="169"/>
        <v/>
      </c>
      <c r="AC372" s="310" t="e">
        <f t="shared" ca="1" si="170"/>
        <v>#N/A</v>
      </c>
      <c r="AD372" s="323" t="e">
        <f t="shared" ca="1" si="171"/>
        <v>#N/A</v>
      </c>
      <c r="AE372" s="324" t="e">
        <f t="shared" ca="1" si="150"/>
        <v>#N/A</v>
      </c>
      <c r="AG372" s="306">
        <f t="shared" ca="1" si="172"/>
        <v>7.2372851031637628</v>
      </c>
      <c r="AH372" s="304">
        <f t="shared" ca="1" si="173"/>
        <v>-0.63705209570822274</v>
      </c>
    </row>
    <row r="373" spans="1:34" x14ac:dyDescent="0.2">
      <c r="A373" s="347">
        <f t="shared" ca="1" si="151"/>
        <v>0.1</v>
      </c>
      <c r="B373" s="304">
        <f t="shared" ca="1" si="152"/>
        <v>18.900000000000002</v>
      </c>
      <c r="D373" s="306">
        <f t="shared" ca="1" si="153"/>
        <v>-0.38691832429364303</v>
      </c>
      <c r="E373" s="307">
        <f t="shared" ca="1" si="154"/>
        <v>-9.2718984024317219</v>
      </c>
      <c r="F373" s="304">
        <f t="shared" ca="1" si="155"/>
        <v>9.2799679834948847</v>
      </c>
      <c r="G373" s="306">
        <f t="shared" ca="1" si="156"/>
        <v>21.828462924516092</v>
      </c>
      <c r="H373" s="307">
        <f t="shared" ca="1" si="157"/>
        <v>-31.338649236658387</v>
      </c>
      <c r="I373" s="304">
        <f t="shared" ca="1" si="158"/>
        <v>38.191526934979741</v>
      </c>
      <c r="J373" s="306">
        <f t="shared" ca="1" si="159"/>
        <v>508.70297601668847</v>
      </c>
      <c r="K373" s="307">
        <f t="shared" ca="1" si="160"/>
        <v>1326.9910816322358</v>
      </c>
      <c r="L373" s="304">
        <f t="shared" ca="1" si="145"/>
        <v>1421.1558846726584</v>
      </c>
      <c r="M373" s="306">
        <f t="shared" ca="1" si="161"/>
        <v>-0.96239972036525057</v>
      </c>
      <c r="N373" s="304">
        <f t="shared" ca="1" si="162"/>
        <v>-55.141442181499478</v>
      </c>
      <c r="P373" s="310">
        <f t="shared" ca="1" si="163"/>
        <v>23</v>
      </c>
      <c r="Q373" s="304">
        <f t="shared" ca="1" si="164"/>
        <v>0</v>
      </c>
      <c r="R373" s="306">
        <f t="shared" ca="1" si="165"/>
        <v>0</v>
      </c>
      <c r="S373" s="307">
        <f t="shared" ca="1" si="166"/>
        <v>7.4499999999999984</v>
      </c>
      <c r="T373" s="304">
        <f t="shared" ca="1" si="146"/>
        <v>73.084499999999991</v>
      </c>
      <c r="U373" s="311">
        <f t="shared" ca="1" si="147"/>
        <v>0</v>
      </c>
      <c r="V373" s="306">
        <f t="shared" ca="1" si="148"/>
        <v>1.0725580480361809</v>
      </c>
      <c r="W373" s="304">
        <f t="shared" ca="1" si="149"/>
        <v>5.1347422310474675</v>
      </c>
      <c r="Y373" s="314" t="str">
        <f t="shared" ca="1" si="167"/>
        <v/>
      </c>
      <c r="Z373" s="315" t="str">
        <f t="shared" ca="1" si="168"/>
        <v/>
      </c>
      <c r="AA373" s="316" t="str">
        <f t="shared" ca="1" si="169"/>
        <v/>
      </c>
      <c r="AC373" s="310" t="e">
        <f t="shared" ca="1" si="170"/>
        <v>#N/A</v>
      </c>
      <c r="AD373" s="323" t="e">
        <f t="shared" ca="1" si="171"/>
        <v>#N/A</v>
      </c>
      <c r="AE373" s="324" t="e">
        <f t="shared" ca="1" si="150"/>
        <v>#N/A</v>
      </c>
      <c r="AG373" s="306">
        <f t="shared" ca="1" si="172"/>
        <v>7.3019974393602674</v>
      </c>
      <c r="AH373" s="304">
        <f t="shared" ca="1" si="173"/>
        <v>-0.66276626270483519</v>
      </c>
    </row>
    <row r="374" spans="1:34" x14ac:dyDescent="0.2">
      <c r="A374" s="347">
        <f t="shared" ca="1" si="151"/>
        <v>0.1</v>
      </c>
      <c r="B374" s="304">
        <f t="shared" ca="1" si="152"/>
        <v>19.000000000000004</v>
      </c>
      <c r="D374" s="306">
        <f t="shared" ca="1" si="153"/>
        <v>-0.39392950193252435</v>
      </c>
      <c r="E374" s="307">
        <f t="shared" ca="1" si="154"/>
        <v>-9.2444439859221745</v>
      </c>
      <c r="F374" s="304">
        <f t="shared" ca="1" si="155"/>
        <v>9.2528333531597475</v>
      </c>
      <c r="G374" s="306">
        <f t="shared" ca="1" si="156"/>
        <v>21.789069974322839</v>
      </c>
      <c r="H374" s="307">
        <f t="shared" ca="1" si="157"/>
        <v>-32.263093635250605</v>
      </c>
      <c r="I374" s="304">
        <f t="shared" ca="1" si="158"/>
        <v>38.931616730658455</v>
      </c>
      <c r="J374" s="306">
        <f t="shared" ca="1" si="159"/>
        <v>510.88385266163039</v>
      </c>
      <c r="K374" s="307">
        <f t="shared" ca="1" si="160"/>
        <v>1323.8109944886403</v>
      </c>
      <c r="L374" s="304">
        <f t="shared" ca="1" si="145"/>
        <v>1418.9707044331089</v>
      </c>
      <c r="M374" s="306">
        <f t="shared" ca="1" si="161"/>
        <v>-0.97680221479331331</v>
      </c>
      <c r="N374" s="304">
        <f t="shared" ca="1" si="162"/>
        <v>-55.966644326688161</v>
      </c>
      <c r="P374" s="310">
        <f t="shared" ca="1" si="163"/>
        <v>23</v>
      </c>
      <c r="Q374" s="304">
        <f t="shared" ca="1" si="164"/>
        <v>0</v>
      </c>
      <c r="R374" s="306">
        <f t="shared" ca="1" si="165"/>
        <v>0</v>
      </c>
      <c r="S374" s="307">
        <f t="shared" ca="1" si="166"/>
        <v>7.4499999999999984</v>
      </c>
      <c r="T374" s="304">
        <f t="shared" ca="1" si="146"/>
        <v>73.084499999999991</v>
      </c>
      <c r="U374" s="311">
        <f t="shared" ca="1" si="147"/>
        <v>0</v>
      </c>
      <c r="V374" s="306">
        <f t="shared" ca="1" si="148"/>
        <v>1.0729006901095004</v>
      </c>
      <c r="W374" s="304">
        <f t="shared" ca="1" si="149"/>
        <v>5.3373809239882695</v>
      </c>
      <c r="Y374" s="314" t="str">
        <f t="shared" ca="1" si="167"/>
        <v/>
      </c>
      <c r="Z374" s="315" t="str">
        <f t="shared" ca="1" si="168"/>
        <v/>
      </c>
      <c r="AA374" s="316" t="str">
        <f t="shared" ca="1" si="169"/>
        <v/>
      </c>
      <c r="AC374" s="310">
        <f t="shared" ca="1" si="170"/>
        <v>19.000000000000004</v>
      </c>
      <c r="AD374" s="323">
        <f t="shared" ca="1" si="171"/>
        <v>510.88385266163039</v>
      </c>
      <c r="AE374" s="324" t="e">
        <f t="shared" ca="1" si="150"/>
        <v>#N/A</v>
      </c>
      <c r="AG374" s="306">
        <f t="shared" ca="1" si="172"/>
        <v>7.3605203691784018</v>
      </c>
      <c r="AH374" s="304">
        <f t="shared" ca="1" si="173"/>
        <v>-0.68922714510704275</v>
      </c>
    </row>
    <row r="375" spans="1:34" x14ac:dyDescent="0.2">
      <c r="A375" s="347">
        <f t="shared" ca="1" si="151"/>
        <v>0.1</v>
      </c>
      <c r="B375" s="304">
        <f t="shared" ca="1" si="152"/>
        <v>19.100000000000005</v>
      </c>
      <c r="D375" s="306">
        <f t="shared" ca="1" si="153"/>
        <v>-0.40096658408698971</v>
      </c>
      <c r="E375" s="307">
        <f t="shared" ca="1" si="154"/>
        <v>-9.2162884527770146</v>
      </c>
      <c r="F375" s="304">
        <f t="shared" ca="1" si="155"/>
        <v>9.2250066149756957</v>
      </c>
      <c r="G375" s="306">
        <f t="shared" ca="1" si="156"/>
        <v>21.748973315914139</v>
      </c>
      <c r="H375" s="307">
        <f t="shared" ca="1" si="157"/>
        <v>-33.184722480528308</v>
      </c>
      <c r="I375" s="304">
        <f t="shared" ca="1" si="158"/>
        <v>39.676739362074926</v>
      </c>
      <c r="J375" s="306">
        <f t="shared" ca="1" si="159"/>
        <v>513.06075482614222</v>
      </c>
      <c r="K375" s="307">
        <f t="shared" ca="1" si="160"/>
        <v>1320.5386036828513</v>
      </c>
      <c r="L375" s="304">
        <f t="shared" ca="1" si="145"/>
        <v>1416.7051711486852</v>
      </c>
      <c r="M375" s="306">
        <f t="shared" ca="1" si="161"/>
        <v>-0.99064052776091061</v>
      </c>
      <c r="N375" s="304">
        <f t="shared" ca="1" si="162"/>
        <v>-56.759521255312642</v>
      </c>
      <c r="P375" s="310">
        <f t="shared" ca="1" si="163"/>
        <v>23</v>
      </c>
      <c r="Q375" s="304">
        <f t="shared" ca="1" si="164"/>
        <v>0</v>
      </c>
      <c r="R375" s="306">
        <f t="shared" ca="1" si="165"/>
        <v>0</v>
      </c>
      <c r="S375" s="307">
        <f t="shared" ca="1" si="166"/>
        <v>7.4499999999999984</v>
      </c>
      <c r="T375" s="304">
        <f t="shared" ca="1" si="146"/>
        <v>73.084499999999991</v>
      </c>
      <c r="U375" s="311">
        <f t="shared" ca="1" si="147"/>
        <v>0</v>
      </c>
      <c r="V375" s="306">
        <f t="shared" ca="1" si="148"/>
        <v>1.0732533842524916</v>
      </c>
      <c r="W375" s="304">
        <f t="shared" ca="1" si="149"/>
        <v>5.5454655513546545</v>
      </c>
      <c r="Y375" s="314" t="str">
        <f t="shared" ca="1" si="167"/>
        <v/>
      </c>
      <c r="Z375" s="315" t="str">
        <f t="shared" ca="1" si="168"/>
        <v/>
      </c>
      <c r="AA375" s="316" t="str">
        <f t="shared" ca="1" si="169"/>
        <v/>
      </c>
      <c r="AC375" s="310" t="e">
        <f t="shared" ca="1" si="170"/>
        <v>#N/A</v>
      </c>
      <c r="AD375" s="323" t="e">
        <f t="shared" ca="1" si="171"/>
        <v>#N/A</v>
      </c>
      <c r="AE375" s="324" t="e">
        <f t="shared" ca="1" si="150"/>
        <v>#N/A</v>
      </c>
      <c r="AG375" s="306">
        <f t="shared" ca="1" si="172"/>
        <v>7.4132366595530748</v>
      </c>
      <c r="AH375" s="304">
        <f t="shared" ca="1" si="173"/>
        <v>-0.71642696966285513</v>
      </c>
    </row>
    <row r="376" spans="1:34" x14ac:dyDescent="0.2">
      <c r="A376" s="347">
        <f t="shared" ca="1" si="151"/>
        <v>0.1</v>
      </c>
      <c r="B376" s="304">
        <f t="shared" ca="1" si="152"/>
        <v>19.200000000000006</v>
      </c>
      <c r="D376" s="306">
        <f t="shared" ca="1" si="153"/>
        <v>-0.40802288743419307</v>
      </c>
      <c r="E376" s="307">
        <f t="shared" ca="1" si="154"/>
        <v>-9.1874360707270739</v>
      </c>
      <c r="F376" s="304">
        <f t="shared" ca="1" si="155"/>
        <v>9.1964919523896214</v>
      </c>
      <c r="G376" s="306">
        <f t="shared" ca="1" si="156"/>
        <v>21.708171027170721</v>
      </c>
      <c r="H376" s="307">
        <f t="shared" ca="1" si="157"/>
        <v>-34.103466087601014</v>
      </c>
      <c r="I376" s="304">
        <f t="shared" ca="1" si="158"/>
        <v>40.426366254377193</v>
      </c>
      <c r="J376" s="306">
        <f t="shared" ca="1" si="159"/>
        <v>515.23361204329649</v>
      </c>
      <c r="K376" s="307">
        <f t="shared" ca="1" si="160"/>
        <v>1317.174194254445</v>
      </c>
      <c r="L376" s="304">
        <f t="shared" ca="1" si="145"/>
        <v>1414.3597608066443</v>
      </c>
      <c r="M376" s="306">
        <f t="shared" ca="1" si="161"/>
        <v>-1.0039426181550306</v>
      </c>
      <c r="N376" s="304">
        <f t="shared" ca="1" si="162"/>
        <v>-57.521674893597229</v>
      </c>
      <c r="P376" s="310">
        <f t="shared" ca="1" si="163"/>
        <v>23</v>
      </c>
      <c r="Q376" s="304">
        <f t="shared" ca="1" si="164"/>
        <v>0</v>
      </c>
      <c r="R376" s="306">
        <f t="shared" ca="1" si="165"/>
        <v>0</v>
      </c>
      <c r="S376" s="307">
        <f t="shared" ca="1" si="166"/>
        <v>7.4499999999999984</v>
      </c>
      <c r="T376" s="304">
        <f t="shared" ca="1" si="146"/>
        <v>73.084499999999991</v>
      </c>
      <c r="U376" s="311">
        <f t="shared" ca="1" si="147"/>
        <v>0</v>
      </c>
      <c r="V376" s="306">
        <f t="shared" ca="1" si="148"/>
        <v>1.0736161089403127</v>
      </c>
      <c r="W376" s="304">
        <f t="shared" ca="1" si="149"/>
        <v>5.7589356766533957</v>
      </c>
      <c r="Y376" s="314" t="str">
        <f t="shared" ca="1" si="167"/>
        <v/>
      </c>
      <c r="Z376" s="315" t="str">
        <f t="shared" ca="1" si="168"/>
        <v/>
      </c>
      <c r="AA376" s="316" t="str">
        <f t="shared" ca="1" si="169"/>
        <v/>
      </c>
      <c r="AC376" s="310" t="e">
        <f t="shared" ca="1" si="170"/>
        <v>#N/A</v>
      </c>
      <c r="AD376" s="323" t="e">
        <f t="shared" ca="1" si="171"/>
        <v>#N/A</v>
      </c>
      <c r="AE376" s="324" t="e">
        <f t="shared" ca="1" si="150"/>
        <v>#N/A</v>
      </c>
      <c r="AG376" s="306">
        <f t="shared" ca="1" si="172"/>
        <v>7.4605031104578359</v>
      </c>
      <c r="AH376" s="304">
        <f t="shared" ca="1" si="173"/>
        <v>-0.74435779212814168</v>
      </c>
    </row>
    <row r="377" spans="1:34" x14ac:dyDescent="0.2">
      <c r="A377" s="347">
        <f t="shared" ca="1" si="151"/>
        <v>0.1</v>
      </c>
      <c r="B377" s="304">
        <f t="shared" ca="1" si="152"/>
        <v>19.300000000000008</v>
      </c>
      <c r="D377" s="306">
        <f t="shared" ca="1" si="153"/>
        <v>-0.41509211456695277</v>
      </c>
      <c r="E377" s="307">
        <f t="shared" ca="1" si="154"/>
        <v>-9.157891637916137</v>
      </c>
      <c r="F377" s="304">
        <f t="shared" ca="1" si="155"/>
        <v>9.167294078155777</v>
      </c>
      <c r="G377" s="306">
        <f t="shared" ca="1" si="156"/>
        <v>21.666661815714026</v>
      </c>
      <c r="H377" s="307">
        <f t="shared" ca="1" si="157"/>
        <v>-35.019255251392629</v>
      </c>
      <c r="I377" s="304">
        <f t="shared" ca="1" si="158"/>
        <v>41.180000881480204</v>
      </c>
      <c r="J377" s="306">
        <f t="shared" ca="1" si="159"/>
        <v>517.40235368544074</v>
      </c>
      <c r="K377" s="307">
        <f t="shared" ca="1" si="160"/>
        <v>1313.7180581874952</v>
      </c>
      <c r="L377" s="304">
        <f t="shared" ca="1" si="145"/>
        <v>1411.9349602609736</v>
      </c>
      <c r="M377" s="306">
        <f t="shared" ca="1" si="161"/>
        <v>-1.0167350475653578</v>
      </c>
      <c r="N377" s="304">
        <f t="shared" ca="1" si="162"/>
        <v>-58.254627108528013</v>
      </c>
      <c r="P377" s="310">
        <f t="shared" ca="1" si="163"/>
        <v>23</v>
      </c>
      <c r="Q377" s="304">
        <f t="shared" ca="1" si="164"/>
        <v>0</v>
      </c>
      <c r="R377" s="306">
        <f t="shared" ca="1" si="165"/>
        <v>0</v>
      </c>
      <c r="S377" s="307">
        <f t="shared" ca="1" si="166"/>
        <v>7.4499999999999984</v>
      </c>
      <c r="T377" s="304">
        <f t="shared" ca="1" si="146"/>
        <v>73.084499999999991</v>
      </c>
      <c r="U377" s="311">
        <f t="shared" ca="1" si="147"/>
        <v>0</v>
      </c>
      <c r="V377" s="306">
        <f t="shared" ca="1" si="148"/>
        <v>1.0739888421263526</v>
      </c>
      <c r="W377" s="304">
        <f t="shared" ca="1" si="149"/>
        <v>5.9777296351604265</v>
      </c>
      <c r="Y377" s="314" t="str">
        <f t="shared" ca="1" si="167"/>
        <v/>
      </c>
      <c r="Z377" s="315" t="str">
        <f t="shared" ca="1" si="168"/>
        <v/>
      </c>
      <c r="AA377" s="316" t="str">
        <f t="shared" ca="1" si="169"/>
        <v/>
      </c>
      <c r="AC377" s="310" t="e">
        <f t="shared" ca="1" si="170"/>
        <v>#N/A</v>
      </c>
      <c r="AD377" s="323" t="e">
        <f t="shared" ca="1" si="171"/>
        <v>#N/A</v>
      </c>
      <c r="AE377" s="324" t="e">
        <f t="shared" ca="1" si="150"/>
        <v>#N/A</v>
      </c>
      <c r="AG377" s="306">
        <f t="shared" ca="1" si="172"/>
        <v>7.5026519668882683</v>
      </c>
      <c r="AH377" s="304">
        <f t="shared" ca="1" si="173"/>
        <v>-0.77301150022193243</v>
      </c>
    </row>
    <row r="378" spans="1:34" x14ac:dyDescent="0.2">
      <c r="A378" s="347">
        <f t="shared" ca="1" si="151"/>
        <v>0.1</v>
      </c>
      <c r="B378" s="304">
        <f t="shared" ca="1" si="152"/>
        <v>19.400000000000009</v>
      </c>
      <c r="D378" s="306">
        <f t="shared" ca="1" si="153"/>
        <v>-0.42216832846596397</v>
      </c>
      <c r="E378" s="307">
        <f t="shared" ca="1" si="154"/>
        <v>-9.1276604416799891</v>
      </c>
      <c r="F378" s="304">
        <f t="shared" ca="1" si="155"/>
        <v>9.1374181931314418</v>
      </c>
      <c r="G378" s="306">
        <f t="shared" ca="1" si="156"/>
        <v>21.624444982867431</v>
      </c>
      <c r="H378" s="307">
        <f t="shared" ca="1" si="157"/>
        <v>-35.932021295560631</v>
      </c>
      <c r="I378" s="304">
        <f t="shared" ca="1" si="158"/>
        <v>41.937176528727861</v>
      </c>
      <c r="J378" s="306">
        <f t="shared" ca="1" si="159"/>
        <v>519.5669090253698</v>
      </c>
      <c r="K378" s="307">
        <f t="shared" ca="1" si="160"/>
        <v>1310.1704943601476</v>
      </c>
      <c r="L378" s="304">
        <f t="shared" ca="1" si="145"/>
        <v>1409.4312673011375</v>
      </c>
      <c r="M378" s="306">
        <f t="shared" ca="1" si="161"/>
        <v>-1.029043017813593</v>
      </c>
      <c r="N378" s="304">
        <f t="shared" ca="1" si="162"/>
        <v>-58.959821858124471</v>
      </c>
      <c r="P378" s="310">
        <f t="shared" ca="1" si="163"/>
        <v>23</v>
      </c>
      <c r="Q378" s="304">
        <f t="shared" ca="1" si="164"/>
        <v>0</v>
      </c>
      <c r="R378" s="306">
        <f t="shared" ca="1" si="165"/>
        <v>0</v>
      </c>
      <c r="S378" s="307">
        <f t="shared" ca="1" si="166"/>
        <v>7.4499999999999984</v>
      </c>
      <c r="T378" s="304">
        <f t="shared" ca="1" si="146"/>
        <v>73.084499999999991</v>
      </c>
      <c r="U378" s="311">
        <f t="shared" ca="1" si="147"/>
        <v>0</v>
      </c>
      <c r="V378" s="306">
        <f t="shared" ca="1" si="148"/>
        <v>1.0743715612443419</v>
      </c>
      <c r="W378" s="304">
        <f t="shared" ca="1" si="149"/>
        <v>6.2017845590548282</v>
      </c>
      <c r="Y378" s="314" t="str">
        <f t="shared" ca="1" si="167"/>
        <v/>
      </c>
      <c r="Z378" s="315" t="str">
        <f t="shared" ca="1" si="168"/>
        <v/>
      </c>
      <c r="AA378" s="316" t="str">
        <f t="shared" ca="1" si="169"/>
        <v/>
      </c>
      <c r="AC378" s="310" t="e">
        <f t="shared" ca="1" si="170"/>
        <v>#N/A</v>
      </c>
      <c r="AD378" s="323" t="e">
        <f t="shared" ca="1" si="171"/>
        <v>#N/A</v>
      </c>
      <c r="AE378" s="324" t="e">
        <f t="shared" ca="1" si="150"/>
        <v>#N/A</v>
      </c>
      <c r="AG378" s="306">
        <f t="shared" ca="1" si="172"/>
        <v>7.5399923702452512</v>
      </c>
      <c r="AH378" s="304">
        <f t="shared" ca="1" si="173"/>
        <v>-0.80237981680005743</v>
      </c>
    </row>
    <row r="379" spans="1:34" x14ac:dyDescent="0.2">
      <c r="A379" s="347">
        <f t="shared" ca="1" si="151"/>
        <v>0.1</v>
      </c>
      <c r="B379" s="304">
        <f t="shared" ca="1" si="152"/>
        <v>19.500000000000011</v>
      </c>
      <c r="D379" s="306">
        <f t="shared" ca="1" si="153"/>
        <v>-0.42924592857585175</v>
      </c>
      <c r="E379" s="307">
        <f t="shared" ca="1" si="154"/>
        <v>-9.0967482213374709</v>
      </c>
      <c r="F379" s="304">
        <f t="shared" ca="1" si="155"/>
        <v>9.1068699490881819</v>
      </c>
      <c r="G379" s="306">
        <f t="shared" ca="1" si="156"/>
        <v>21.581520390009846</v>
      </c>
      <c r="H379" s="307">
        <f t="shared" ca="1" si="157"/>
        <v>-36.841696117694376</v>
      </c>
      <c r="I379" s="304">
        <f t="shared" ca="1" si="158"/>
        <v>42.697454200138765</v>
      </c>
      <c r="J379" s="306">
        <f t="shared" ca="1" si="159"/>
        <v>521.72720729401362</v>
      </c>
      <c r="K379" s="307">
        <f t="shared" ca="1" si="160"/>
        <v>1306.5318084894848</v>
      </c>
      <c r="L379" s="304">
        <f t="shared" ca="1" si="145"/>
        <v>1406.8491907186124</v>
      </c>
      <c r="M379" s="306">
        <f t="shared" ca="1" si="161"/>
        <v>-1.0408904155211189</v>
      </c>
      <c r="N379" s="304">
        <f t="shared" ca="1" si="162"/>
        <v>-59.63862774497867</v>
      </c>
      <c r="P379" s="310">
        <f t="shared" ca="1" si="163"/>
        <v>23</v>
      </c>
      <c r="Q379" s="304">
        <f t="shared" ca="1" si="164"/>
        <v>0</v>
      </c>
      <c r="R379" s="306">
        <f t="shared" ca="1" si="165"/>
        <v>0</v>
      </c>
      <c r="S379" s="307">
        <f t="shared" ca="1" si="166"/>
        <v>7.4499999999999984</v>
      </c>
      <c r="T379" s="304">
        <f t="shared" ca="1" si="146"/>
        <v>73.084499999999991</v>
      </c>
      <c r="U379" s="311">
        <f t="shared" ca="1" si="147"/>
        <v>0</v>
      </c>
      <c r="V379" s="306">
        <f t="shared" ca="1" si="148"/>
        <v>1.0747642432109099</v>
      </c>
      <c r="W379" s="304">
        <f t="shared" ca="1" si="149"/>
        <v>6.4310364039184531</v>
      </c>
      <c r="Y379" s="314" t="str">
        <f t="shared" ca="1" si="167"/>
        <v/>
      </c>
      <c r="Z379" s="315" t="str">
        <f t="shared" ca="1" si="168"/>
        <v/>
      </c>
      <c r="AA379" s="316" t="str">
        <f t="shared" ca="1" si="169"/>
        <v/>
      </c>
      <c r="AC379" s="310" t="e">
        <f t="shared" ca="1" si="170"/>
        <v>#N/A</v>
      </c>
      <c r="AD379" s="323" t="e">
        <f t="shared" ca="1" si="171"/>
        <v>#N/A</v>
      </c>
      <c r="AE379" s="324" t="e">
        <f t="shared" ca="1" si="150"/>
        <v>#N/A</v>
      </c>
      <c r="AG379" s="306">
        <f t="shared" ca="1" si="172"/>
        <v>7.5728118135299898</v>
      </c>
      <c r="AH379" s="304">
        <f t="shared" ca="1" si="173"/>
        <v>-0.83245430322883618</v>
      </c>
    </row>
    <row r="380" spans="1:34" x14ac:dyDescent="0.2">
      <c r="A380" s="347">
        <f t="shared" ca="1" si="151"/>
        <v>0.1</v>
      </c>
      <c r="B380" s="304">
        <f t="shared" ca="1" si="152"/>
        <v>19.600000000000012</v>
      </c>
      <c r="D380" s="306">
        <f t="shared" ca="1" si="153"/>
        <v>-0.43631962846552735</v>
      </c>
      <c r="E380" s="307">
        <f t="shared" ca="1" si="154"/>
        <v>-9.0651611345439171</v>
      </c>
      <c r="F380" s="304">
        <f t="shared" ca="1" si="155"/>
        <v>9.0756554150887556</v>
      </c>
      <c r="G380" s="306">
        <f t="shared" ca="1" si="156"/>
        <v>21.537888427163292</v>
      </c>
      <c r="H380" s="307">
        <f t="shared" ca="1" si="157"/>
        <v>-37.74821223114877</v>
      </c>
      <c r="I380" s="304">
        <f t="shared" ca="1" si="158"/>
        <v>43.46042066695609</v>
      </c>
      <c r="J380" s="306">
        <f t="shared" ca="1" si="159"/>
        <v>523.88317773487233</v>
      </c>
      <c r="K380" s="307">
        <f t="shared" ca="1" si="160"/>
        <v>1302.8023130720426</v>
      </c>
      <c r="L380" s="304">
        <f t="shared" ca="1" si="145"/>
        <v>1404.1892503717054</v>
      </c>
      <c r="M380" s="306">
        <f t="shared" ca="1" si="161"/>
        <v>-1.0522998615866717</v>
      </c>
      <c r="N380" s="304">
        <f t="shared" ca="1" si="162"/>
        <v>-60.292340851116982</v>
      </c>
      <c r="P380" s="310">
        <f t="shared" ca="1" si="163"/>
        <v>23</v>
      </c>
      <c r="Q380" s="304">
        <f t="shared" ca="1" si="164"/>
        <v>0</v>
      </c>
      <c r="R380" s="306">
        <f t="shared" ca="1" si="165"/>
        <v>0</v>
      </c>
      <c r="S380" s="307">
        <f t="shared" ca="1" si="166"/>
        <v>7.4499999999999984</v>
      </c>
      <c r="T380" s="304">
        <f t="shared" ca="1" si="146"/>
        <v>73.084499999999991</v>
      </c>
      <c r="U380" s="311">
        <f t="shared" ca="1" si="147"/>
        <v>0</v>
      </c>
      <c r="V380" s="306">
        <f t="shared" ca="1" si="148"/>
        <v>1.0751668644285415</v>
      </c>
      <c r="W380" s="304">
        <f t="shared" ca="1" si="149"/>
        <v>6.6654199764865965</v>
      </c>
      <c r="Y380" s="314" t="str">
        <f t="shared" ca="1" si="167"/>
        <v/>
      </c>
      <c r="Z380" s="315" t="str">
        <f t="shared" ca="1" si="168"/>
        <v/>
      </c>
      <c r="AA380" s="316" t="str">
        <f t="shared" ca="1" si="169"/>
        <v/>
      </c>
      <c r="AC380" s="310" t="e">
        <f t="shared" ca="1" si="170"/>
        <v>#N/A</v>
      </c>
      <c r="AD380" s="323" t="e">
        <f t="shared" ca="1" si="171"/>
        <v>#N/A</v>
      </c>
      <c r="AE380" s="324" t="e">
        <f t="shared" ca="1" si="150"/>
        <v>#N/A</v>
      </c>
      <c r="AG380" s="306">
        <f t="shared" ca="1" si="172"/>
        <v>7.6013775738754807</v>
      </c>
      <c r="AH380" s="304">
        <f t="shared" ca="1" si="173"/>
        <v>-0.86322636294207444</v>
      </c>
    </row>
    <row r="381" spans="1:34" x14ac:dyDescent="0.2">
      <c r="A381" s="347">
        <f t="shared" ca="1" si="151"/>
        <v>0.1</v>
      </c>
      <c r="B381" s="304">
        <f t="shared" ca="1" si="152"/>
        <v>19.700000000000014</v>
      </c>
      <c r="D381" s="306">
        <f t="shared" ca="1" si="153"/>
        <v>-0.44338443503015285</v>
      </c>
      <c r="E381" s="307">
        <f t="shared" ca="1" si="154"/>
        <v>-9.0329057268029231</v>
      </c>
      <c r="F381" s="304">
        <f t="shared" ca="1" si="155"/>
        <v>9.0437810470254121</v>
      </c>
      <c r="G381" s="306">
        <f t="shared" ca="1" si="156"/>
        <v>21.493549983660277</v>
      </c>
      <c r="H381" s="307">
        <f t="shared" ca="1" si="157"/>
        <v>-38.651502803829061</v>
      </c>
      <c r="I381" s="304">
        <f t="shared" ca="1" si="158"/>
        <v>44.225686652606178</v>
      </c>
      <c r="J381" s="306">
        <f t="shared" ca="1" si="159"/>
        <v>526.03474965541352</v>
      </c>
      <c r="K381" s="307">
        <f t="shared" ca="1" si="160"/>
        <v>1298.9823273202937</v>
      </c>
      <c r="L381" s="304">
        <f t="shared" ca="1" si="145"/>
        <v>1401.4519772491244</v>
      </c>
      <c r="M381" s="306">
        <f t="shared" ca="1" si="161"/>
        <v>-1.0632927638577707</v>
      </c>
      <c r="N381" s="304">
        <f t="shared" ca="1" si="162"/>
        <v>-60.922187755850743</v>
      </c>
      <c r="P381" s="310">
        <f t="shared" ca="1" si="163"/>
        <v>23</v>
      </c>
      <c r="Q381" s="304">
        <f t="shared" ca="1" si="164"/>
        <v>0</v>
      </c>
      <c r="R381" s="306">
        <f t="shared" ca="1" si="165"/>
        <v>0</v>
      </c>
      <c r="S381" s="307">
        <f t="shared" ca="1" si="166"/>
        <v>7.4499999999999984</v>
      </c>
      <c r="T381" s="304">
        <f t="shared" ca="1" si="146"/>
        <v>73.084499999999991</v>
      </c>
      <c r="U381" s="311">
        <f t="shared" ca="1" si="147"/>
        <v>0</v>
      </c>
      <c r="V381" s="306">
        <f t="shared" ca="1" si="148"/>
        <v>1.0755794007889052</v>
      </c>
      <c r="W381" s="304">
        <f t="shared" ca="1" si="149"/>
        <v>6.9048689635442395</v>
      </c>
      <c r="Y381" s="314" t="str">
        <f t="shared" ca="1" si="167"/>
        <v/>
      </c>
      <c r="Z381" s="315" t="str">
        <f t="shared" ca="1" si="168"/>
        <v/>
      </c>
      <c r="AA381" s="316" t="str">
        <f t="shared" ca="1" si="169"/>
        <v/>
      </c>
      <c r="AC381" s="310" t="e">
        <f t="shared" ca="1" si="170"/>
        <v>#N/A</v>
      </c>
      <c r="AD381" s="323" t="e">
        <f t="shared" ca="1" si="171"/>
        <v>#N/A</v>
      </c>
      <c r="AE381" s="324" t="e">
        <f t="shared" ca="1" si="150"/>
        <v>#N/A</v>
      </c>
      <c r="AG381" s="306">
        <f t="shared" ca="1" si="172"/>
        <v>7.6259381032472717</v>
      </c>
      <c r="AH381" s="304">
        <f t="shared" ca="1" si="173"/>
        <v>-0.8946872451659863</v>
      </c>
    </row>
    <row r="382" spans="1:34" x14ac:dyDescent="0.2">
      <c r="A382" s="347">
        <f t="shared" ca="1" si="151"/>
        <v>0.1</v>
      </c>
      <c r="B382" s="304">
        <f t="shared" ca="1" si="152"/>
        <v>19.800000000000015</v>
      </c>
      <c r="D382" s="306">
        <f t="shared" ca="1" si="153"/>
        <v>-0.45043562917573715</v>
      </c>
      <c r="E382" s="307">
        <f t="shared" ca="1" si="154"/>
        <v>-8.999988903775046</v>
      </c>
      <c r="F382" s="304">
        <f t="shared" ca="1" si="155"/>
        <v>9.0112536599579141</v>
      </c>
      <c r="G382" s="306">
        <f t="shared" ca="1" si="156"/>
        <v>21.448506420742703</v>
      </c>
      <c r="H382" s="307">
        <f t="shared" ca="1" si="157"/>
        <v>-39.551501694206564</v>
      </c>
      <c r="I382" s="304">
        <f t="shared" ca="1" si="158"/>
        <v>44.992885148070528</v>
      </c>
      <c r="J382" s="306">
        <f t="shared" ca="1" si="159"/>
        <v>528.18185247563372</v>
      </c>
      <c r="K382" s="307">
        <f t="shared" ca="1" si="160"/>
        <v>1295.0721770953919</v>
      </c>
      <c r="L382" s="304">
        <f t="shared" ca="1" si="145"/>
        <v>1398.6379135327306</v>
      </c>
      <c r="M382" s="306">
        <f t="shared" ca="1" si="161"/>
        <v>-1.0738893716252369</v>
      </c>
      <c r="N382" s="304">
        <f t="shared" ca="1" si="162"/>
        <v>-61.5293286580821</v>
      </c>
      <c r="P382" s="310">
        <f t="shared" ca="1" si="163"/>
        <v>23</v>
      </c>
      <c r="Q382" s="304">
        <f t="shared" ca="1" si="164"/>
        <v>0</v>
      </c>
      <c r="R382" s="306">
        <f t="shared" ca="1" si="165"/>
        <v>0</v>
      </c>
      <c r="S382" s="307">
        <f t="shared" ca="1" si="166"/>
        <v>7.4499999999999984</v>
      </c>
      <c r="T382" s="304">
        <f t="shared" ca="1" si="146"/>
        <v>73.084499999999991</v>
      </c>
      <c r="U382" s="311">
        <f t="shared" ca="1" si="147"/>
        <v>0</v>
      </c>
      <c r="V382" s="306">
        <f t="shared" ca="1" si="148"/>
        <v>1.0760018276765242</v>
      </c>
      <c r="W382" s="304">
        <f t="shared" ca="1" si="149"/>
        <v>7.1493159618704647</v>
      </c>
      <c r="Y382" s="314" t="str">
        <f t="shared" ca="1" si="167"/>
        <v/>
      </c>
      <c r="Z382" s="315" t="str">
        <f t="shared" ca="1" si="168"/>
        <v/>
      </c>
      <c r="AA382" s="316" t="str">
        <f t="shared" ca="1" si="169"/>
        <v/>
      </c>
      <c r="AC382" s="310" t="e">
        <f t="shared" ca="1" si="170"/>
        <v>#N/A</v>
      </c>
      <c r="AD382" s="323" t="e">
        <f t="shared" ca="1" si="171"/>
        <v>#N/A</v>
      </c>
      <c r="AE382" s="324" t="e">
        <f t="shared" ca="1" si="150"/>
        <v>#N/A</v>
      </c>
      <c r="AG382" s="306">
        <f t="shared" ca="1" si="172"/>
        <v>7.6467243639427513</v>
      </c>
      <c r="AH382" s="304">
        <f t="shared" ca="1" si="173"/>
        <v>-0.92682804879788472</v>
      </c>
    </row>
    <row r="383" spans="1:34" x14ac:dyDescent="0.2">
      <c r="A383" s="347">
        <f t="shared" ca="1" si="151"/>
        <v>0.1</v>
      </c>
      <c r="B383" s="304">
        <f t="shared" ca="1" si="152"/>
        <v>19.900000000000016</v>
      </c>
      <c r="D383" s="306">
        <f t="shared" ca="1" si="153"/>
        <v>-0.45746874791649578</v>
      </c>
      <c r="E383" s="307">
        <f t="shared" ca="1" si="154"/>
        <v>-8.9664179060613911</v>
      </c>
      <c r="F383" s="304">
        <f t="shared" ca="1" si="155"/>
        <v>8.9780804029290486</v>
      </c>
      <c r="G383" s="306">
        <f t="shared" ca="1" si="156"/>
        <v>21.402759545951053</v>
      </c>
      <c r="H383" s="307">
        <f t="shared" ca="1" si="157"/>
        <v>-40.448143484812704</v>
      </c>
      <c r="I383" s="304">
        <f t="shared" ca="1" si="158"/>
        <v>45.761669850976759</v>
      </c>
      <c r="J383" s="306">
        <f t="shared" ca="1" si="159"/>
        <v>530.32441577396844</v>
      </c>
      <c r="K383" s="307">
        <f t="shared" ca="1" si="160"/>
        <v>1291.072194836441</v>
      </c>
      <c r="L383" s="304">
        <f t="shared" ca="1" si="145"/>
        <v>1395.7476126598913</v>
      </c>
      <c r="M383" s="306">
        <f t="shared" ca="1" si="161"/>
        <v>-1.0841088308578133</v>
      </c>
      <c r="N383" s="304">
        <f t="shared" ca="1" si="162"/>
        <v>-62.114860541014728</v>
      </c>
      <c r="P383" s="310">
        <f t="shared" ca="1" si="163"/>
        <v>23</v>
      </c>
      <c r="Q383" s="304">
        <f t="shared" ca="1" si="164"/>
        <v>0</v>
      </c>
      <c r="R383" s="306">
        <f t="shared" ca="1" si="165"/>
        <v>0</v>
      </c>
      <c r="S383" s="307">
        <f t="shared" ca="1" si="166"/>
        <v>7.4499999999999984</v>
      </c>
      <c r="T383" s="304">
        <f t="shared" ca="1" si="146"/>
        <v>73.084499999999991</v>
      </c>
      <c r="U383" s="311">
        <f t="shared" ca="1" si="147"/>
        <v>0</v>
      </c>
      <c r="V383" s="306">
        <f t="shared" ca="1" si="148"/>
        <v>1.0764341199727645</v>
      </c>
      <c r="W383" s="304">
        <f t="shared" ca="1" si="149"/>
        <v>7.3986925091407629</v>
      </c>
      <c r="Y383" s="314" t="str">
        <f t="shared" ca="1" si="167"/>
        <v/>
      </c>
      <c r="Z383" s="315" t="str">
        <f t="shared" ca="1" si="168"/>
        <v/>
      </c>
      <c r="AA383" s="316" t="str">
        <f t="shared" ca="1" si="169"/>
        <v/>
      </c>
      <c r="AC383" s="310" t="e">
        <f t="shared" ca="1" si="170"/>
        <v>#N/A</v>
      </c>
      <c r="AD383" s="323" t="e">
        <f t="shared" ca="1" si="171"/>
        <v>#N/A</v>
      </c>
      <c r="AE383" s="324" t="e">
        <f t="shared" ca="1" si="150"/>
        <v>#N/A</v>
      </c>
      <c r="AG383" s="306">
        <f t="shared" ca="1" si="172"/>
        <v>7.6639511000632616</v>
      </c>
      <c r="AH383" s="304">
        <f t="shared" ca="1" si="173"/>
        <v>-0.95963972642556594</v>
      </c>
    </row>
    <row r="384" spans="1:34" x14ac:dyDescent="0.2">
      <c r="A384" s="347">
        <f t="shared" ca="1" si="151"/>
        <v>0.1</v>
      </c>
      <c r="B384" s="304">
        <f t="shared" ca="1" si="152"/>
        <v>20.000000000000018</v>
      </c>
      <c r="D384" s="306">
        <f t="shared" ca="1" si="153"/>
        <v>-0.46447956780841432</v>
      </c>
      <c r="E384" s="307">
        <f t="shared" ca="1" si="154"/>
        <v>-8.9322002861760552</v>
      </c>
      <c r="F384" s="304">
        <f t="shared" ca="1" si="155"/>
        <v>8.9442687359713808</v>
      </c>
      <c r="G384" s="306">
        <f t="shared" ca="1" si="156"/>
        <v>21.356311589170211</v>
      </c>
      <c r="H384" s="307">
        <f t="shared" ca="1" si="157"/>
        <v>-41.341363513430309</v>
      </c>
      <c r="I384" s="304">
        <f t="shared" ca="1" si="158"/>
        <v>46.53171372132465</v>
      </c>
      <c r="J384" s="306">
        <f t="shared" ca="1" si="159"/>
        <v>532.46236933072453</v>
      </c>
      <c r="K384" s="307">
        <f t="shared" ca="1" si="160"/>
        <v>1286.9827194865288</v>
      </c>
      <c r="L384" s="304">
        <f t="shared" ca="1" si="145"/>
        <v>1392.781639385812</v>
      </c>
      <c r="M384" s="306">
        <f t="shared" ca="1" si="161"/>
        <v>-1.0939692393318516</v>
      </c>
      <c r="N384" s="304">
        <f t="shared" ca="1" si="162"/>
        <v>-62.679820330852159</v>
      </c>
      <c r="P384" s="310">
        <f t="shared" ca="1" si="163"/>
        <v>23</v>
      </c>
      <c r="Q384" s="304">
        <f t="shared" ca="1" si="164"/>
        <v>0</v>
      </c>
      <c r="R384" s="306">
        <f t="shared" ca="1" si="165"/>
        <v>0</v>
      </c>
      <c r="S384" s="307">
        <f t="shared" ca="1" si="166"/>
        <v>7.4499999999999984</v>
      </c>
      <c r="T384" s="304">
        <f t="shared" ca="1" si="146"/>
        <v>73.084499999999991</v>
      </c>
      <c r="U384" s="311">
        <f t="shared" ca="1" si="147"/>
        <v>0</v>
      </c>
      <c r="V384" s="306">
        <f t="shared" ca="1" si="148"/>
        <v>1.0768762520601112</v>
      </c>
      <c r="W384" s="304">
        <f t="shared" ca="1" si="149"/>
        <v>7.6529291157032633</v>
      </c>
      <c r="Y384" s="314" t="str">
        <f t="shared" ca="1" si="167"/>
        <v/>
      </c>
      <c r="Z384" s="315" t="str">
        <f t="shared" ca="1" si="168"/>
        <v/>
      </c>
      <c r="AA384" s="316" t="str">
        <f t="shared" ca="1" si="169"/>
        <v/>
      </c>
      <c r="AC384" s="310">
        <f t="shared" ca="1" si="170"/>
        <v>20.000000000000018</v>
      </c>
      <c r="AD384" s="323">
        <f t="shared" ca="1" si="171"/>
        <v>532.46236933072453</v>
      </c>
      <c r="AE384" s="324" t="e">
        <f t="shared" ca="1" si="150"/>
        <v>#N/A</v>
      </c>
      <c r="AG384" s="306">
        <f t="shared" ca="1" si="172"/>
        <v>7.6778180396540758</v>
      </c>
      <c r="AH384" s="304">
        <f t="shared" ca="1" si="173"/>
        <v>-0.99311308847527036</v>
      </c>
    </row>
    <row r="385" spans="1:34" x14ac:dyDescent="0.2">
      <c r="A385" s="347">
        <f t="shared" ca="1" si="151"/>
        <v>0.1</v>
      </c>
      <c r="B385" s="304">
        <f t="shared" ca="1" si="152"/>
        <v>20.100000000000019</v>
      </c>
      <c r="D385" s="306">
        <f t="shared" ca="1" si="153"/>
        <v>-0.47146408963896658</v>
      </c>
      <c r="E385" s="307">
        <f t="shared" ca="1" si="154"/>
        <v>-8.8973438874540083</v>
      </c>
      <c r="F385" s="304">
        <f t="shared" ca="1" si="155"/>
        <v>8.9098264090516555</v>
      </c>
      <c r="G385" s="306">
        <f t="shared" ca="1" si="156"/>
        <v>21.309165180206314</v>
      </c>
      <c r="H385" s="307">
        <f t="shared" ca="1" si="157"/>
        <v>-42.231097902175712</v>
      </c>
      <c r="I385" s="304">
        <f t="shared" ca="1" si="158"/>
        <v>47.302707646607999</v>
      </c>
      <c r="J385" s="306">
        <f t="shared" ca="1" si="159"/>
        <v>534.59564316919341</v>
      </c>
      <c r="K385" s="307">
        <f t="shared" ca="1" si="160"/>
        <v>1282.8040964157485</v>
      </c>
      <c r="L385" s="304">
        <f t="shared" ca="1" si="145"/>
        <v>1389.7405698462244</v>
      </c>
      <c r="M385" s="306">
        <f t="shared" ca="1" si="161"/>
        <v>-1.1034877010065625</v>
      </c>
      <c r="N385" s="304">
        <f t="shared" ca="1" si="162"/>
        <v>-63.225188012270117</v>
      </c>
      <c r="P385" s="310">
        <f t="shared" ca="1" si="163"/>
        <v>23</v>
      </c>
      <c r="Q385" s="304">
        <f t="shared" ca="1" si="164"/>
        <v>0</v>
      </c>
      <c r="R385" s="306">
        <f t="shared" ca="1" si="165"/>
        <v>0</v>
      </c>
      <c r="S385" s="307">
        <f t="shared" ca="1" si="166"/>
        <v>7.4499999999999984</v>
      </c>
      <c r="T385" s="304">
        <f t="shared" ca="1" si="146"/>
        <v>73.084499999999991</v>
      </c>
      <c r="U385" s="311">
        <f t="shared" ca="1" si="147"/>
        <v>0</v>
      </c>
      <c r="V385" s="306">
        <f t="shared" ca="1" si="148"/>
        <v>1.07732819782672</v>
      </c>
      <c r="W385" s="304">
        <f t="shared" ca="1" si="149"/>
        <v>7.9119552971506932</v>
      </c>
      <c r="Y385" s="314" t="str">
        <f t="shared" ca="1" si="167"/>
        <v/>
      </c>
      <c r="Z385" s="315" t="str">
        <f t="shared" ca="1" si="168"/>
        <v/>
      </c>
      <c r="AA385" s="316" t="str">
        <f t="shared" ca="1" si="169"/>
        <v/>
      </c>
      <c r="AC385" s="310" t="e">
        <f t="shared" ca="1" si="170"/>
        <v>#N/A</v>
      </c>
      <c r="AD385" s="323" t="e">
        <f t="shared" ca="1" si="171"/>
        <v>#N/A</v>
      </c>
      <c r="AE385" s="324" t="e">
        <f t="shared" ca="1" si="150"/>
        <v>#N/A</v>
      </c>
      <c r="AG385" s="306">
        <f t="shared" ca="1" si="172"/>
        <v>7.6885110248979345</v>
      </c>
      <c r="AH385" s="304">
        <f t="shared" ca="1" si="173"/>
        <v>-1.0272388074769483</v>
      </c>
    </row>
    <row r="386" spans="1:34" x14ac:dyDescent="0.2">
      <c r="A386" s="347">
        <f t="shared" ca="1" si="151"/>
        <v>0.1</v>
      </c>
      <c r="B386" s="304">
        <f t="shared" ca="1" si="152"/>
        <v>20.200000000000021</v>
      </c>
      <c r="D386" s="306">
        <f t="shared" ca="1" si="153"/>
        <v>-0.47841852429189224</v>
      </c>
      <c r="E386" s="307">
        <f t="shared" ca="1" si="154"/>
        <v>-8.8618568246703262</v>
      </c>
      <c r="F386" s="304">
        <f t="shared" ca="1" si="155"/>
        <v>8.8747614427285679</v>
      </c>
      <c r="G386" s="306">
        <f t="shared" ca="1" si="156"/>
        <v>21.261323327777124</v>
      </c>
      <c r="H386" s="307">
        <f t="shared" ca="1" si="157"/>
        <v>-43.117283584642742</v>
      </c>
      <c r="I386" s="304">
        <f t="shared" ca="1" si="158"/>
        <v>48.074359209112522</v>
      </c>
      <c r="J386" s="306">
        <f t="shared" ca="1" si="159"/>
        <v>536.72416759459259</v>
      </c>
      <c r="K386" s="307">
        <f t="shared" ca="1" si="160"/>
        <v>1278.5366773414075</v>
      </c>
      <c r="L386" s="304">
        <f t="shared" ca="1" si="145"/>
        <v>1386.6249916207751</v>
      </c>
      <c r="M386" s="306">
        <f t="shared" ca="1" si="161"/>
        <v>-1.1126803791550326</v>
      </c>
      <c r="N386" s="304">
        <f t="shared" ca="1" si="162"/>
        <v>-63.751889672599589</v>
      </c>
      <c r="P386" s="310">
        <f t="shared" ca="1" si="163"/>
        <v>23</v>
      </c>
      <c r="Q386" s="304">
        <f t="shared" ca="1" si="164"/>
        <v>0</v>
      </c>
      <c r="R386" s="306">
        <f t="shared" ca="1" si="165"/>
        <v>0</v>
      </c>
      <c r="S386" s="307">
        <f t="shared" ca="1" si="166"/>
        <v>7.4499999999999984</v>
      </c>
      <c r="T386" s="304">
        <f t="shared" ca="1" si="146"/>
        <v>73.084499999999991</v>
      </c>
      <c r="U386" s="311">
        <f t="shared" ca="1" si="147"/>
        <v>0</v>
      </c>
      <c r="V386" s="306">
        <f t="shared" ca="1" si="148"/>
        <v>1.0777899306712189</v>
      </c>
      <c r="W386" s="304">
        <f t="shared" ca="1" si="149"/>
        <v>8.1756996076147246</v>
      </c>
      <c r="Y386" s="314" t="str">
        <f t="shared" ca="1" si="167"/>
        <v/>
      </c>
      <c r="Z386" s="315" t="str">
        <f t="shared" ca="1" si="168"/>
        <v/>
      </c>
      <c r="AA386" s="316" t="str">
        <f t="shared" ca="1" si="169"/>
        <v/>
      </c>
      <c r="AC386" s="310" t="e">
        <f t="shared" ca="1" si="170"/>
        <v>#N/A</v>
      </c>
      <c r="AD386" s="323" t="e">
        <f t="shared" ca="1" si="171"/>
        <v>#N/A</v>
      </c>
      <c r="AE386" s="324" t="e">
        <f t="shared" ca="1" si="150"/>
        <v>#N/A</v>
      </c>
      <c r="AG386" s="306">
        <f t="shared" ca="1" si="172"/>
        <v>7.6962030697711148</v>
      </c>
      <c r="AH386" s="304">
        <f t="shared" ca="1" si="173"/>
        <v>-1.0620074224363349</v>
      </c>
    </row>
    <row r="387" spans="1:34" x14ac:dyDescent="0.2">
      <c r="A387" s="347">
        <f t="shared" ca="1" si="151"/>
        <v>0.1</v>
      </c>
      <c r="B387" s="304">
        <f t="shared" ca="1" si="152"/>
        <v>20.300000000000022</v>
      </c>
      <c r="D387" s="306">
        <f t="shared" ca="1" si="153"/>
        <v>-0.48533927970665575</v>
      </c>
      <c r="E387" s="307">
        <f t="shared" ca="1" si="154"/>
        <v>-8.8257474661730768</v>
      </c>
      <c r="F387" s="304">
        <f t="shared" ca="1" si="155"/>
        <v>8.8390821103260873</v>
      </c>
      <c r="G387" s="306">
        <f t="shared" ca="1" si="156"/>
        <v>21.212789399806457</v>
      </c>
      <c r="H387" s="307">
        <f t="shared" ca="1" si="157"/>
        <v>-43.99985833126005</v>
      </c>
      <c r="I387" s="304">
        <f t="shared" ca="1" si="158"/>
        <v>48.846391548317015</v>
      </c>
      <c r="J387" s="306">
        <f t="shared" ca="1" si="159"/>
        <v>538.8478732309718</v>
      </c>
      <c r="K387" s="307">
        <f t="shared" ca="1" si="160"/>
        <v>1274.1808202456125</v>
      </c>
      <c r="L387" s="304">
        <f t="shared" ca="1" si="145"/>
        <v>1383.4355037974569</v>
      </c>
      <c r="M387" s="306">
        <f t="shared" ca="1" si="161"/>
        <v>-1.1215625478908169</v>
      </c>
      <c r="N387" s="304">
        <f t="shared" ca="1" si="162"/>
        <v>-64.260800454083082</v>
      </c>
      <c r="P387" s="310">
        <f t="shared" ca="1" si="163"/>
        <v>23</v>
      </c>
      <c r="Q387" s="304">
        <f t="shared" ca="1" si="164"/>
        <v>0</v>
      </c>
      <c r="R387" s="306">
        <f t="shared" ca="1" si="165"/>
        <v>0</v>
      </c>
      <c r="S387" s="307">
        <f t="shared" ca="1" si="166"/>
        <v>7.4499999999999984</v>
      </c>
      <c r="T387" s="304">
        <f t="shared" ca="1" si="146"/>
        <v>73.084499999999991</v>
      </c>
      <c r="U387" s="311">
        <f t="shared" ca="1" si="147"/>
        <v>0</v>
      </c>
      <c r="V387" s="306">
        <f t="shared" ca="1" si="148"/>
        <v>1.0782614235077415</v>
      </c>
      <c r="W387" s="304">
        <f t="shared" ca="1" si="149"/>
        <v>8.4440896737139468</v>
      </c>
      <c r="Y387" s="314" t="str">
        <f t="shared" ca="1" si="167"/>
        <v/>
      </c>
      <c r="Z387" s="315" t="str">
        <f t="shared" ca="1" si="168"/>
        <v/>
      </c>
      <c r="AA387" s="316" t="str">
        <f t="shared" ca="1" si="169"/>
        <v/>
      </c>
      <c r="AC387" s="310" t="e">
        <f t="shared" ca="1" si="170"/>
        <v>#N/A</v>
      </c>
      <c r="AD387" s="323" t="e">
        <f t="shared" ca="1" si="171"/>
        <v>#N/A</v>
      </c>
      <c r="AE387" s="324" t="e">
        <f t="shared" ca="1" si="150"/>
        <v>#N/A</v>
      </c>
      <c r="AG387" s="306">
        <f t="shared" ca="1" si="172"/>
        <v>7.7010553460634998</v>
      </c>
      <c r="AH387" s="304">
        <f t="shared" ca="1" si="173"/>
        <v>-1.0974093433039902</v>
      </c>
    </row>
    <row r="388" spans="1:34" x14ac:dyDescent="0.2">
      <c r="A388" s="347">
        <f t="shared" ca="1" si="151"/>
        <v>0.1</v>
      </c>
      <c r="B388" s="304">
        <f t="shared" ca="1" si="152"/>
        <v>20.400000000000023</v>
      </c>
      <c r="D388" s="306">
        <f t="shared" ca="1" si="153"/>
        <v>-0.49222294885425033</v>
      </c>
      <c r="E388" s="307">
        <f t="shared" ca="1" si="154"/>
        <v>-8.7890244173555185</v>
      </c>
      <c r="F388" s="304">
        <f t="shared" ca="1" si="155"/>
        <v>8.8027969214477668</v>
      </c>
      <c r="G388" s="306">
        <f t="shared" ca="1" si="156"/>
        <v>21.163567104921032</v>
      </c>
      <c r="H388" s="307">
        <f t="shared" ca="1" si="157"/>
        <v>-44.878760772995605</v>
      </c>
      <c r="I388" s="304">
        <f t="shared" ca="1" si="158"/>
        <v>49.61854231156196</v>
      </c>
      <c r="J388" s="306">
        <f t="shared" ca="1" si="159"/>
        <v>540.96669105620822</v>
      </c>
      <c r="K388" s="307">
        <f t="shared" ca="1" si="160"/>
        <v>1269.7368892903996</v>
      </c>
      <c r="L388" s="304">
        <f t="shared" ref="L388:L451" ca="1" si="174">SQRT(pos_x^2+pos_z^2)</f>
        <v>1380.1727170384015</v>
      </c>
      <c r="M388" s="306">
        <f t="shared" ca="1" si="161"/>
        <v>-1.1301486418344033</v>
      </c>
      <c r="N388" s="304">
        <f t="shared" ca="1" si="162"/>
        <v>-64.752747399553414</v>
      </c>
      <c r="P388" s="310">
        <f t="shared" ca="1" si="163"/>
        <v>23</v>
      </c>
      <c r="Q388" s="304">
        <f t="shared" ca="1" si="164"/>
        <v>0</v>
      </c>
      <c r="R388" s="306">
        <f t="shared" ca="1" si="165"/>
        <v>0</v>
      </c>
      <c r="S388" s="307">
        <f t="shared" ca="1" si="166"/>
        <v>7.4499999999999984</v>
      </c>
      <c r="T388" s="304">
        <f t="shared" ref="T388:T451" ca="1" si="175">m*g</f>
        <v>73.084499999999991</v>
      </c>
      <c r="U388" s="311">
        <f t="shared" ref="U388:U451" ca="1" si="176">IF(pos_xz&lt;L_rampe,Poids*COS(Beta),0)</f>
        <v>0</v>
      </c>
      <c r="V388" s="306">
        <f t="shared" ref="V388:V451" ca="1" si="177">Rho_moyen*(20000-Alt_rampe-pos_z)/(20000+Alt_rampe+pos_z)</f>
        <v>1.0787426487711829</v>
      </c>
      <c r="W388" s="304">
        <f t="shared" ref="W388:W451" ca="1" si="178">1/2*Rho*Sref*Cx*vit_xz^2</f>
        <v>8.7170522290906742</v>
      </c>
      <c r="Y388" s="314" t="str">
        <f t="shared" ca="1" si="167"/>
        <v/>
      </c>
      <c r="Z388" s="315" t="str">
        <f t="shared" ca="1" si="168"/>
        <v/>
      </c>
      <c r="AA388" s="316" t="str">
        <f t="shared" ca="1" si="169"/>
        <v/>
      </c>
      <c r="AC388" s="310" t="e">
        <f t="shared" ca="1" si="170"/>
        <v>#N/A</v>
      </c>
      <c r="AD388" s="323" t="e">
        <f t="shared" ca="1" si="171"/>
        <v>#N/A</v>
      </c>
      <c r="AE388" s="324" t="e">
        <f t="shared" ref="AE388:AE451" ca="1" si="179">IF(t&lt;T_para, pos_z, NA())</f>
        <v>#N/A</v>
      </c>
      <c r="AG388" s="306">
        <f t="shared" ca="1" si="172"/>
        <v>7.7032180997369037</v>
      </c>
      <c r="AH388" s="304">
        <f t="shared" ca="1" si="173"/>
        <v>-1.1334348555320737</v>
      </c>
    </row>
    <row r="389" spans="1:34" x14ac:dyDescent="0.2">
      <c r="A389" s="347">
        <f t="shared" ref="A389:A452" ca="1" si="180">IF(B388+0.01&lt;=T_ini+ROUNDUP(Temps_fin_propu,0), 0.01, IF(K388&gt;0, 0.1, 0.0001))</f>
        <v>0.1</v>
      </c>
      <c r="B389" s="304">
        <f t="shared" ref="B389:B452" ca="1" si="181">B388+pas</f>
        <v>20.500000000000025</v>
      </c>
      <c r="D389" s="306">
        <f t="shared" ref="D389:D452" ca="1" si="182">IF(AND(L388&lt;L_rampe,Poussee&lt;Poids*SIN(M388)),0,(-W388+Poussee)/m*COS(M388)-U388/m*SIN(M388))</f>
        <v>-0.49906629865394053</v>
      </c>
      <c r="E389" s="307">
        <f t="shared" ref="E389:E452" ca="1" si="183">IF(AND(L388&lt;L_rampe,Poussee&lt;Poids*SIN(M388)),0,(-W388+Poussee)/m*SIN(M388)+U388/m*COS(M388)-Poids/m)</f>
        <v>-8.7516965053142375</v>
      </c>
      <c r="F389" s="304">
        <f t="shared" ref="F389:F452" ca="1" si="184">SQRT(acc_x^2+acc_z^2)</f>
        <v>8.7659146066786207</v>
      </c>
      <c r="G389" s="306">
        <f t="shared" ref="G389:G452" ca="1" si="185">G388+acc_x*pas</f>
        <v>21.113660475055639</v>
      </c>
      <c r="H389" s="307">
        <f t="shared" ref="H389:H452" ca="1" si="186">H388+acc_z*pas</f>
        <v>-45.753930423527031</v>
      </c>
      <c r="I389" s="304">
        <f t="shared" ref="I389:I452" ca="1" si="187">SQRT(vit_x^2+vit_z^2)</f>
        <v>50.390562686448334</v>
      </c>
      <c r="J389" s="306">
        <f t="shared" ref="J389:J452" ca="1" si="188">J388+0.5*(vit_x+G388)*pas*(K388&gt;=0)</f>
        <v>543.0805524352071</v>
      </c>
      <c r="K389" s="307">
        <f t="shared" ref="K389:K452" ca="1" si="189">K388+0.5*(vit_z+H388)*pas</f>
        <v>1265.2052547305734</v>
      </c>
      <c r="L389" s="304">
        <f t="shared" ca="1" si="174"/>
        <v>1376.8372536473528</v>
      </c>
      <c r="M389" s="306">
        <f t="shared" ref="M389:M452" ca="1" si="190">IF(AND(L388&gt;L_rampe,G389&gt;0),ATAN2(G389,H389),$M$4)</f>
        <v>-1.1384523037475038</v>
      </c>
      <c r="N389" s="304">
        <f t="shared" ref="N389:N452" ca="1" si="191">DEGREES(Beta)</f>
        <v>-65.228512181677601</v>
      </c>
      <c r="P389" s="310">
        <f t="shared" ref="P389:P452" ca="1" si="192">MATCH(t-pas/2-T_ini,CdP_t)</f>
        <v>23</v>
      </c>
      <c r="Q389" s="304">
        <f t="shared" ref="Q389:Q452" ca="1" si="193">(INDEX(CdP,2,i_P+1)-INDEX(CdP,2,i_P+0))/(INDEX(CdP,1,i_P+1)-INDEX(CdP,1,i_P+0))*(t-pas/2-T_ini-INDEX(CdP,1,i_P+0))+INDEX(CdP,2,i_P+0)</f>
        <v>0</v>
      </c>
      <c r="R389" s="306">
        <f t="shared" ref="R389:R452" ca="1" si="194">Poussee/(g*ISP)</f>
        <v>0</v>
      </c>
      <c r="S389" s="307">
        <f t="shared" ref="S389:S452" ca="1" si="195">S388-Débit*pas</f>
        <v>7.4499999999999984</v>
      </c>
      <c r="T389" s="304">
        <f t="shared" ca="1" si="175"/>
        <v>73.084499999999991</v>
      </c>
      <c r="U389" s="311">
        <f t="shared" ca="1" si="176"/>
        <v>0</v>
      </c>
      <c r="V389" s="306">
        <f t="shared" ca="1" si="177"/>
        <v>1.0792335784226517</v>
      </c>
      <c r="W389" s="304">
        <f t="shared" ca="1" si="178"/>
        <v>8.9945131494753134</v>
      </c>
      <c r="Y389" s="314" t="str">
        <f t="shared" ref="Y389:Y452" ca="1" si="196">IF(AND(pos_z&lt;=0,K388&gt;0),"Impact balistique","") &amp; IF(AND(H390&lt;0,vit_z&gt;=0),"Apogée","") &amp; IF(AND(Poussee=0,Q388&gt;0),"Fin de propulsion","") &amp; IF(AND(L390&gt;L_rampe,pos_xz&lt;=L_rampe),"Sortie de rampe","")</f>
        <v/>
      </c>
      <c r="Z389" s="315" t="str">
        <f t="shared" ref="Z389:Z452" ca="1" si="197">IF(ABS(t-T_para)&lt;pas/2,"Para","")</f>
        <v/>
      </c>
      <c r="AA389" s="316" t="str">
        <f t="shared" ref="AA389:AA452" ca="1" si="198">IF(ABS(t-T_satellite)&lt;pas/2,"Satellite","")</f>
        <v/>
      </c>
      <c r="AC389" s="310" t="e">
        <f t="shared" ref="AC389:AC452" ca="1" si="199">IF(ABS(t-ROUND(t,0))&lt;0.001,t,NA())</f>
        <v>#N/A</v>
      </c>
      <c r="AD389" s="323" t="e">
        <f t="shared" ref="AD389:AD452" ca="1" si="200">IF(ABS(t-ROUND(t,0))&lt;0.001,pos_x,NA())</f>
        <v>#N/A</v>
      </c>
      <c r="AE389" s="324" t="e">
        <f t="shared" ca="1" si="179"/>
        <v>#N/A</v>
      </c>
      <c r="AG389" s="306">
        <f t="shared" ref="AG389:AG452" ca="1" si="201">IF(AND(L388&lt;L_rampe,Poussee&lt;Poids*SIN(M388)),0,(-W388+Poussee)/m-Poids*SIN(M388)/m)</f>
        <v>7.7028315003407979</v>
      </c>
      <c r="AH389" s="304">
        <f t="shared" ref="AH389:AH452" ca="1" si="202">IF(AND(L388&lt;L_rampe,Poussee&lt;Poids*SIN(M388)), g*SIN(M388), (-W388+Poussee)/m)</f>
        <v>-1.1700741247101578</v>
      </c>
    </row>
    <row r="390" spans="1:34" x14ac:dyDescent="0.2">
      <c r="A390" s="347">
        <f t="shared" ca="1" si="180"/>
        <v>0.1</v>
      </c>
      <c r="B390" s="304">
        <f t="shared" ca="1" si="181"/>
        <v>20.600000000000026</v>
      </c>
      <c r="D390" s="306">
        <f t="shared" ca="1" si="182"/>
        <v>-0.50586625975906552</v>
      </c>
      <c r="E390" s="307">
        <f t="shared" ca="1" si="183"/>
        <v>-8.713772764558243</v>
      </c>
      <c r="F390" s="304">
        <f t="shared" ca="1" si="184"/>
        <v>8.7284441033393598</v>
      </c>
      <c r="G390" s="306">
        <f t="shared" ca="1" si="185"/>
        <v>21.063073849079732</v>
      </c>
      <c r="H390" s="307">
        <f t="shared" ca="1" si="186"/>
        <v>-46.625307699982855</v>
      </c>
      <c r="I390" s="304">
        <f t="shared" ca="1" si="187"/>
        <v>51.162216508766186</v>
      </c>
      <c r="J390" s="306">
        <f t="shared" ca="1" si="188"/>
        <v>545.18938915141382</v>
      </c>
      <c r="K390" s="307">
        <f t="shared" ca="1" si="189"/>
        <v>1260.586292824398</v>
      </c>
      <c r="L390" s="304">
        <f t="shared" ca="1" si="174"/>
        <v>1373.4297476391177</v>
      </c>
      <c r="M390" s="306">
        <f t="shared" ca="1" si="190"/>
        <v>-1.146486430029541</v>
      </c>
      <c r="N390" s="304">
        <f t="shared" ca="1" si="191"/>
        <v>-65.688833709713464</v>
      </c>
      <c r="P390" s="310">
        <f t="shared" ca="1" si="192"/>
        <v>23</v>
      </c>
      <c r="Q390" s="304">
        <f t="shared" ca="1" si="193"/>
        <v>0</v>
      </c>
      <c r="R390" s="306">
        <f t="shared" ca="1" si="194"/>
        <v>0</v>
      </c>
      <c r="S390" s="307">
        <f t="shared" ca="1" si="195"/>
        <v>7.4499999999999984</v>
      </c>
      <c r="T390" s="304">
        <f t="shared" ca="1" si="175"/>
        <v>73.084499999999991</v>
      </c>
      <c r="U390" s="311">
        <f t="shared" ca="1" si="176"/>
        <v>0</v>
      </c>
      <c r="V390" s="306">
        <f t="shared" ca="1" si="177"/>
        <v>1.0797341839551176</v>
      </c>
      <c r="W390" s="304">
        <f t="shared" ca="1" si="178"/>
        <v>9.2763974882203222</v>
      </c>
      <c r="Y390" s="314" t="str">
        <f t="shared" ca="1" si="196"/>
        <v/>
      </c>
      <c r="Z390" s="315" t="str">
        <f t="shared" ca="1" si="197"/>
        <v/>
      </c>
      <c r="AA390" s="316" t="str">
        <f t="shared" ca="1" si="198"/>
        <v/>
      </c>
      <c r="AC390" s="310" t="e">
        <f t="shared" ca="1" si="199"/>
        <v>#N/A</v>
      </c>
      <c r="AD390" s="323" t="e">
        <f t="shared" ca="1" si="200"/>
        <v>#N/A</v>
      </c>
      <c r="AE390" s="324" t="e">
        <f t="shared" ca="1" si="179"/>
        <v>#N/A</v>
      </c>
      <c r="AG390" s="306">
        <f t="shared" ca="1" si="201"/>
        <v>7.7000264266950058</v>
      </c>
      <c r="AH390" s="304">
        <f t="shared" ca="1" si="202"/>
        <v>-1.2073172012718545</v>
      </c>
    </row>
    <row r="391" spans="1:34" x14ac:dyDescent="0.2">
      <c r="A391" s="347">
        <f t="shared" ca="1" si="180"/>
        <v>0.1</v>
      </c>
      <c r="B391" s="304">
        <f t="shared" ca="1" si="181"/>
        <v>20.700000000000028</v>
      </c>
      <c r="D391" s="306">
        <f t="shared" ca="1" si="182"/>
        <v>-0.51261991714394883</v>
      </c>
      <c r="E391" s="307">
        <f t="shared" ca="1" si="183"/>
        <v>-8.6752624236504499</v>
      </c>
      <c r="F391" s="304">
        <f t="shared" ca="1" si="184"/>
        <v>8.6903945421743742</v>
      </c>
      <c r="G391" s="306">
        <f t="shared" ca="1" si="185"/>
        <v>21.011811857365338</v>
      </c>
      <c r="H391" s="307">
        <f t="shared" ca="1" si="186"/>
        <v>-47.4928339423479</v>
      </c>
      <c r="I391" s="304">
        <f t="shared" ca="1" si="187"/>
        <v>51.933279440111917</v>
      </c>
      <c r="J391" s="306">
        <f t="shared" ca="1" si="188"/>
        <v>547.29313343673607</v>
      </c>
      <c r="K391" s="307">
        <f t="shared" ca="1" si="189"/>
        <v>1255.8803857422815</v>
      </c>
      <c r="L391" s="304">
        <f t="shared" ca="1" si="174"/>
        <v>1369.9508448112956</v>
      </c>
      <c r="M391" s="306">
        <f t="shared" ca="1" si="190"/>
        <v>-1.1542632140229951</v>
      </c>
      <c r="N391" s="304">
        <f t="shared" ca="1" si="191"/>
        <v>-66.134410610723279</v>
      </c>
      <c r="P391" s="310">
        <f t="shared" ca="1" si="192"/>
        <v>23</v>
      </c>
      <c r="Q391" s="304">
        <f t="shared" ca="1" si="193"/>
        <v>0</v>
      </c>
      <c r="R391" s="306">
        <f t="shared" ca="1" si="194"/>
        <v>0</v>
      </c>
      <c r="S391" s="307">
        <f t="shared" ca="1" si="195"/>
        <v>7.4499999999999984</v>
      </c>
      <c r="T391" s="304">
        <f t="shared" ca="1" si="175"/>
        <v>73.084499999999991</v>
      </c>
      <c r="U391" s="311">
        <f t="shared" ca="1" si="176"/>
        <v>0</v>
      </c>
      <c r="V391" s="306">
        <f t="shared" ca="1" si="177"/>
        <v>1.0802444363992341</v>
      </c>
      <c r="W391" s="304">
        <f t="shared" ca="1" si="178"/>
        <v>9.5626295122485772</v>
      </c>
      <c r="Y391" s="314" t="str">
        <f t="shared" ca="1" si="196"/>
        <v/>
      </c>
      <c r="Z391" s="315" t="str">
        <f t="shared" ca="1" si="197"/>
        <v/>
      </c>
      <c r="AA391" s="316" t="str">
        <f t="shared" ca="1" si="198"/>
        <v/>
      </c>
      <c r="AC391" s="310" t="e">
        <f t="shared" ca="1" si="199"/>
        <v>#N/A</v>
      </c>
      <c r="AD391" s="323" t="e">
        <f t="shared" ca="1" si="200"/>
        <v>#N/A</v>
      </c>
      <c r="AE391" s="324" t="e">
        <f t="shared" ca="1" si="179"/>
        <v>#N/A</v>
      </c>
      <c r="AG391" s="306">
        <f t="shared" ca="1" si="201"/>
        <v>7.6949251923445114</v>
      </c>
      <c r="AH391" s="304">
        <f t="shared" ca="1" si="202"/>
        <v>-1.2451540252644731</v>
      </c>
    </row>
    <row r="392" spans="1:34" x14ac:dyDescent="0.2">
      <c r="A392" s="347">
        <f t="shared" ca="1" si="180"/>
        <v>0.1</v>
      </c>
      <c r="B392" s="304">
        <f t="shared" ca="1" si="181"/>
        <v>20.800000000000029</v>
      </c>
      <c r="D392" s="306">
        <f t="shared" ca="1" si="182"/>
        <v>-0.51932450142804099</v>
      </c>
      <c r="E392" s="307">
        <f t="shared" ca="1" si="183"/>
        <v>-8.6361748926773814</v>
      </c>
      <c r="F392" s="304">
        <f t="shared" ca="1" si="184"/>
        <v>8.6517752348691221</v>
      </c>
      <c r="G392" s="306">
        <f t="shared" ca="1" si="185"/>
        <v>20.959879407222534</v>
      </c>
      <c r="H392" s="307">
        <f t="shared" ca="1" si="186"/>
        <v>-48.356451431615639</v>
      </c>
      <c r="I392" s="304">
        <f t="shared" ca="1" si="187"/>
        <v>52.703538209720925</v>
      </c>
      <c r="J392" s="306">
        <f t="shared" ca="1" si="188"/>
        <v>549.39171799996541</v>
      </c>
      <c r="K392" s="307">
        <f t="shared" ca="1" si="189"/>
        <v>1251.0879214735833</v>
      </c>
      <c r="L392" s="304">
        <f t="shared" ca="1" si="174"/>
        <v>1366.4012028185734</v>
      </c>
      <c r="M392" s="306">
        <f t="shared" ca="1" si="190"/>
        <v>-1.1617941871149635</v>
      </c>
      <c r="N392" s="304">
        <f t="shared" ca="1" si="191"/>
        <v>-66.56590358451966</v>
      </c>
      <c r="P392" s="310">
        <f t="shared" ca="1" si="192"/>
        <v>23</v>
      </c>
      <c r="Q392" s="304">
        <f t="shared" ca="1" si="193"/>
        <v>0</v>
      </c>
      <c r="R392" s="306">
        <f t="shared" ca="1" si="194"/>
        <v>0</v>
      </c>
      <c r="S392" s="307">
        <f t="shared" ca="1" si="195"/>
        <v>7.4499999999999984</v>
      </c>
      <c r="T392" s="304">
        <f t="shared" ca="1" si="175"/>
        <v>73.084499999999991</v>
      </c>
      <c r="U392" s="311">
        <f t="shared" ca="1" si="176"/>
        <v>0</v>
      </c>
      <c r="V392" s="306">
        <f t="shared" ca="1" si="177"/>
        <v>1.0807643063293235</v>
      </c>
      <c r="W392" s="304">
        <f t="shared" ca="1" si="178"/>
        <v>9.8531327383636338</v>
      </c>
      <c r="Y392" s="314" t="str">
        <f t="shared" ca="1" si="196"/>
        <v/>
      </c>
      <c r="Z392" s="315" t="str">
        <f t="shared" ca="1" si="197"/>
        <v/>
      </c>
      <c r="AA392" s="316" t="str">
        <f t="shared" ca="1" si="198"/>
        <v/>
      </c>
      <c r="AC392" s="310" t="e">
        <f t="shared" ca="1" si="199"/>
        <v>#N/A</v>
      </c>
      <c r="AD392" s="323" t="e">
        <f t="shared" ca="1" si="200"/>
        <v>#N/A</v>
      </c>
      <c r="AE392" s="324" t="e">
        <f t="shared" ca="1" si="179"/>
        <v>#N/A</v>
      </c>
      <c r="AG392" s="306">
        <f t="shared" ca="1" si="201"/>
        <v>7.6876422144392622</v>
      </c>
      <c r="AH392" s="304">
        <f t="shared" ca="1" si="202"/>
        <v>-1.283574431174306</v>
      </c>
    </row>
    <row r="393" spans="1:34" x14ac:dyDescent="0.2">
      <c r="A393" s="347">
        <f t="shared" ca="1" si="180"/>
        <v>0.1</v>
      </c>
      <c r="B393" s="304">
        <f t="shared" ca="1" si="181"/>
        <v>20.900000000000031</v>
      </c>
      <c r="D393" s="306">
        <f t="shared" ca="1" si="182"/>
        <v>-0.52597738087759549</v>
      </c>
      <c r="E393" s="307">
        <f t="shared" ca="1" si="183"/>
        <v>-8.5965197514556575</v>
      </c>
      <c r="F393" s="304">
        <f t="shared" ca="1" si="184"/>
        <v>8.6125956623054183</v>
      </c>
      <c r="G393" s="306">
        <f t="shared" ca="1" si="185"/>
        <v>20.907281669134775</v>
      </c>
      <c r="H393" s="307">
        <f t="shared" ca="1" si="186"/>
        <v>-49.216103406761206</v>
      </c>
      <c r="I393" s="304">
        <f t="shared" ca="1" si="187"/>
        <v>53.472789915409791</v>
      </c>
      <c r="J393" s="306">
        <f t="shared" ca="1" si="188"/>
        <v>551.48507605378325</v>
      </c>
      <c r="K393" s="307">
        <f t="shared" ca="1" si="189"/>
        <v>1246.2092937316645</v>
      </c>
      <c r="L393" s="304">
        <f t="shared" ca="1" si="174"/>
        <v>1362.7814912498704</v>
      </c>
      <c r="M393" s="306">
        <f t="shared" ca="1" si="190"/>
        <v>-1.1690902576535682</v>
      </c>
      <c r="N393" s="304">
        <f t="shared" ca="1" si="191"/>
        <v>-66.983937633411443</v>
      </c>
      <c r="P393" s="310">
        <f t="shared" ca="1" si="192"/>
        <v>23</v>
      </c>
      <c r="Q393" s="304">
        <f t="shared" ca="1" si="193"/>
        <v>0</v>
      </c>
      <c r="R393" s="306">
        <f t="shared" ca="1" si="194"/>
        <v>0</v>
      </c>
      <c r="S393" s="307">
        <f t="shared" ca="1" si="195"/>
        <v>7.4499999999999984</v>
      </c>
      <c r="T393" s="304">
        <f t="shared" ca="1" si="175"/>
        <v>73.084499999999991</v>
      </c>
      <c r="U393" s="311">
        <f t="shared" ca="1" si="176"/>
        <v>0</v>
      </c>
      <c r="V393" s="306">
        <f t="shared" ca="1" si="177"/>
        <v>1.0812937638695213</v>
      </c>
      <c r="W393" s="304">
        <f t="shared" ca="1" si="178"/>
        <v>10.14782996987169</v>
      </c>
      <c r="Y393" s="314" t="str">
        <f t="shared" ca="1" si="196"/>
        <v/>
      </c>
      <c r="Z393" s="315" t="str">
        <f t="shared" ca="1" si="197"/>
        <v/>
      </c>
      <c r="AA393" s="316" t="str">
        <f t="shared" ca="1" si="198"/>
        <v/>
      </c>
      <c r="AC393" s="310" t="e">
        <f t="shared" ca="1" si="199"/>
        <v>#N/A</v>
      </c>
      <c r="AD393" s="323" t="e">
        <f t="shared" ca="1" si="200"/>
        <v>#N/A</v>
      </c>
      <c r="AE393" s="324" t="e">
        <f t="shared" ca="1" si="179"/>
        <v>#N/A</v>
      </c>
      <c r="AG393" s="306">
        <f t="shared" ca="1" si="201"/>
        <v>7.6782846297296397</v>
      </c>
      <c r="AH393" s="304">
        <f t="shared" ca="1" si="202"/>
        <v>-1.322568152800488</v>
      </c>
    </row>
    <row r="394" spans="1:34" x14ac:dyDescent="0.2">
      <c r="A394" s="347">
        <f t="shared" ca="1" si="180"/>
        <v>0.1</v>
      </c>
      <c r="B394" s="304">
        <f t="shared" ca="1" si="181"/>
        <v>21.000000000000032</v>
      </c>
      <c r="D394" s="306">
        <f t="shared" ca="1" si="182"/>
        <v>-0.53257605402929753</v>
      </c>
      <c r="E394" s="307">
        <f t="shared" ca="1" si="183"/>
        <v>-8.55630673839506</v>
      </c>
      <c r="F394" s="304">
        <f t="shared" ca="1" si="184"/>
        <v>8.5728654634742831</v>
      </c>
      <c r="G394" s="306">
        <f t="shared" ca="1" si="185"/>
        <v>20.854024063731845</v>
      </c>
      <c r="H394" s="307">
        <f t="shared" ca="1" si="186"/>
        <v>-50.071734080600713</v>
      </c>
      <c r="I394" s="304">
        <f t="shared" ca="1" si="187"/>
        <v>54.24084137888255</v>
      </c>
      <c r="J394" s="306">
        <f t="shared" ca="1" si="188"/>
        <v>553.57314134042656</v>
      </c>
      <c r="K394" s="307">
        <f t="shared" ca="1" si="189"/>
        <v>1241.2449018572963</v>
      </c>
      <c r="L394" s="304">
        <f t="shared" ca="1" si="174"/>
        <v>1359.0923917086127</v>
      </c>
      <c r="M394" s="306">
        <f t="shared" ca="1" si="190"/>
        <v>-1.1761617477214719</v>
      </c>
      <c r="N394" s="304">
        <f t="shared" ca="1" si="191"/>
        <v>-67.389104169171006</v>
      </c>
      <c r="P394" s="310">
        <f t="shared" ca="1" si="192"/>
        <v>23</v>
      </c>
      <c r="Q394" s="304">
        <f t="shared" ca="1" si="193"/>
        <v>0</v>
      </c>
      <c r="R394" s="306">
        <f t="shared" ca="1" si="194"/>
        <v>0</v>
      </c>
      <c r="S394" s="307">
        <f t="shared" ca="1" si="195"/>
        <v>7.4499999999999984</v>
      </c>
      <c r="T394" s="304">
        <f t="shared" ca="1" si="175"/>
        <v>73.084499999999991</v>
      </c>
      <c r="U394" s="311">
        <f t="shared" ca="1" si="176"/>
        <v>0</v>
      </c>
      <c r="V394" s="306">
        <f t="shared" ca="1" si="177"/>
        <v>1.0818327787000626</v>
      </c>
      <c r="W394" s="304">
        <f t="shared" ca="1" si="178"/>
        <v>10.446643333467289</v>
      </c>
      <c r="Y394" s="314" t="str">
        <f t="shared" ca="1" si="196"/>
        <v/>
      </c>
      <c r="Z394" s="315" t="str">
        <f t="shared" ca="1" si="197"/>
        <v/>
      </c>
      <c r="AA394" s="316" t="str">
        <f t="shared" ca="1" si="198"/>
        <v/>
      </c>
      <c r="AC394" s="310">
        <f t="shared" ca="1" si="199"/>
        <v>21.000000000000032</v>
      </c>
      <c r="AD394" s="323">
        <f t="shared" ca="1" si="200"/>
        <v>553.57314134042656</v>
      </c>
      <c r="AE394" s="324" t="e">
        <f t="shared" ca="1" si="179"/>
        <v>#N/A</v>
      </c>
      <c r="AG394" s="306">
        <f t="shared" ca="1" si="201"/>
        <v>7.6669528613251972</v>
      </c>
      <c r="AH394" s="304">
        <f t="shared" ca="1" si="202"/>
        <v>-1.362124828170697</v>
      </c>
    </row>
    <row r="395" spans="1:34" x14ac:dyDescent="0.2">
      <c r="A395" s="347">
        <f t="shared" ca="1" si="180"/>
        <v>0.1</v>
      </c>
      <c r="B395" s="304">
        <f t="shared" ca="1" si="181"/>
        <v>21.100000000000033</v>
      </c>
      <c r="D395" s="306">
        <f t="shared" ca="1" si="182"/>
        <v>-0.53911814288429016</v>
      </c>
      <c r="E395" s="307">
        <f t="shared" ca="1" si="183"/>
        <v>-8.5155457399477665</v>
      </c>
      <c r="F395" s="304">
        <f t="shared" ca="1" si="184"/>
        <v>8.5325944249758852</v>
      </c>
      <c r="G395" s="306">
        <f t="shared" ca="1" si="185"/>
        <v>20.800112249443416</v>
      </c>
      <c r="H395" s="307">
        <f t="shared" ca="1" si="186"/>
        <v>-50.923288654595488</v>
      </c>
      <c r="I395" s="304">
        <f t="shared" ca="1" si="187"/>
        <v>55.007508551003284</v>
      </c>
      <c r="J395" s="306">
        <f t="shared" ca="1" si="188"/>
        <v>555.65584815608531</v>
      </c>
      <c r="K395" s="307">
        <f t="shared" ca="1" si="189"/>
        <v>1236.1951507205365</v>
      </c>
      <c r="L395" s="304">
        <f t="shared" ca="1" si="174"/>
        <v>1355.3345978964119</v>
      </c>
      <c r="M395" s="306">
        <f t="shared" ca="1" si="190"/>
        <v>-1.1830184278262308</v>
      </c>
      <c r="N395" s="304">
        <f t="shared" ca="1" si="191"/>
        <v>-67.781963000645007</v>
      </c>
      <c r="P395" s="310">
        <f t="shared" ca="1" si="192"/>
        <v>23</v>
      </c>
      <c r="Q395" s="304">
        <f t="shared" ca="1" si="193"/>
        <v>0</v>
      </c>
      <c r="R395" s="306">
        <f t="shared" ca="1" si="194"/>
        <v>0</v>
      </c>
      <c r="S395" s="307">
        <f t="shared" ca="1" si="195"/>
        <v>7.4499999999999984</v>
      </c>
      <c r="T395" s="304">
        <f t="shared" ca="1" si="175"/>
        <v>73.084499999999991</v>
      </c>
      <c r="U395" s="311">
        <f t="shared" ca="1" si="176"/>
        <v>0</v>
      </c>
      <c r="V395" s="306">
        <f t="shared" ca="1" si="177"/>
        <v>1.0823813200637049</v>
      </c>
      <c r="W395" s="304">
        <f t="shared" ca="1" si="178"/>
        <v>10.749494316336678</v>
      </c>
      <c r="Y395" s="314" t="str">
        <f t="shared" ca="1" si="196"/>
        <v/>
      </c>
      <c r="Z395" s="315" t="str">
        <f t="shared" ca="1" si="197"/>
        <v/>
      </c>
      <c r="AA395" s="316" t="str">
        <f t="shared" ca="1" si="198"/>
        <v/>
      </c>
      <c r="AC395" s="310" t="e">
        <f t="shared" ca="1" si="199"/>
        <v>#N/A</v>
      </c>
      <c r="AD395" s="323" t="e">
        <f t="shared" ca="1" si="200"/>
        <v>#N/A</v>
      </c>
      <c r="AE395" s="324" t="e">
        <f t="shared" ca="1" si="179"/>
        <v>#N/A</v>
      </c>
      <c r="AG395" s="306">
        <f t="shared" ca="1" si="201"/>
        <v>7.6537411397637509</v>
      </c>
      <c r="AH395" s="304">
        <f t="shared" ca="1" si="202"/>
        <v>-1.4022340044922539</v>
      </c>
    </row>
    <row r="396" spans="1:34" x14ac:dyDescent="0.2">
      <c r="A396" s="347">
        <f t="shared" ca="1" si="180"/>
        <v>0.1</v>
      </c>
      <c r="B396" s="304">
        <f t="shared" ca="1" si="181"/>
        <v>21.200000000000035</v>
      </c>
      <c r="D396" s="306">
        <f t="shared" ca="1" si="182"/>
        <v>-0.54560138662490998</v>
      </c>
      <c r="E396" s="307">
        <f t="shared" ca="1" si="183"/>
        <v>-8.4742467805820958</v>
      </c>
      <c r="F396" s="304">
        <f t="shared" ca="1" si="184"/>
        <v>8.4917924710447927</v>
      </c>
      <c r="G396" s="306">
        <f t="shared" ca="1" si="185"/>
        <v>20.745552110780924</v>
      </c>
      <c r="H396" s="307">
        <f t="shared" ca="1" si="186"/>
        <v>-51.770713332653699</v>
      </c>
      <c r="I396" s="304">
        <f t="shared" ca="1" si="187"/>
        <v>55.772615962969986</v>
      </c>
      <c r="J396" s="306">
        <f t="shared" ca="1" si="188"/>
        <v>557.7331313740965</v>
      </c>
      <c r="K396" s="307">
        <f t="shared" ca="1" si="189"/>
        <v>1231.0604506211741</v>
      </c>
      <c r="L396" s="304">
        <f t="shared" ca="1" si="174"/>
        <v>1351.5088157004243</v>
      </c>
      <c r="M396" s="306">
        <f t="shared" ca="1" si="190"/>
        <v>-1.1896695495797369</v>
      </c>
      <c r="N396" s="304">
        <f t="shared" ca="1" si="191"/>
        <v>-68.16304420614857</v>
      </c>
      <c r="P396" s="310">
        <f t="shared" ca="1" si="192"/>
        <v>23</v>
      </c>
      <c r="Q396" s="304">
        <f t="shared" ca="1" si="193"/>
        <v>0</v>
      </c>
      <c r="R396" s="306">
        <f t="shared" ca="1" si="194"/>
        <v>0</v>
      </c>
      <c r="S396" s="307">
        <f t="shared" ca="1" si="195"/>
        <v>7.4499999999999984</v>
      </c>
      <c r="T396" s="304">
        <f t="shared" ca="1" si="175"/>
        <v>73.084499999999991</v>
      </c>
      <c r="U396" s="311">
        <f t="shared" ca="1" si="176"/>
        <v>0</v>
      </c>
      <c r="V396" s="306">
        <f t="shared" ca="1" si="177"/>
        <v>1.0829393567722787</v>
      </c>
      <c r="W396" s="304">
        <f t="shared" ca="1" si="178"/>
        <v>11.056303803434622</v>
      </c>
      <c r="Y396" s="314" t="str">
        <f t="shared" ca="1" si="196"/>
        <v/>
      </c>
      <c r="Z396" s="315" t="str">
        <f t="shared" ca="1" si="197"/>
        <v/>
      </c>
      <c r="AA396" s="316" t="str">
        <f t="shared" ca="1" si="198"/>
        <v/>
      </c>
      <c r="AC396" s="310" t="e">
        <f t="shared" ca="1" si="199"/>
        <v>#N/A</v>
      </c>
      <c r="AD396" s="323" t="e">
        <f t="shared" ca="1" si="200"/>
        <v>#N/A</v>
      </c>
      <c r="AE396" s="324" t="e">
        <f t="shared" ca="1" si="179"/>
        <v>#N/A</v>
      </c>
      <c r="AG396" s="306">
        <f t="shared" ca="1" si="201"/>
        <v>7.6387379817976617</v>
      </c>
      <c r="AH396" s="304">
        <f t="shared" ca="1" si="202"/>
        <v>-1.4428851431324403</v>
      </c>
    </row>
    <row r="397" spans="1:34" x14ac:dyDescent="0.2">
      <c r="A397" s="347">
        <f t="shared" ca="1" si="180"/>
        <v>0.1</v>
      </c>
      <c r="B397" s="304">
        <f t="shared" ca="1" si="181"/>
        <v>21.300000000000036</v>
      </c>
      <c r="D397" s="306">
        <f t="shared" ca="1" si="182"/>
        <v>-0.55202363581012637</v>
      </c>
      <c r="E397" s="307">
        <f t="shared" ca="1" si="183"/>
        <v>-8.4324200132266576</v>
      </c>
      <c r="F397" s="304">
        <f t="shared" ca="1" si="184"/>
        <v>8.4504696540463655</v>
      </c>
      <c r="G397" s="306">
        <f t="shared" ca="1" si="185"/>
        <v>20.69034974719991</v>
      </c>
      <c r="H397" s="307">
        <f t="shared" ca="1" si="186"/>
        <v>-52.613955333976364</v>
      </c>
      <c r="I397" s="304">
        <f t="shared" ca="1" si="187"/>
        <v>56.535996219639706</v>
      </c>
      <c r="J397" s="306">
        <f t="shared" ca="1" si="188"/>
        <v>559.80492646699554</v>
      </c>
      <c r="K397" s="307">
        <f t="shared" ca="1" si="189"/>
        <v>1225.8412171878426</v>
      </c>
      <c r="L397" s="304">
        <f t="shared" ca="1" si="174"/>
        <v>1347.6157632846573</v>
      </c>
      <c r="M397" s="306">
        <f t="shared" ca="1" si="190"/>
        <v>-1.1961238764475819</v>
      </c>
      <c r="N397" s="304">
        <f t="shared" ca="1" si="191"/>
        <v>-68.532849895273969</v>
      </c>
      <c r="P397" s="310">
        <f t="shared" ca="1" si="192"/>
        <v>23</v>
      </c>
      <c r="Q397" s="304">
        <f t="shared" ca="1" si="193"/>
        <v>0</v>
      </c>
      <c r="R397" s="306">
        <f t="shared" ca="1" si="194"/>
        <v>0</v>
      </c>
      <c r="S397" s="307">
        <f t="shared" ca="1" si="195"/>
        <v>7.4499999999999984</v>
      </c>
      <c r="T397" s="304">
        <f t="shared" ca="1" si="175"/>
        <v>73.084499999999991</v>
      </c>
      <c r="U397" s="311">
        <f t="shared" ca="1" si="176"/>
        <v>0</v>
      </c>
      <c r="V397" s="306">
        <f t="shared" ca="1" si="177"/>
        <v>1.0835068572133548</v>
      </c>
      <c r="W397" s="304">
        <f t="shared" ca="1" si="178"/>
        <v>11.366992114892133</v>
      </c>
      <c r="Y397" s="314" t="str">
        <f t="shared" ca="1" si="196"/>
        <v/>
      </c>
      <c r="Z397" s="315" t="str">
        <f t="shared" ca="1" si="197"/>
        <v/>
      </c>
      <c r="AA397" s="316" t="str">
        <f t="shared" ca="1" si="198"/>
        <v/>
      </c>
      <c r="AC397" s="310" t="e">
        <f t="shared" ca="1" si="199"/>
        <v>#N/A</v>
      </c>
      <c r="AD397" s="323" t="e">
        <f t="shared" ca="1" si="200"/>
        <v>#N/A</v>
      </c>
      <c r="AE397" s="324" t="e">
        <f t="shared" ca="1" si="179"/>
        <v>#N/A</v>
      </c>
      <c r="AG397" s="306">
        <f t="shared" ca="1" si="201"/>
        <v>7.6220266301378317</v>
      </c>
      <c r="AH397" s="304">
        <f t="shared" ca="1" si="202"/>
        <v>-1.4840676246220972</v>
      </c>
    </row>
    <row r="398" spans="1:34" x14ac:dyDescent="0.2">
      <c r="A398" s="347">
        <f t="shared" ca="1" si="180"/>
        <v>0.1</v>
      </c>
      <c r="B398" s="304">
        <f t="shared" ca="1" si="181"/>
        <v>21.400000000000038</v>
      </c>
      <c r="D398" s="306">
        <f t="shared" ca="1" si="182"/>
        <v>-0.55838284700916352</v>
      </c>
      <c r="E398" s="307">
        <f t="shared" ca="1" si="183"/>
        <v>-8.3900757101375447</v>
      </c>
      <c r="F398" s="304">
        <f t="shared" ca="1" si="184"/>
        <v>8.4086361453968319</v>
      </c>
      <c r="G398" s="306">
        <f t="shared" ca="1" si="185"/>
        <v>20.634511462498995</v>
      </c>
      <c r="H398" s="307">
        <f t="shared" ca="1" si="186"/>
        <v>-53.452962904990116</v>
      </c>
      <c r="I398" s="304">
        <f t="shared" ca="1" si="187"/>
        <v>57.297489531551484</v>
      </c>
      <c r="J398" s="306">
        <f t="shared" ca="1" si="188"/>
        <v>561.87116952748045</v>
      </c>
      <c r="K398" s="307">
        <f t="shared" ca="1" si="189"/>
        <v>1220.5378712758943</v>
      </c>
      <c r="L398" s="304">
        <f t="shared" ca="1" si="174"/>
        <v>1343.6561711854972</v>
      </c>
      <c r="M398" s="306">
        <f t="shared" ca="1" si="190"/>
        <v>-1.2023897126546355</v>
      </c>
      <c r="N398" s="304">
        <f t="shared" ca="1" si="191"/>
        <v>-68.891855865058403</v>
      </c>
      <c r="P398" s="310">
        <f t="shared" ca="1" si="192"/>
        <v>23</v>
      </c>
      <c r="Q398" s="304">
        <f t="shared" ca="1" si="193"/>
        <v>0</v>
      </c>
      <c r="R398" s="306">
        <f t="shared" ca="1" si="194"/>
        <v>0</v>
      </c>
      <c r="S398" s="307">
        <f t="shared" ca="1" si="195"/>
        <v>7.4499999999999984</v>
      </c>
      <c r="T398" s="304">
        <f t="shared" ca="1" si="175"/>
        <v>73.084499999999991</v>
      </c>
      <c r="U398" s="311">
        <f t="shared" ca="1" si="176"/>
        <v>0</v>
      </c>
      <c r="V398" s="306">
        <f t="shared" ca="1" si="177"/>
        <v>1.0840837893570252</v>
      </c>
      <c r="W398" s="304">
        <f t="shared" ca="1" si="178"/>
        <v>11.681479043514182</v>
      </c>
      <c r="Y398" s="314" t="str">
        <f t="shared" ca="1" si="196"/>
        <v/>
      </c>
      <c r="Z398" s="315" t="str">
        <f t="shared" ca="1" si="197"/>
        <v/>
      </c>
      <c r="AA398" s="316" t="str">
        <f t="shared" ca="1" si="198"/>
        <v/>
      </c>
      <c r="AC398" s="310" t="e">
        <f t="shared" ca="1" si="199"/>
        <v>#N/A</v>
      </c>
      <c r="AD398" s="323" t="e">
        <f t="shared" ca="1" si="200"/>
        <v>#N/A</v>
      </c>
      <c r="AE398" s="324" t="e">
        <f t="shared" ca="1" si="179"/>
        <v>#N/A</v>
      </c>
      <c r="AG398" s="306">
        <f t="shared" ca="1" si="201"/>
        <v>7.6036854572143504</v>
      </c>
      <c r="AH398" s="304">
        <f t="shared" ca="1" si="202"/>
        <v>-1.5257707536767966</v>
      </c>
    </row>
    <row r="399" spans="1:34" x14ac:dyDescent="0.2">
      <c r="A399" s="347">
        <f t="shared" ca="1" si="180"/>
        <v>0.1</v>
      </c>
      <c r="B399" s="304">
        <f t="shared" ca="1" si="181"/>
        <v>21.500000000000039</v>
      </c>
      <c r="D399" s="306">
        <f t="shared" ca="1" si="182"/>
        <v>-0.56467707783604981</v>
      </c>
      <c r="E399" s="307">
        <f t="shared" ca="1" si="183"/>
        <v>-8.347224254147033</v>
      </c>
      <c r="F399" s="304">
        <f t="shared" ca="1" si="184"/>
        <v>8.3663022268654608</v>
      </c>
      <c r="G399" s="306">
        <f t="shared" ca="1" si="185"/>
        <v>20.578043754715392</v>
      </c>
      <c r="H399" s="307">
        <f t="shared" ca="1" si="186"/>
        <v>-54.28768533040482</v>
      </c>
      <c r="I399" s="304">
        <f t="shared" ca="1" si="187"/>
        <v>58.056943282470804</v>
      </c>
      <c r="J399" s="306">
        <f t="shared" ca="1" si="188"/>
        <v>563.93179728834116</v>
      </c>
      <c r="K399" s="307">
        <f t="shared" ca="1" si="189"/>
        <v>1215.1508388641246</v>
      </c>
      <c r="L399" s="304">
        <f t="shared" ca="1" si="174"/>
        <v>1339.6307824117227</v>
      </c>
      <c r="M399" s="306">
        <f t="shared" ca="1" si="190"/>
        <v>-1.2084749303361415</v>
      </c>
      <c r="N399" s="304">
        <f t="shared" ca="1" si="191"/>
        <v>-69.240513155627085</v>
      </c>
      <c r="P399" s="310">
        <f t="shared" ca="1" si="192"/>
        <v>23</v>
      </c>
      <c r="Q399" s="304">
        <f t="shared" ca="1" si="193"/>
        <v>0</v>
      </c>
      <c r="R399" s="306">
        <f t="shared" ca="1" si="194"/>
        <v>0</v>
      </c>
      <c r="S399" s="307">
        <f t="shared" ca="1" si="195"/>
        <v>7.4499999999999984</v>
      </c>
      <c r="T399" s="304">
        <f t="shared" ca="1" si="175"/>
        <v>73.084499999999991</v>
      </c>
      <c r="U399" s="311">
        <f t="shared" ca="1" si="176"/>
        <v>0</v>
      </c>
      <c r="V399" s="306">
        <f t="shared" ca="1" si="177"/>
        <v>1.0846701207627851</v>
      </c>
      <c r="W399" s="304">
        <f t="shared" ca="1" si="178"/>
        <v>11.999683892327772</v>
      </c>
      <c r="Y399" s="314" t="str">
        <f t="shared" ca="1" si="196"/>
        <v/>
      </c>
      <c r="Z399" s="315" t="str">
        <f t="shared" ca="1" si="197"/>
        <v/>
      </c>
      <c r="AA399" s="316" t="str">
        <f t="shared" ca="1" si="198"/>
        <v/>
      </c>
      <c r="AC399" s="310" t="e">
        <f t="shared" ca="1" si="199"/>
        <v>#N/A</v>
      </c>
      <c r="AD399" s="323" t="e">
        <f t="shared" ca="1" si="200"/>
        <v>#N/A</v>
      </c>
      <c r="AE399" s="324" t="e">
        <f t="shared" ca="1" si="179"/>
        <v>#N/A</v>
      </c>
      <c r="AG399" s="306">
        <f t="shared" ca="1" si="201"/>
        <v>7.5837883358232814</v>
      </c>
      <c r="AH399" s="304">
        <f t="shared" ca="1" si="202"/>
        <v>-1.5679837642300918</v>
      </c>
    </row>
    <row r="400" spans="1:34" x14ac:dyDescent="0.2">
      <c r="A400" s="347">
        <f t="shared" ca="1" si="180"/>
        <v>0.1</v>
      </c>
      <c r="B400" s="304">
        <f t="shared" ca="1" si="181"/>
        <v>21.600000000000041</v>
      </c>
      <c r="D400" s="306">
        <f t="shared" ca="1" si="182"/>
        <v>-0.57090448235088376</v>
      </c>
      <c r="E400" s="307">
        <f t="shared" ca="1" si="183"/>
        <v>-8.3038761302574997</v>
      </c>
      <c r="F400" s="304">
        <f t="shared" ca="1" si="184"/>
        <v>8.3234782822224389</v>
      </c>
      <c r="G400" s="306">
        <f t="shared" ca="1" si="185"/>
        <v>20.520953306480305</v>
      </c>
      <c r="H400" s="307">
        <f t="shared" ca="1" si="186"/>
        <v>-55.118072943430569</v>
      </c>
      <c r="I400" s="304">
        <f t="shared" ca="1" si="187"/>
        <v>58.814211629537958</v>
      </c>
      <c r="J400" s="306">
        <f t="shared" ca="1" si="188"/>
        <v>565.986747141401</v>
      </c>
      <c r="K400" s="307">
        <f t="shared" ca="1" si="189"/>
        <v>1209.6805509504329</v>
      </c>
      <c r="L400" s="304">
        <f t="shared" ca="1" si="174"/>
        <v>1335.540352549277</v>
      </c>
      <c r="M400" s="306">
        <f t="shared" ca="1" si="190"/>
        <v>-1.2143869950247337</v>
      </c>
      <c r="N400" s="304">
        <f t="shared" ca="1" si="191"/>
        <v>-69.579249510491735</v>
      </c>
      <c r="P400" s="310">
        <f t="shared" ca="1" si="192"/>
        <v>23</v>
      </c>
      <c r="Q400" s="304">
        <f t="shared" ca="1" si="193"/>
        <v>0</v>
      </c>
      <c r="R400" s="306">
        <f t="shared" ca="1" si="194"/>
        <v>0</v>
      </c>
      <c r="S400" s="307">
        <f t="shared" ca="1" si="195"/>
        <v>7.4499999999999984</v>
      </c>
      <c r="T400" s="304">
        <f t="shared" ca="1" si="175"/>
        <v>73.084499999999991</v>
      </c>
      <c r="U400" s="311">
        <f t="shared" ca="1" si="176"/>
        <v>0</v>
      </c>
      <c r="V400" s="306">
        <f t="shared" ca="1" si="177"/>
        <v>1.0852658185865154</v>
      </c>
      <c r="W400" s="304">
        <f t="shared" ca="1" si="178"/>
        <v>12.321525512142415</v>
      </c>
      <c r="Y400" s="314" t="str">
        <f t="shared" ca="1" si="196"/>
        <v/>
      </c>
      <c r="Z400" s="315" t="str">
        <f t="shared" ca="1" si="197"/>
        <v/>
      </c>
      <c r="AA400" s="316" t="str">
        <f t="shared" ca="1" si="198"/>
        <v/>
      </c>
      <c r="AC400" s="310" t="e">
        <f t="shared" ca="1" si="199"/>
        <v>#N/A</v>
      </c>
      <c r="AD400" s="323" t="e">
        <f t="shared" ca="1" si="200"/>
        <v>#N/A</v>
      </c>
      <c r="AE400" s="324" t="e">
        <f t="shared" ca="1" si="179"/>
        <v>#N/A</v>
      </c>
      <c r="AG400" s="306">
        <f t="shared" ca="1" si="201"/>
        <v>7.5624049793379688</v>
      </c>
      <c r="AH400" s="304">
        <f t="shared" ca="1" si="202"/>
        <v>-1.6106958244735268</v>
      </c>
    </row>
    <row r="401" spans="1:34" x14ac:dyDescent="0.2">
      <c r="A401" s="347">
        <f t="shared" ca="1" si="180"/>
        <v>0.1</v>
      </c>
      <c r="B401" s="304">
        <f t="shared" ca="1" si="181"/>
        <v>21.700000000000042</v>
      </c>
      <c r="D401" s="306">
        <f t="shared" ca="1" si="182"/>
        <v>-0.57706330679645734</v>
      </c>
      <c r="E401" s="307">
        <f t="shared" ca="1" si="183"/>
        <v>-8.2600419175487243</v>
      </c>
      <c r="F401" s="304">
        <f t="shared" ca="1" si="184"/>
        <v>8.2801747892005793</v>
      </c>
      <c r="G401" s="306">
        <f t="shared" ca="1" si="185"/>
        <v>20.463246975800658</v>
      </c>
      <c r="H401" s="307">
        <f t="shared" ca="1" si="186"/>
        <v>-55.944077135185438</v>
      </c>
      <c r="I401" s="304">
        <f t="shared" ca="1" si="187"/>
        <v>59.569155133342228</v>
      </c>
      <c r="J401" s="306">
        <f t="shared" ca="1" si="188"/>
        <v>568.03595715551501</v>
      </c>
      <c r="K401" s="307">
        <f t="shared" ca="1" si="189"/>
        <v>1204.1274434465022</v>
      </c>
      <c r="L401" s="304">
        <f t="shared" ca="1" si="174"/>
        <v>1331.3856498710625</v>
      </c>
      <c r="M401" s="306">
        <f t="shared" ca="1" si="190"/>
        <v>-1.2201329895634145</v>
      </c>
      <c r="N401" s="304">
        <f t="shared" ca="1" si="191"/>
        <v>-69.908470746663369</v>
      </c>
      <c r="P401" s="310">
        <f t="shared" ca="1" si="192"/>
        <v>23</v>
      </c>
      <c r="Q401" s="304">
        <f t="shared" ca="1" si="193"/>
        <v>0</v>
      </c>
      <c r="R401" s="306">
        <f t="shared" ca="1" si="194"/>
        <v>0</v>
      </c>
      <c r="S401" s="307">
        <f t="shared" ca="1" si="195"/>
        <v>7.4499999999999984</v>
      </c>
      <c r="T401" s="304">
        <f t="shared" ca="1" si="175"/>
        <v>73.084499999999991</v>
      </c>
      <c r="U401" s="311">
        <f t="shared" ca="1" si="176"/>
        <v>0</v>
      </c>
      <c r="V401" s="306">
        <f t="shared" ca="1" si="177"/>
        <v>1.0858708495875549</v>
      </c>
      <c r="W401" s="304">
        <f t="shared" ca="1" si="178"/>
        <v>12.646922339086041</v>
      </c>
      <c r="Y401" s="314" t="str">
        <f t="shared" ca="1" si="196"/>
        <v/>
      </c>
      <c r="Z401" s="315" t="str">
        <f t="shared" ca="1" si="197"/>
        <v/>
      </c>
      <c r="AA401" s="316" t="str">
        <f t="shared" ca="1" si="198"/>
        <v/>
      </c>
      <c r="AC401" s="310" t="e">
        <f t="shared" ca="1" si="199"/>
        <v>#N/A</v>
      </c>
      <c r="AD401" s="323" t="e">
        <f t="shared" ca="1" si="200"/>
        <v>#N/A</v>
      </c>
      <c r="AE401" s="324" t="e">
        <f t="shared" ca="1" si="179"/>
        <v>#N/A</v>
      </c>
      <c r="AG401" s="306">
        <f t="shared" ca="1" si="201"/>
        <v>7.5396012539745927</v>
      </c>
      <c r="AH401" s="304">
        <f t="shared" ca="1" si="202"/>
        <v>-1.6538960418983111</v>
      </c>
    </row>
    <row r="402" spans="1:34" x14ac:dyDescent="0.2">
      <c r="A402" s="347">
        <f t="shared" ca="1" si="180"/>
        <v>0.1</v>
      </c>
      <c r="B402" s="304">
        <f t="shared" ca="1" si="181"/>
        <v>21.800000000000043</v>
      </c>
      <c r="D402" s="306">
        <f t="shared" ca="1" si="182"/>
        <v>-0.58315188564148979</v>
      </c>
      <c r="E402" s="307">
        <f t="shared" ca="1" si="183"/>
        <v>-8.2157322813707623</v>
      </c>
      <c r="F402" s="304">
        <f t="shared" ca="1" si="184"/>
        <v>8.2364023117429639</v>
      </c>
      <c r="G402" s="306">
        <f t="shared" ca="1" si="185"/>
        <v>20.40493178723651</v>
      </c>
      <c r="H402" s="307">
        <f t="shared" ca="1" si="186"/>
        <v>-56.765650363322514</v>
      </c>
      <c r="I402" s="304">
        <f t="shared" ca="1" si="187"/>
        <v>60.321640415465765</v>
      </c>
      <c r="J402" s="306">
        <f t="shared" ca="1" si="188"/>
        <v>570.07936609366686</v>
      </c>
      <c r="K402" s="307">
        <f t="shared" ca="1" si="189"/>
        <v>1198.4919570715767</v>
      </c>
      <c r="L402" s="304">
        <f t="shared" ca="1" si="174"/>
        <v>1327.1674554520296</v>
      </c>
      <c r="M402" s="306">
        <f t="shared" ca="1" si="190"/>
        <v>-1.2257196365330645</v>
      </c>
      <c r="N402" s="304">
        <f t="shared" ca="1" si="191"/>
        <v>-70.228562039653866</v>
      </c>
      <c r="P402" s="310">
        <f t="shared" ca="1" si="192"/>
        <v>23</v>
      </c>
      <c r="Q402" s="304">
        <f t="shared" ca="1" si="193"/>
        <v>0</v>
      </c>
      <c r="R402" s="306">
        <f t="shared" ca="1" si="194"/>
        <v>0</v>
      </c>
      <c r="S402" s="307">
        <f t="shared" ca="1" si="195"/>
        <v>7.4499999999999984</v>
      </c>
      <c r="T402" s="304">
        <f t="shared" ca="1" si="175"/>
        <v>73.084499999999991</v>
      </c>
      <c r="U402" s="311">
        <f t="shared" ca="1" si="176"/>
        <v>0</v>
      </c>
      <c r="V402" s="306">
        <f t="shared" ca="1" si="177"/>
        <v>1.0864851801358522</v>
      </c>
      <c r="W402" s="304">
        <f t="shared" ca="1" si="178"/>
        <v>12.97579243208078</v>
      </c>
      <c r="Y402" s="314" t="str">
        <f t="shared" ca="1" si="196"/>
        <v/>
      </c>
      <c r="Z402" s="315" t="str">
        <f t="shared" ca="1" si="197"/>
        <v/>
      </c>
      <c r="AA402" s="316" t="str">
        <f t="shared" ca="1" si="198"/>
        <v/>
      </c>
      <c r="AC402" s="310" t="e">
        <f t="shared" ca="1" si="199"/>
        <v>#N/A</v>
      </c>
      <c r="AD402" s="323" t="e">
        <f t="shared" ca="1" si="200"/>
        <v>#N/A</v>
      </c>
      <c r="AE402" s="324" t="e">
        <f t="shared" ca="1" si="179"/>
        <v>#N/A</v>
      </c>
      <c r="AG402" s="306">
        <f t="shared" ca="1" si="201"/>
        <v>7.5154394654184351</v>
      </c>
      <c r="AH402" s="304">
        <f t="shared" ca="1" si="202"/>
        <v>-1.6975734683336972</v>
      </c>
    </row>
    <row r="403" spans="1:34" x14ac:dyDescent="0.2">
      <c r="A403" s="347">
        <f t="shared" ca="1" si="180"/>
        <v>0.1</v>
      </c>
      <c r="B403" s="304">
        <f t="shared" ca="1" si="181"/>
        <v>21.900000000000045</v>
      </c>
      <c r="D403" s="306">
        <f t="shared" ca="1" si="182"/>
        <v>-0.58916863790416141</v>
      </c>
      <c r="E403" s="307">
        <f t="shared" ca="1" si="183"/>
        <v>-8.1709579657981273</v>
      </c>
      <c r="F403" s="304">
        <f t="shared" ca="1" si="184"/>
        <v>8.1921714925122089</v>
      </c>
      <c r="G403" s="306">
        <f t="shared" ca="1" si="185"/>
        <v>20.346014923446095</v>
      </c>
      <c r="H403" s="307">
        <f t="shared" ca="1" si="186"/>
        <v>-57.582746159902328</v>
      </c>
      <c r="I403" s="304">
        <f t="shared" ca="1" si="187"/>
        <v>61.07153984124551</v>
      </c>
      <c r="J403" s="306">
        <f t="shared" ca="1" si="188"/>
        <v>572.11691342920096</v>
      </c>
      <c r="K403" s="307">
        <f t="shared" ca="1" si="189"/>
        <v>1192.7745372454156</v>
      </c>
      <c r="L403" s="304">
        <f t="shared" ca="1" si="174"/>
        <v>1322.8865632898276</v>
      </c>
      <c r="M403" s="306">
        <f t="shared" ca="1" si="190"/>
        <v>-1.2311533192807596</v>
      </c>
      <c r="N403" s="304">
        <f t="shared" ca="1" si="191"/>
        <v>-70.539889128309838</v>
      </c>
      <c r="P403" s="310">
        <f t="shared" ca="1" si="192"/>
        <v>23</v>
      </c>
      <c r="Q403" s="304">
        <f t="shared" ca="1" si="193"/>
        <v>0</v>
      </c>
      <c r="R403" s="306">
        <f t="shared" ca="1" si="194"/>
        <v>0</v>
      </c>
      <c r="S403" s="307">
        <f t="shared" ca="1" si="195"/>
        <v>7.4499999999999984</v>
      </c>
      <c r="T403" s="304">
        <f t="shared" ca="1" si="175"/>
        <v>73.084499999999991</v>
      </c>
      <c r="U403" s="311">
        <f t="shared" ca="1" si="176"/>
        <v>0</v>
      </c>
      <c r="V403" s="306">
        <f t="shared" ca="1" si="177"/>
        <v>1.0871087762192038</v>
      </c>
      <c r="W403" s="304">
        <f t="shared" ca="1" si="178"/>
        <v>13.308053510224299</v>
      </c>
      <c r="Y403" s="314" t="str">
        <f t="shared" ca="1" si="196"/>
        <v/>
      </c>
      <c r="Z403" s="315" t="str">
        <f t="shared" ca="1" si="197"/>
        <v/>
      </c>
      <c r="AA403" s="316" t="str">
        <f t="shared" ca="1" si="198"/>
        <v/>
      </c>
      <c r="AC403" s="310" t="e">
        <f t="shared" ca="1" si="199"/>
        <v>#N/A</v>
      </c>
      <c r="AD403" s="323" t="e">
        <f t="shared" ca="1" si="200"/>
        <v>#N/A</v>
      </c>
      <c r="AE403" s="324" t="e">
        <f t="shared" ca="1" si="179"/>
        <v>#N/A</v>
      </c>
      <c r="AG403" s="306">
        <f t="shared" ca="1" si="201"/>
        <v>7.4899786219416171</v>
      </c>
      <c r="AH403" s="304">
        <f t="shared" ca="1" si="202"/>
        <v>-1.7417171049772864</v>
      </c>
    </row>
    <row r="404" spans="1:34" x14ac:dyDescent="0.2">
      <c r="A404" s="347">
        <f t="shared" ca="1" si="180"/>
        <v>0.1</v>
      </c>
      <c r="B404" s="304">
        <f t="shared" ca="1" si="181"/>
        <v>22.000000000000046</v>
      </c>
      <c r="D404" s="306">
        <f t="shared" ca="1" si="182"/>
        <v>-0.59511206373187575</v>
      </c>
      <c r="E404" s="307">
        <f t="shared" ca="1" si="183"/>
        <v>-8.125729786323971</v>
      </c>
      <c r="F404" s="304">
        <f t="shared" ca="1" si="184"/>
        <v>8.1474930456399779</v>
      </c>
      <c r="G404" s="306">
        <f t="shared" ca="1" si="185"/>
        <v>20.286503717072907</v>
      </c>
      <c r="H404" s="307">
        <f t="shared" ca="1" si="186"/>
        <v>-58.395319138534724</v>
      </c>
      <c r="I404" s="304">
        <f t="shared" ca="1" si="187"/>
        <v>61.818731225690264</v>
      </c>
      <c r="J404" s="306">
        <f t="shared" ca="1" si="188"/>
        <v>574.14853936122688</v>
      </c>
      <c r="K404" s="307">
        <f t="shared" ca="1" si="189"/>
        <v>1186.9756339804937</v>
      </c>
      <c r="L404" s="304">
        <f t="shared" ca="1" si="174"/>
        <v>1318.5437804312853</v>
      </c>
      <c r="M404" s="306">
        <f t="shared" ca="1" si="190"/>
        <v>-1.2364401016322804</v>
      </c>
      <c r="N404" s="304">
        <f t="shared" ca="1" si="191"/>
        <v>-70.842799444256229</v>
      </c>
      <c r="P404" s="310">
        <f t="shared" ca="1" si="192"/>
        <v>23</v>
      </c>
      <c r="Q404" s="304">
        <f t="shared" ca="1" si="193"/>
        <v>0</v>
      </c>
      <c r="R404" s="306">
        <f t="shared" ca="1" si="194"/>
        <v>0</v>
      </c>
      <c r="S404" s="307">
        <f t="shared" ca="1" si="195"/>
        <v>7.4499999999999984</v>
      </c>
      <c r="T404" s="304">
        <f t="shared" ca="1" si="175"/>
        <v>73.084499999999991</v>
      </c>
      <c r="U404" s="311">
        <f t="shared" ca="1" si="176"/>
        <v>0</v>
      </c>
      <c r="V404" s="306">
        <f t="shared" ca="1" si="177"/>
        <v>1.0877416034505603</v>
      </c>
      <c r="W404" s="304">
        <f t="shared" ca="1" si="178"/>
        <v>13.643622990043353</v>
      </c>
      <c r="Y404" s="314" t="str">
        <f t="shared" ca="1" si="196"/>
        <v/>
      </c>
      <c r="Z404" s="315" t="str">
        <f t="shared" ca="1" si="197"/>
        <v/>
      </c>
      <c r="AA404" s="316" t="str">
        <f t="shared" ca="1" si="198"/>
        <v/>
      </c>
      <c r="AC404" s="310">
        <f t="shared" ca="1" si="199"/>
        <v>22.000000000000046</v>
      </c>
      <c r="AD404" s="323">
        <f t="shared" ca="1" si="200"/>
        <v>574.14853936122688</v>
      </c>
      <c r="AE404" s="324" t="e">
        <f t="shared" ca="1" si="179"/>
        <v>#N/A</v>
      </c>
      <c r="AG404" s="306">
        <f t="shared" ca="1" si="201"/>
        <v>7.4632746759761988</v>
      </c>
      <c r="AH404" s="304">
        <f t="shared" ca="1" si="202"/>
        <v>-1.786315907412658</v>
      </c>
    </row>
    <row r="405" spans="1:34" x14ac:dyDescent="0.2">
      <c r="A405" s="347">
        <f t="shared" ca="1" si="180"/>
        <v>0.1</v>
      </c>
      <c r="B405" s="304">
        <f t="shared" ca="1" si="181"/>
        <v>22.100000000000048</v>
      </c>
      <c r="D405" s="306">
        <f t="shared" ca="1" si="182"/>
        <v>-0.60098074121523626</v>
      </c>
      <c r="E405" s="307">
        <f t="shared" ca="1" si="183"/>
        <v>-8.0800586227758053</v>
      </c>
      <c r="F405" s="304">
        <f t="shared" ca="1" si="184"/>
        <v>8.102377749698249</v>
      </c>
      <c r="G405" s="306">
        <f t="shared" ca="1" si="185"/>
        <v>20.226405642951384</v>
      </c>
      <c r="H405" s="307">
        <f t="shared" ca="1" si="186"/>
        <v>-59.203325000812306</v>
      </c>
      <c r="I405" s="304">
        <f t="shared" ca="1" si="187"/>
        <v>62.563097560662889</v>
      </c>
      <c r="J405" s="306">
        <f t="shared" ca="1" si="188"/>
        <v>576.17418482922812</v>
      </c>
      <c r="K405" s="307">
        <f t="shared" ca="1" si="189"/>
        <v>1181.0957017735263</v>
      </c>
      <c r="L405" s="304">
        <f t="shared" ca="1" si="174"/>
        <v>1314.1399271049961</v>
      </c>
      <c r="M405" s="306">
        <f t="shared" ca="1" si="190"/>
        <v>-1.2415857463689053</v>
      </c>
      <c r="N405" s="304">
        <f t="shared" ca="1" si="191"/>
        <v>-71.137623170538546</v>
      </c>
      <c r="P405" s="310">
        <f t="shared" ca="1" si="192"/>
        <v>23</v>
      </c>
      <c r="Q405" s="304">
        <f t="shared" ca="1" si="193"/>
        <v>0</v>
      </c>
      <c r="R405" s="306">
        <f t="shared" ca="1" si="194"/>
        <v>0</v>
      </c>
      <c r="S405" s="307">
        <f t="shared" ca="1" si="195"/>
        <v>7.4499999999999984</v>
      </c>
      <c r="T405" s="304">
        <f t="shared" ca="1" si="175"/>
        <v>73.084499999999991</v>
      </c>
      <c r="U405" s="311">
        <f t="shared" ca="1" si="176"/>
        <v>0</v>
      </c>
      <c r="V405" s="306">
        <f t="shared" ca="1" si="177"/>
        <v>1.0883836270753997</v>
      </c>
      <c r="W405" s="304">
        <f t="shared" ca="1" si="178"/>
        <v>13.982418022587394</v>
      </c>
      <c r="Y405" s="314" t="str">
        <f t="shared" ca="1" si="196"/>
        <v/>
      </c>
      <c r="Z405" s="315" t="str">
        <f t="shared" ca="1" si="197"/>
        <v/>
      </c>
      <c r="AA405" s="316" t="str">
        <f t="shared" ca="1" si="198"/>
        <v/>
      </c>
      <c r="AC405" s="310" t="e">
        <f t="shared" ca="1" si="199"/>
        <v>#N/A</v>
      </c>
      <c r="AD405" s="323" t="e">
        <f t="shared" ca="1" si="200"/>
        <v>#N/A</v>
      </c>
      <c r="AE405" s="324" t="e">
        <f t="shared" ca="1" si="179"/>
        <v>#N/A</v>
      </c>
      <c r="AG405" s="306">
        <f t="shared" ca="1" si="201"/>
        <v>7.4353807459492707</v>
      </c>
      <c r="AH405" s="304">
        <f t="shared" ca="1" si="202"/>
        <v>-1.8313587906098463</v>
      </c>
    </row>
    <row r="406" spans="1:34" x14ac:dyDescent="0.2">
      <c r="A406" s="347">
        <f t="shared" ca="1" si="180"/>
        <v>0.1</v>
      </c>
      <c r="B406" s="304">
        <f t="shared" ca="1" si="181"/>
        <v>22.200000000000049</v>
      </c>
      <c r="D406" s="306">
        <f t="shared" ca="1" si="182"/>
        <v>-0.60677332341610646</v>
      </c>
      <c r="E406" s="307">
        <f t="shared" ca="1" si="183"/>
        <v>-8.033955412436546</v>
      </c>
      <c r="F406" s="304">
        <f t="shared" ca="1" si="184"/>
        <v>8.0568364408760278</v>
      </c>
      <c r="G406" s="306">
        <f t="shared" ca="1" si="185"/>
        <v>20.165728310609772</v>
      </c>
      <c r="H406" s="307">
        <f t="shared" ca="1" si="186"/>
        <v>-60.006720542055959</v>
      </c>
      <c r="I406" s="304">
        <f t="shared" ca="1" si="187"/>
        <v>63.304526761596826</v>
      </c>
      <c r="J406" s="306">
        <f t="shared" ca="1" si="188"/>
        <v>578.19379152690624</v>
      </c>
      <c r="K406" s="307">
        <f t="shared" ca="1" si="189"/>
        <v>1175.1351994963829</v>
      </c>
      <c r="L406" s="304">
        <f t="shared" ca="1" si="174"/>
        <v>1309.6758368602757</v>
      </c>
      <c r="M406" s="306">
        <f t="shared" ca="1" si="190"/>
        <v>-1.2465957325450039</v>
      </c>
      <c r="N406" s="304">
        <f t="shared" ca="1" si="191"/>
        <v>-71.424674233847881</v>
      </c>
      <c r="P406" s="310">
        <f t="shared" ca="1" si="192"/>
        <v>23</v>
      </c>
      <c r="Q406" s="304">
        <f t="shared" ca="1" si="193"/>
        <v>0</v>
      </c>
      <c r="R406" s="306">
        <f t="shared" ca="1" si="194"/>
        <v>0</v>
      </c>
      <c r="S406" s="307">
        <f t="shared" ca="1" si="195"/>
        <v>7.4499999999999984</v>
      </c>
      <c r="T406" s="304">
        <f t="shared" ca="1" si="175"/>
        <v>73.084499999999991</v>
      </c>
      <c r="U406" s="311">
        <f t="shared" ca="1" si="176"/>
        <v>0</v>
      </c>
      <c r="V406" s="306">
        <f t="shared" ca="1" si="177"/>
        <v>1.0890348119791644</v>
      </c>
      <c r="W406" s="304">
        <f t="shared" ca="1" si="178"/>
        <v>14.324355530331156</v>
      </c>
      <c r="Y406" s="314" t="str">
        <f t="shared" ca="1" si="196"/>
        <v/>
      </c>
      <c r="Z406" s="315" t="str">
        <f t="shared" ca="1" si="197"/>
        <v/>
      </c>
      <c r="AA406" s="316" t="str">
        <f t="shared" ca="1" si="198"/>
        <v/>
      </c>
      <c r="AC406" s="310" t="e">
        <f t="shared" ca="1" si="199"/>
        <v>#N/A</v>
      </c>
      <c r="AD406" s="323" t="e">
        <f t="shared" ca="1" si="200"/>
        <v>#N/A</v>
      </c>
      <c r="AE406" s="324" t="e">
        <f t="shared" ca="1" si="179"/>
        <v>#N/A</v>
      </c>
      <c r="AG406" s="306">
        <f t="shared" ca="1" si="201"/>
        <v>7.4063473200394139</v>
      </c>
      <c r="AH406" s="304">
        <f t="shared" ca="1" si="202"/>
        <v>-1.8768346339043487</v>
      </c>
    </row>
    <row r="407" spans="1:34" x14ac:dyDescent="0.2">
      <c r="A407" s="347">
        <f t="shared" ca="1" si="180"/>
        <v>0.1</v>
      </c>
      <c r="B407" s="304">
        <f t="shared" ca="1" si="181"/>
        <v>22.30000000000005</v>
      </c>
      <c r="D407" s="306">
        <f t="shared" ca="1" si="182"/>
        <v>-0.61248853559137195</v>
      </c>
      <c r="E407" s="307">
        <f t="shared" ca="1" si="183"/>
        <v>-7.9874311433568455</v>
      </c>
      <c r="F407" s="304">
        <f t="shared" ca="1" si="184"/>
        <v>8.0108800063474739</v>
      </c>
      <c r="G407" s="306">
        <f t="shared" ca="1" si="185"/>
        <v>20.104479457050633</v>
      </c>
      <c r="H407" s="307">
        <f t="shared" ca="1" si="186"/>
        <v>-60.805463656391645</v>
      </c>
      <c r="I407" s="304">
        <f t="shared" ca="1" si="187"/>
        <v>64.042911432161929</v>
      </c>
      <c r="J407" s="306">
        <f t="shared" ca="1" si="188"/>
        <v>580.20730191528924</v>
      </c>
      <c r="K407" s="307">
        <f t="shared" ca="1" si="189"/>
        <v>1169.0945902864605</v>
      </c>
      <c r="L407" s="304">
        <f t="shared" ca="1" si="174"/>
        <v>1305.1523567127658</v>
      </c>
      <c r="M407" s="306">
        <f t="shared" ca="1" si="190"/>
        <v>-1.2514752717192357</v>
      </c>
      <c r="N407" s="304">
        <f t="shared" ca="1" si="191"/>
        <v>-71.70425123450012</v>
      </c>
      <c r="P407" s="310">
        <f t="shared" ca="1" si="192"/>
        <v>23</v>
      </c>
      <c r="Q407" s="304">
        <f t="shared" ca="1" si="193"/>
        <v>0</v>
      </c>
      <c r="R407" s="306">
        <f t="shared" ca="1" si="194"/>
        <v>0</v>
      </c>
      <c r="S407" s="307">
        <f t="shared" ca="1" si="195"/>
        <v>7.4499999999999984</v>
      </c>
      <c r="T407" s="304">
        <f t="shared" ca="1" si="175"/>
        <v>73.084499999999991</v>
      </c>
      <c r="U407" s="311">
        <f t="shared" ca="1" si="176"/>
        <v>0</v>
      </c>
      <c r="V407" s="306">
        <f t="shared" ca="1" si="177"/>
        <v>1.0896951226947553</v>
      </c>
      <c r="W407" s="304">
        <f t="shared" ca="1" si="178"/>
        <v>14.669352243856238</v>
      </c>
      <c r="Y407" s="314" t="str">
        <f t="shared" ca="1" si="196"/>
        <v/>
      </c>
      <c r="Z407" s="315" t="str">
        <f t="shared" ca="1" si="197"/>
        <v/>
      </c>
      <c r="AA407" s="316" t="str">
        <f t="shared" ca="1" si="198"/>
        <v/>
      </c>
      <c r="AC407" s="310" t="e">
        <f t="shared" ca="1" si="199"/>
        <v>#N/A</v>
      </c>
      <c r="AD407" s="323" t="e">
        <f t="shared" ca="1" si="200"/>
        <v>#N/A</v>
      </c>
      <c r="AE407" s="324" t="e">
        <f t="shared" ca="1" si="179"/>
        <v>#N/A</v>
      </c>
      <c r="AG407" s="306">
        <f t="shared" ca="1" si="201"/>
        <v>7.3762224433766743</v>
      </c>
      <c r="AH407" s="304">
        <f t="shared" ca="1" si="202"/>
        <v>-1.9227322859504912</v>
      </c>
    </row>
    <row r="408" spans="1:34" x14ac:dyDescent="0.2">
      <c r="A408" s="347">
        <f t="shared" ca="1" si="180"/>
        <v>0.1</v>
      </c>
      <c r="B408" s="304">
        <f t="shared" ca="1" si="181"/>
        <v>22.400000000000052</v>
      </c>
      <c r="D408" s="306">
        <f t="shared" ca="1" si="182"/>
        <v>-0.61812517259560051</v>
      </c>
      <c r="E408" s="307">
        <f t="shared" ca="1" si="183"/>
        <v>-7.9404968478464433</v>
      </c>
      <c r="F408" s="304">
        <f t="shared" ca="1" si="184"/>
        <v>7.964519377819081</v>
      </c>
      <c r="G408" s="306">
        <f t="shared" ca="1" si="185"/>
        <v>20.042666939791072</v>
      </c>
      <c r="H408" s="307">
        <f t="shared" ca="1" si="186"/>
        <v>-61.599513341176291</v>
      </c>
      <c r="I408" s="304">
        <f t="shared" ca="1" si="187"/>
        <v>64.778148645427876</v>
      </c>
      <c r="J408" s="306">
        <f t="shared" ca="1" si="188"/>
        <v>582.21465923513131</v>
      </c>
      <c r="K408" s="307">
        <f t="shared" ca="1" si="189"/>
        <v>1162.9743414365821</v>
      </c>
      <c r="L408" s="304">
        <f t="shared" ca="1" si="174"/>
        <v>1300.5703472969587</v>
      </c>
      <c r="M408" s="306">
        <f t="shared" ca="1" si="190"/>
        <v>-1.2562293231683668</v>
      </c>
      <c r="N408" s="304">
        <f t="shared" ca="1" si="191"/>
        <v>-71.976638318123378</v>
      </c>
      <c r="P408" s="310">
        <f t="shared" ca="1" si="192"/>
        <v>23</v>
      </c>
      <c r="Q408" s="304">
        <f t="shared" ca="1" si="193"/>
        <v>0</v>
      </c>
      <c r="R408" s="306">
        <f t="shared" ca="1" si="194"/>
        <v>0</v>
      </c>
      <c r="S408" s="307">
        <f t="shared" ca="1" si="195"/>
        <v>7.4499999999999984</v>
      </c>
      <c r="T408" s="304">
        <f t="shared" ca="1" si="175"/>
        <v>73.084499999999991</v>
      </c>
      <c r="U408" s="311">
        <f t="shared" ca="1" si="176"/>
        <v>0</v>
      </c>
      <c r="V408" s="306">
        <f t="shared" ca="1" si="177"/>
        <v>1.0903645234100772</v>
      </c>
      <c r="W408" s="304">
        <f t="shared" ca="1" si="178"/>
        <v>15.01732473828246</v>
      </c>
      <c r="Y408" s="314" t="str">
        <f t="shared" ca="1" si="196"/>
        <v/>
      </c>
      <c r="Z408" s="315" t="str">
        <f t="shared" ca="1" si="197"/>
        <v/>
      </c>
      <c r="AA408" s="316" t="str">
        <f t="shared" ca="1" si="198"/>
        <v/>
      </c>
      <c r="AC408" s="310" t="e">
        <f t="shared" ca="1" si="199"/>
        <v>#N/A</v>
      </c>
      <c r="AD408" s="323" t="e">
        <f t="shared" ca="1" si="200"/>
        <v>#N/A</v>
      </c>
      <c r="AE408" s="324" t="e">
        <f t="shared" ca="1" si="179"/>
        <v>#N/A</v>
      </c>
      <c r="AG408" s="306">
        <f t="shared" ca="1" si="201"/>
        <v>7.3450518900809083</v>
      </c>
      <c r="AH408" s="304">
        <f t="shared" ca="1" si="202"/>
        <v>-1.969040569645133</v>
      </c>
    </row>
    <row r="409" spans="1:34" x14ac:dyDescent="0.2">
      <c r="A409" s="347">
        <f t="shared" ca="1" si="180"/>
        <v>0.1</v>
      </c>
      <c r="B409" s="304">
        <f t="shared" ca="1" si="181"/>
        <v>22.500000000000053</v>
      </c>
      <c r="D409" s="306">
        <f t="shared" ca="1" si="182"/>
        <v>-0.62368209644724526</v>
      </c>
      <c r="E409" s="307">
        <f t="shared" ca="1" si="183"/>
        <v>-7.8931635961339106</v>
      </c>
      <c r="F409" s="304">
        <f t="shared" ca="1" si="184"/>
        <v>7.9177655252452652</v>
      </c>
      <c r="G409" s="306">
        <f t="shared" ca="1" si="185"/>
        <v>19.980298730146348</v>
      </c>
      <c r="H409" s="307">
        <f t="shared" ca="1" si="186"/>
        <v>-62.388829700789685</v>
      </c>
      <c r="I409" s="304">
        <f t="shared" ca="1" si="187"/>
        <v>65.510139740196138</v>
      </c>
      <c r="J409" s="306">
        <f t="shared" ca="1" si="188"/>
        <v>584.21580751862814</v>
      </c>
      <c r="K409" s="307">
        <f t="shared" ca="1" si="189"/>
        <v>1156.7749242844839</v>
      </c>
      <c r="L409" s="304">
        <f t="shared" ca="1" si="174"/>
        <v>1295.9306830259156</v>
      </c>
      <c r="M409" s="306">
        <f t="shared" ca="1" si="190"/>
        <v>-1.260862608148932</v>
      </c>
      <c r="N409" s="304">
        <f t="shared" ca="1" si="191"/>
        <v>-72.242105992791124</v>
      </c>
      <c r="P409" s="310">
        <f t="shared" ca="1" si="192"/>
        <v>23</v>
      </c>
      <c r="Q409" s="304">
        <f t="shared" ca="1" si="193"/>
        <v>0</v>
      </c>
      <c r="R409" s="306">
        <f t="shared" ca="1" si="194"/>
        <v>0</v>
      </c>
      <c r="S409" s="307">
        <f t="shared" ca="1" si="195"/>
        <v>7.4499999999999984</v>
      </c>
      <c r="T409" s="304">
        <f t="shared" ca="1" si="175"/>
        <v>73.084499999999991</v>
      </c>
      <c r="U409" s="311">
        <f t="shared" ca="1" si="176"/>
        <v>0</v>
      </c>
      <c r="V409" s="306">
        <f t="shared" ca="1" si="177"/>
        <v>1.0910429779756314</v>
      </c>
      <c r="W409" s="304">
        <f t="shared" ca="1" si="178"/>
        <v>15.368189469421193</v>
      </c>
      <c r="Y409" s="314" t="str">
        <f t="shared" ca="1" si="196"/>
        <v/>
      </c>
      <c r="Z409" s="315" t="str">
        <f t="shared" ca="1" si="197"/>
        <v/>
      </c>
      <c r="AA409" s="316" t="str">
        <f t="shared" ca="1" si="198"/>
        <v/>
      </c>
      <c r="AC409" s="310" t="e">
        <f t="shared" ca="1" si="199"/>
        <v>#N/A</v>
      </c>
      <c r="AD409" s="323" t="e">
        <f t="shared" ca="1" si="200"/>
        <v>#N/A</v>
      </c>
      <c r="AE409" s="324" t="e">
        <f t="shared" ca="1" si="179"/>
        <v>#N/A</v>
      </c>
      <c r="AG409" s="306">
        <f t="shared" ca="1" si="201"/>
        <v>7.3128793214155934</v>
      </c>
      <c r="AH409" s="304">
        <f t="shared" ca="1" si="202"/>
        <v>-2.0157482870177801</v>
      </c>
    </row>
    <row r="410" spans="1:34" x14ac:dyDescent="0.2">
      <c r="A410" s="347">
        <f t="shared" ca="1" si="180"/>
        <v>0.1</v>
      </c>
      <c r="B410" s="304">
        <f t="shared" ca="1" si="181"/>
        <v>22.600000000000055</v>
      </c>
      <c r="D410" s="306">
        <f t="shared" ca="1" si="182"/>
        <v>-0.62915823404438875</v>
      </c>
      <c r="E410" s="307">
        <f t="shared" ca="1" si="183"/>
        <v>-7.8454424901855599</v>
      </c>
      <c r="F410" s="304">
        <f t="shared" ca="1" si="184"/>
        <v>7.8706294507030918</v>
      </c>
      <c r="G410" s="306">
        <f t="shared" ca="1" si="185"/>
        <v>19.91738290674191</v>
      </c>
      <c r="H410" s="307">
        <f t="shared" ca="1" si="186"/>
        <v>-63.173373949808244</v>
      </c>
      <c r="I410" s="304">
        <f t="shared" ca="1" si="187"/>
        <v>66.238790131282485</v>
      </c>
      <c r="J410" s="306">
        <f t="shared" ca="1" si="188"/>
        <v>586.2106916004725</v>
      </c>
      <c r="K410" s="307">
        <f t="shared" ca="1" si="189"/>
        <v>1150.496814101954</v>
      </c>
      <c r="L410" s="304">
        <f t="shared" ca="1" si="174"/>
        <v>1291.2342522584545</v>
      </c>
      <c r="M410" s="306">
        <f t="shared" ca="1" si="190"/>
        <v>-1.2653796232682404</v>
      </c>
      <c r="N410" s="304">
        <f t="shared" ca="1" si="191"/>
        <v>-72.500911895124275</v>
      </c>
      <c r="P410" s="310">
        <f t="shared" ca="1" si="192"/>
        <v>23</v>
      </c>
      <c r="Q410" s="304">
        <f t="shared" ca="1" si="193"/>
        <v>0</v>
      </c>
      <c r="R410" s="306">
        <f t="shared" ca="1" si="194"/>
        <v>0</v>
      </c>
      <c r="S410" s="307">
        <f t="shared" ca="1" si="195"/>
        <v>7.4499999999999984</v>
      </c>
      <c r="T410" s="304">
        <f t="shared" ca="1" si="175"/>
        <v>73.084499999999991</v>
      </c>
      <c r="U410" s="311">
        <f t="shared" ca="1" si="176"/>
        <v>0</v>
      </c>
      <c r="V410" s="306">
        <f t="shared" ca="1" si="177"/>
        <v>1.0917304499121543</v>
      </c>
      <c r="W410" s="304">
        <f t="shared" ca="1" si="178"/>
        <v>15.72186280962336</v>
      </c>
      <c r="Y410" s="314" t="str">
        <f t="shared" ca="1" si="196"/>
        <v/>
      </c>
      <c r="Z410" s="315" t="str">
        <f t="shared" ca="1" si="197"/>
        <v/>
      </c>
      <c r="AA410" s="316" t="str">
        <f t="shared" ca="1" si="198"/>
        <v/>
      </c>
      <c r="AC410" s="310" t="e">
        <f t="shared" ca="1" si="199"/>
        <v>#N/A</v>
      </c>
      <c r="AD410" s="323" t="e">
        <f t="shared" ca="1" si="200"/>
        <v>#N/A</v>
      </c>
      <c r="AE410" s="324" t="e">
        <f t="shared" ca="1" si="179"/>
        <v>#N/A</v>
      </c>
      <c r="AG410" s="306">
        <f t="shared" ca="1" si="201"/>
        <v>7.2797464312256741</v>
      </c>
      <c r="AH410" s="304">
        <f t="shared" ca="1" si="202"/>
        <v>-2.0628442240833822</v>
      </c>
    </row>
    <row r="411" spans="1:34" x14ac:dyDescent="0.2">
      <c r="A411" s="347">
        <f t="shared" ca="1" si="180"/>
        <v>0.1</v>
      </c>
      <c r="B411" s="304">
        <f t="shared" ca="1" si="181"/>
        <v>22.700000000000056</v>
      </c>
      <c r="D411" s="306">
        <f t="shared" ca="1" si="182"/>
        <v>-0.63455257501721241</v>
      </c>
      <c r="E411" s="307">
        <f t="shared" ca="1" si="183"/>
        <v>-7.7973446576755343</v>
      </c>
      <c r="F411" s="304">
        <f t="shared" ca="1" si="184"/>
        <v>7.8231221824181025</v>
      </c>
      <c r="G411" s="306">
        <f t="shared" ca="1" si="185"/>
        <v>19.853927649240187</v>
      </c>
      <c r="H411" s="307">
        <f t="shared" ca="1" si="186"/>
        <v>-63.953108415575798</v>
      </c>
      <c r="I411" s="304">
        <f t="shared" ca="1" si="187"/>
        <v>66.96400913263524</v>
      </c>
      <c r="J411" s="306">
        <f t="shared" ca="1" si="188"/>
        <v>588.1992571282716</v>
      </c>
      <c r="K411" s="307">
        <f t="shared" ca="1" si="189"/>
        <v>1144.1404899836848</v>
      </c>
      <c r="L411" s="304">
        <f t="shared" ca="1" si="174"/>
        <v>1286.4819574740864</v>
      </c>
      <c r="M411" s="306">
        <f t="shared" ca="1" si="190"/>
        <v>-1.2697846530225747</v>
      </c>
      <c r="N411" s="304">
        <f t="shared" ca="1" si="191"/>
        <v>-72.753301508677183</v>
      </c>
      <c r="P411" s="310">
        <f t="shared" ca="1" si="192"/>
        <v>23</v>
      </c>
      <c r="Q411" s="304">
        <f t="shared" ca="1" si="193"/>
        <v>0</v>
      </c>
      <c r="R411" s="306">
        <f t="shared" ca="1" si="194"/>
        <v>0</v>
      </c>
      <c r="S411" s="307">
        <f t="shared" ca="1" si="195"/>
        <v>7.4499999999999984</v>
      </c>
      <c r="T411" s="304">
        <f t="shared" ca="1" si="175"/>
        <v>73.084499999999991</v>
      </c>
      <c r="U411" s="311">
        <f t="shared" ca="1" si="176"/>
        <v>0</v>
      </c>
      <c r="V411" s="306">
        <f t="shared" ca="1" si="177"/>
        <v>1.0924269024182884</v>
      </c>
      <c r="W411" s="304">
        <f t="shared" ca="1" si="178"/>
        <v>16.078261083296155</v>
      </c>
      <c r="Y411" s="314" t="str">
        <f t="shared" ca="1" si="196"/>
        <v/>
      </c>
      <c r="Z411" s="315" t="str">
        <f t="shared" ca="1" si="197"/>
        <v/>
      </c>
      <c r="AA411" s="316" t="str">
        <f t="shared" ca="1" si="198"/>
        <v/>
      </c>
      <c r="AC411" s="310" t="e">
        <f t="shared" ca="1" si="199"/>
        <v>#N/A</v>
      </c>
      <c r="AD411" s="323" t="e">
        <f t="shared" ca="1" si="200"/>
        <v>#N/A</v>
      </c>
      <c r="AE411" s="324" t="e">
        <f t="shared" ca="1" si="179"/>
        <v>#N/A</v>
      </c>
      <c r="AG411" s="306">
        <f t="shared" ca="1" si="201"/>
        <v>7.2456930797281576</v>
      </c>
      <c r="AH411" s="304">
        <f t="shared" ca="1" si="202"/>
        <v>-2.1103171556541427</v>
      </c>
    </row>
    <row r="412" spans="1:34" x14ac:dyDescent="0.2">
      <c r="A412" s="347">
        <f t="shared" ca="1" si="180"/>
        <v>0.1</v>
      </c>
      <c r="B412" s="304">
        <f t="shared" ca="1" si="181"/>
        <v>22.800000000000058</v>
      </c>
      <c r="D412" s="306">
        <f t="shared" ca="1" si="182"/>
        <v>-0.6398641697055153</v>
      </c>
      <c r="E412" s="307">
        <f t="shared" ca="1" si="183"/>
        <v>-7.7488812461001757</v>
      </c>
      <c r="F412" s="304">
        <f t="shared" ca="1" si="184"/>
        <v>7.7752547689343237</v>
      </c>
      <c r="G412" s="306">
        <f t="shared" ca="1" si="185"/>
        <v>19.789941232269637</v>
      </c>
      <c r="H412" s="307">
        <f t="shared" ca="1" si="186"/>
        <v>-64.727996540185814</v>
      </c>
      <c r="I412" s="304">
        <f t="shared" ca="1" si="187"/>
        <v>67.685709792267019</v>
      </c>
      <c r="J412" s="306">
        <f t="shared" ca="1" si="188"/>
        <v>590.1814505723471</v>
      </c>
      <c r="K412" s="307">
        <f t="shared" ca="1" si="189"/>
        <v>1137.7064347358967</v>
      </c>
      <c r="L412" s="304">
        <f t="shared" ca="1" si="174"/>
        <v>1281.6747154559712</v>
      </c>
      <c r="M412" s="306">
        <f t="shared" ca="1" si="190"/>
        <v>-1.2740817815569201</v>
      </c>
      <c r="N412" s="304">
        <f t="shared" ca="1" si="191"/>
        <v>-72.999508837720413</v>
      </c>
      <c r="P412" s="310">
        <f t="shared" ca="1" si="192"/>
        <v>23</v>
      </c>
      <c r="Q412" s="304">
        <f t="shared" ca="1" si="193"/>
        <v>0</v>
      </c>
      <c r="R412" s="306">
        <f t="shared" ca="1" si="194"/>
        <v>0</v>
      </c>
      <c r="S412" s="307">
        <f t="shared" ca="1" si="195"/>
        <v>7.4499999999999984</v>
      </c>
      <c r="T412" s="304">
        <f t="shared" ca="1" si="175"/>
        <v>73.084499999999991</v>
      </c>
      <c r="U412" s="311">
        <f t="shared" ca="1" si="176"/>
        <v>0</v>
      </c>
      <c r="V412" s="306">
        <f t="shared" ca="1" si="177"/>
        <v>1.0931322983782952</v>
      </c>
      <c r="W412" s="304">
        <f t="shared" ca="1" si="178"/>
        <v>16.437300602063317</v>
      </c>
      <c r="Y412" s="314" t="str">
        <f t="shared" ca="1" si="196"/>
        <v/>
      </c>
      <c r="Z412" s="315" t="str">
        <f t="shared" ca="1" si="197"/>
        <v/>
      </c>
      <c r="AA412" s="316" t="str">
        <f t="shared" ca="1" si="198"/>
        <v/>
      </c>
      <c r="AC412" s="310" t="e">
        <f t="shared" ca="1" si="199"/>
        <v>#N/A</v>
      </c>
      <c r="AD412" s="323" t="e">
        <f t="shared" ca="1" si="200"/>
        <v>#N/A</v>
      </c>
      <c r="AE412" s="324" t="e">
        <f t="shared" ca="1" si="179"/>
        <v>#N/A</v>
      </c>
      <c r="AG412" s="306">
        <f t="shared" ca="1" si="201"/>
        <v>7.2107574166324433</v>
      </c>
      <c r="AH412" s="304">
        <f t="shared" ca="1" si="202"/>
        <v>-2.1581558501068669</v>
      </c>
    </row>
    <row r="413" spans="1:34" x14ac:dyDescent="0.2">
      <c r="A413" s="347">
        <f t="shared" ca="1" si="180"/>
        <v>0.1</v>
      </c>
      <c r="B413" s="304">
        <f t="shared" ca="1" si="181"/>
        <v>22.900000000000059</v>
      </c>
      <c r="D413" s="306">
        <f t="shared" ca="1" si="182"/>
        <v>-0.6450921272505985</v>
      </c>
      <c r="E413" s="307">
        <f t="shared" ca="1" si="183"/>
        <v>-7.7000634170307212</v>
      </c>
      <c r="F413" s="304">
        <f t="shared" ca="1" si="184"/>
        <v>7.7270382734224583</v>
      </c>
      <c r="G413" s="306">
        <f t="shared" ca="1" si="185"/>
        <v>19.725432019544577</v>
      </c>
      <c r="H413" s="307">
        <f t="shared" ca="1" si="186"/>
        <v>-65.49800288188888</v>
      </c>
      <c r="I413" s="304">
        <f t="shared" ca="1" si="187"/>
        <v>68.403808738063688</v>
      </c>
      <c r="J413" s="306">
        <f t="shared" ca="1" si="188"/>
        <v>592.15721923493777</v>
      </c>
      <c r="K413" s="307">
        <f t="shared" ca="1" si="189"/>
        <v>1131.195134764793</v>
      </c>
      <c r="L413" s="304">
        <f t="shared" ca="1" si="174"/>
        <v>1276.8134574821777</v>
      </c>
      <c r="M413" s="306">
        <f t="shared" ca="1" si="190"/>
        <v>-1.278274903697161</v>
      </c>
      <c r="N413" s="304">
        <f t="shared" ca="1" si="191"/>
        <v>-73.239757039339082</v>
      </c>
      <c r="P413" s="310">
        <f t="shared" ca="1" si="192"/>
        <v>23</v>
      </c>
      <c r="Q413" s="304">
        <f t="shared" ca="1" si="193"/>
        <v>0</v>
      </c>
      <c r="R413" s="306">
        <f t="shared" ca="1" si="194"/>
        <v>0</v>
      </c>
      <c r="S413" s="307">
        <f t="shared" ca="1" si="195"/>
        <v>7.4499999999999984</v>
      </c>
      <c r="T413" s="304">
        <f t="shared" ca="1" si="175"/>
        <v>73.084499999999991</v>
      </c>
      <c r="U413" s="311">
        <f t="shared" ca="1" si="176"/>
        <v>0</v>
      </c>
      <c r="V413" s="306">
        <f t="shared" ca="1" si="177"/>
        <v>1.0938466003697909</v>
      </c>
      <c r="W413" s="304">
        <f t="shared" ca="1" si="178"/>
        <v>16.798897699544671</v>
      </c>
      <c r="Y413" s="314" t="str">
        <f t="shared" ca="1" si="196"/>
        <v/>
      </c>
      <c r="Z413" s="315" t="str">
        <f t="shared" ca="1" si="197"/>
        <v/>
      </c>
      <c r="AA413" s="316" t="str">
        <f t="shared" ca="1" si="198"/>
        <v/>
      </c>
      <c r="AC413" s="310" t="e">
        <f t="shared" ca="1" si="199"/>
        <v>#N/A</v>
      </c>
      <c r="AD413" s="323" t="e">
        <f t="shared" ca="1" si="200"/>
        <v>#N/A</v>
      </c>
      <c r="AE413" s="324" t="e">
        <f t="shared" ca="1" si="179"/>
        <v>#N/A</v>
      </c>
      <c r="AG413" s="306">
        <f t="shared" ca="1" si="201"/>
        <v>7.1749759944834128</v>
      </c>
      <c r="AH413" s="304">
        <f t="shared" ca="1" si="202"/>
        <v>-2.2063490741024592</v>
      </c>
    </row>
    <row r="414" spans="1:34" x14ac:dyDescent="0.2">
      <c r="A414" s="347">
        <f t="shared" ca="1" si="180"/>
        <v>0.1</v>
      </c>
      <c r="B414" s="304">
        <f t="shared" ca="1" si="181"/>
        <v>23.00000000000006</v>
      </c>
      <c r="D414" s="306">
        <f t="shared" ca="1" si="182"/>
        <v>-0.65023561379177797</v>
      </c>
      <c r="E414" s="307">
        <f t="shared" ca="1" si="183"/>
        <v>-7.6509023404992096</v>
      </c>
      <c r="F414" s="304">
        <f t="shared" ca="1" si="184"/>
        <v>7.678483768121116</v>
      </c>
      <c r="G414" s="306">
        <f t="shared" ca="1" si="185"/>
        <v>19.660408458165399</v>
      </c>
      <c r="H414" s="307">
        <f t="shared" ca="1" si="186"/>
        <v>-66.263093115938801</v>
      </c>
      <c r="I414" s="304">
        <f t="shared" ca="1" si="187"/>
        <v>69.11822603361199</v>
      </c>
      <c r="J414" s="306">
        <f t="shared" ca="1" si="188"/>
        <v>594.12651125882326</v>
      </c>
      <c r="K414" s="307">
        <f t="shared" ca="1" si="189"/>
        <v>1124.6070799649017</v>
      </c>
      <c r="L414" s="304">
        <f t="shared" ca="1" si="174"/>
        <v>1271.8991295255153</v>
      </c>
      <c r="M414" s="306">
        <f t="shared" ca="1" si="190"/>
        <v>-1.282367735302457</v>
      </c>
      <c r="N414" s="304">
        <f t="shared" ca="1" si="191"/>
        <v>-73.474259016580291</v>
      </c>
      <c r="P414" s="310">
        <f t="shared" ca="1" si="192"/>
        <v>23</v>
      </c>
      <c r="Q414" s="304">
        <f t="shared" ca="1" si="193"/>
        <v>0</v>
      </c>
      <c r="R414" s="306">
        <f t="shared" ca="1" si="194"/>
        <v>0</v>
      </c>
      <c r="S414" s="307">
        <f t="shared" ca="1" si="195"/>
        <v>7.4499999999999984</v>
      </c>
      <c r="T414" s="304">
        <f t="shared" ca="1" si="175"/>
        <v>73.084499999999991</v>
      </c>
      <c r="U414" s="311">
        <f t="shared" ca="1" si="176"/>
        <v>0</v>
      </c>
      <c r="V414" s="306">
        <f t="shared" ca="1" si="177"/>
        <v>1.0945697706715125</v>
      </c>
      <c r="W414" s="304">
        <f t="shared" ca="1" si="178"/>
        <v>17.162968765731669</v>
      </c>
      <c r="Y414" s="314" t="str">
        <f t="shared" ca="1" si="196"/>
        <v/>
      </c>
      <c r="Z414" s="315" t="str">
        <f t="shared" ca="1" si="197"/>
        <v/>
      </c>
      <c r="AA414" s="316" t="str">
        <f t="shared" ca="1" si="198"/>
        <v/>
      </c>
      <c r="AC414" s="310">
        <f t="shared" ca="1" si="199"/>
        <v>23.00000000000006</v>
      </c>
      <c r="AD414" s="323">
        <f t="shared" ca="1" si="200"/>
        <v>594.12651125882326</v>
      </c>
      <c r="AE414" s="324" t="e">
        <f t="shared" ca="1" si="179"/>
        <v>#N/A</v>
      </c>
      <c r="AG414" s="306">
        <f t="shared" ca="1" si="201"/>
        <v>7.1383838730432831</v>
      </c>
      <c r="AH414" s="304">
        <f t="shared" ca="1" si="202"/>
        <v>-2.2548855972543187</v>
      </c>
    </row>
    <row r="415" spans="1:34" x14ac:dyDescent="0.2">
      <c r="A415" s="347">
        <f t="shared" ca="1" si="180"/>
        <v>0.1</v>
      </c>
      <c r="B415" s="304">
        <f t="shared" ca="1" si="181"/>
        <v>23.100000000000062</v>
      </c>
      <c r="D415" s="306">
        <f t="shared" ca="1" si="182"/>
        <v>-0.65529385075862157</v>
      </c>
      <c r="E415" s="307">
        <f t="shared" ca="1" si="183"/>
        <v>-7.6014091895132214</v>
      </c>
      <c r="F415" s="304">
        <f t="shared" ca="1" si="184"/>
        <v>7.6296023289066719</v>
      </c>
      <c r="G415" s="306">
        <f t="shared" ca="1" si="185"/>
        <v>19.594879073089537</v>
      </c>
      <c r="H415" s="307">
        <f t="shared" ca="1" si="186"/>
        <v>-67.023234034890123</v>
      </c>
      <c r="I415" s="304">
        <f t="shared" ca="1" si="187"/>
        <v>69.828885043258822</v>
      </c>
      <c r="J415" s="306">
        <f t="shared" ca="1" si="188"/>
        <v>596.089275635386</v>
      </c>
      <c r="K415" s="307">
        <f t="shared" ca="1" si="189"/>
        <v>1117.9427636073603</v>
      </c>
      <c r="L415" s="304">
        <f t="shared" ca="1" si="174"/>
        <v>1266.9326924622244</v>
      </c>
      <c r="M415" s="306">
        <f t="shared" ca="1" si="190"/>
        <v>-1.2863638229824292</v>
      </c>
      <c r="N415" s="304">
        <f t="shared" ca="1" si="191"/>
        <v>-73.703217975206925</v>
      </c>
      <c r="P415" s="310">
        <f t="shared" ca="1" si="192"/>
        <v>23</v>
      </c>
      <c r="Q415" s="304">
        <f t="shared" ca="1" si="193"/>
        <v>0</v>
      </c>
      <c r="R415" s="306">
        <f t="shared" ca="1" si="194"/>
        <v>0</v>
      </c>
      <c r="S415" s="307">
        <f t="shared" ca="1" si="195"/>
        <v>7.4499999999999984</v>
      </c>
      <c r="T415" s="304">
        <f t="shared" ca="1" si="175"/>
        <v>73.084499999999991</v>
      </c>
      <c r="U415" s="311">
        <f t="shared" ca="1" si="176"/>
        <v>0</v>
      </c>
      <c r="V415" s="306">
        <f t="shared" ca="1" si="177"/>
        <v>1.0953017712711066</v>
      </c>
      <c r="W415" s="304">
        <f t="shared" ca="1" si="178"/>
        <v>17.529430280936712</v>
      </c>
      <c r="Y415" s="314" t="str">
        <f t="shared" ca="1" si="196"/>
        <v/>
      </c>
      <c r="Z415" s="315" t="str">
        <f t="shared" ca="1" si="197"/>
        <v/>
      </c>
      <c r="AA415" s="316" t="str">
        <f t="shared" ca="1" si="198"/>
        <v/>
      </c>
      <c r="AC415" s="310" t="e">
        <f t="shared" ca="1" si="199"/>
        <v>#N/A</v>
      </c>
      <c r="AD415" s="323" t="e">
        <f t="shared" ca="1" si="200"/>
        <v>#N/A</v>
      </c>
      <c r="AE415" s="324" t="e">
        <f t="shared" ca="1" si="179"/>
        <v>#N/A</v>
      </c>
      <c r="AG415" s="306">
        <f t="shared" ca="1" si="201"/>
        <v>7.1010147154579712</v>
      </c>
      <c r="AH415" s="304">
        <f t="shared" ca="1" si="202"/>
        <v>-2.3037541967425064</v>
      </c>
    </row>
    <row r="416" spans="1:34" x14ac:dyDescent="0.2">
      <c r="A416" s="347">
        <f t="shared" ca="1" si="180"/>
        <v>0.1</v>
      </c>
      <c r="B416" s="304">
        <f t="shared" ca="1" si="181"/>
        <v>23.200000000000063</v>
      </c>
      <c r="D416" s="306">
        <f t="shared" ca="1" si="182"/>
        <v>-0.66026611325079188</v>
      </c>
      <c r="E416" s="307">
        <f t="shared" ca="1" si="183"/>
        <v>-7.5515951346956873</v>
      </c>
      <c r="F416" s="304">
        <f t="shared" ca="1" si="184"/>
        <v>7.5804050299879675</v>
      </c>
      <c r="G416" s="306">
        <f t="shared" ca="1" si="185"/>
        <v>19.528852461764458</v>
      </c>
      <c r="H416" s="307">
        <f t="shared" ca="1" si="186"/>
        <v>-67.778393548359688</v>
      </c>
      <c r="I416" s="304">
        <f t="shared" ca="1" si="187"/>
        <v>70.535712305680235</v>
      </c>
      <c r="J416" s="306">
        <f t="shared" ca="1" si="188"/>
        <v>598.04546221212865</v>
      </c>
      <c r="K416" s="307">
        <f t="shared" ca="1" si="189"/>
        <v>1111.2026822281978</v>
      </c>
      <c r="L416" s="304">
        <f t="shared" ca="1" si="174"/>
        <v>1261.9151222897915</v>
      </c>
      <c r="M416" s="306">
        <f t="shared" ca="1" si="190"/>
        <v>-1.2902665532208701</v>
      </c>
      <c r="N416" s="304">
        <f t="shared" ca="1" si="191"/>
        <v>-73.926827946447673</v>
      </c>
      <c r="P416" s="310">
        <f t="shared" ca="1" si="192"/>
        <v>23</v>
      </c>
      <c r="Q416" s="304">
        <f t="shared" ca="1" si="193"/>
        <v>0</v>
      </c>
      <c r="R416" s="306">
        <f t="shared" ca="1" si="194"/>
        <v>0</v>
      </c>
      <c r="S416" s="307">
        <f t="shared" ca="1" si="195"/>
        <v>7.4499999999999984</v>
      </c>
      <c r="T416" s="304">
        <f t="shared" ca="1" si="175"/>
        <v>73.084499999999991</v>
      </c>
      <c r="U416" s="311">
        <f t="shared" ca="1" si="176"/>
        <v>0</v>
      </c>
      <c r="V416" s="306">
        <f t="shared" ca="1" si="177"/>
        <v>1.0960425638729294</v>
      </c>
      <c r="W416" s="304">
        <f t="shared" ca="1" si="178"/>
        <v>17.898198849294573</v>
      </c>
      <c r="Y416" s="314" t="str">
        <f t="shared" ca="1" si="196"/>
        <v/>
      </c>
      <c r="Z416" s="315" t="str">
        <f t="shared" ca="1" si="197"/>
        <v/>
      </c>
      <c r="AA416" s="316" t="str">
        <f t="shared" ca="1" si="198"/>
        <v/>
      </c>
      <c r="AC416" s="310" t="e">
        <f t="shared" ca="1" si="199"/>
        <v>#N/A</v>
      </c>
      <c r="AD416" s="323" t="e">
        <f t="shared" ca="1" si="200"/>
        <v>#N/A</v>
      </c>
      <c r="AE416" s="324" t="e">
        <f t="shared" ca="1" si="179"/>
        <v>#N/A</v>
      </c>
      <c r="AG416" s="306">
        <f t="shared" ca="1" si="201"/>
        <v>7.0629008768893549</v>
      </c>
      <c r="AH416" s="304">
        <f t="shared" ca="1" si="202"/>
        <v>-2.3529436618707003</v>
      </c>
    </row>
    <row r="417" spans="1:34" x14ac:dyDescent="0.2">
      <c r="A417" s="347">
        <f t="shared" ca="1" si="180"/>
        <v>0.1</v>
      </c>
      <c r="B417" s="304">
        <f t="shared" ca="1" si="181"/>
        <v>23.300000000000065</v>
      </c>
      <c r="D417" s="306">
        <f t="shared" ca="1" si="182"/>
        <v>-0.66515172849807191</v>
      </c>
      <c r="E417" s="307">
        <f t="shared" ca="1" si="183"/>
        <v>-7.5014713390465797</v>
      </c>
      <c r="F417" s="304">
        <f t="shared" ca="1" si="184"/>
        <v>7.5309029387226376</v>
      </c>
      <c r="G417" s="306">
        <f t="shared" ca="1" si="185"/>
        <v>19.46233728891465</v>
      </c>
      <c r="H417" s="307">
        <f t="shared" ca="1" si="186"/>
        <v>-68.528540682264349</v>
      </c>
      <c r="I417" s="304">
        <f t="shared" ca="1" si="187"/>
        <v>71.238637415297589</v>
      </c>
      <c r="J417" s="306">
        <f t="shared" ca="1" si="188"/>
        <v>599.99502169966263</v>
      </c>
      <c r="K417" s="307">
        <f t="shared" ca="1" si="189"/>
        <v>1104.3873355166666</v>
      </c>
      <c r="L417" s="304">
        <f t="shared" ca="1" si="174"/>
        <v>1256.8474103541689</v>
      </c>
      <c r="M417" s="306">
        <f t="shared" ca="1" si="190"/>
        <v>-1.2940791609449347</v>
      </c>
      <c r="N417" s="304">
        <f t="shared" ca="1" si="191"/>
        <v>-74.145274277975545</v>
      </c>
      <c r="P417" s="310">
        <f t="shared" ca="1" si="192"/>
        <v>23</v>
      </c>
      <c r="Q417" s="304">
        <f t="shared" ca="1" si="193"/>
        <v>0</v>
      </c>
      <c r="R417" s="306">
        <f t="shared" ca="1" si="194"/>
        <v>0</v>
      </c>
      <c r="S417" s="307">
        <f t="shared" ca="1" si="195"/>
        <v>7.4499999999999984</v>
      </c>
      <c r="T417" s="304">
        <f t="shared" ca="1" si="175"/>
        <v>73.084499999999991</v>
      </c>
      <c r="U417" s="311">
        <f t="shared" ca="1" si="176"/>
        <v>0</v>
      </c>
      <c r="V417" s="306">
        <f t="shared" ca="1" si="177"/>
        <v>1.0967921099058719</v>
      </c>
      <c r="W417" s="304">
        <f t="shared" ca="1" si="178"/>
        <v>18.269191231795691</v>
      </c>
      <c r="Y417" s="314" t="str">
        <f t="shared" ca="1" si="196"/>
        <v/>
      </c>
      <c r="Z417" s="315" t="str">
        <f t="shared" ca="1" si="197"/>
        <v/>
      </c>
      <c r="AA417" s="316" t="str">
        <f t="shared" ca="1" si="198"/>
        <v/>
      </c>
      <c r="AC417" s="310" t="e">
        <f t="shared" ca="1" si="199"/>
        <v>#N/A</v>
      </c>
      <c r="AD417" s="323" t="e">
        <f t="shared" ca="1" si="200"/>
        <v>#N/A</v>
      </c>
      <c r="AE417" s="324" t="e">
        <f t="shared" ca="1" si="179"/>
        <v>#N/A</v>
      </c>
      <c r="AG417" s="306">
        <f t="shared" ca="1" si="201"/>
        <v>7.0240734862362055</v>
      </c>
      <c r="AH417" s="304">
        <f t="shared" ca="1" si="202"/>
        <v>-2.4024427985630306</v>
      </c>
    </row>
    <row r="418" spans="1:34" x14ac:dyDescent="0.2">
      <c r="A418" s="347">
        <f t="shared" ca="1" si="180"/>
        <v>0.1</v>
      </c>
      <c r="B418" s="304">
        <f t="shared" ca="1" si="181"/>
        <v>23.400000000000066</v>
      </c>
      <c r="D418" s="306">
        <f t="shared" ca="1" si="182"/>
        <v>-0.6699500743938146</v>
      </c>
      <c r="E418" s="307">
        <f t="shared" ca="1" si="183"/>
        <v>-7.4510489528237525</v>
      </c>
      <c r="F418" s="304">
        <f t="shared" ca="1" si="184"/>
        <v>7.4811071105523022</v>
      </c>
      <c r="G418" s="306">
        <f t="shared" ca="1" si="185"/>
        <v>19.395342281475269</v>
      </c>
      <c r="H418" s="307">
        <f t="shared" ca="1" si="186"/>
        <v>-69.273645577546731</v>
      </c>
      <c r="I418" s="304">
        <f t="shared" ca="1" si="187"/>
        <v>71.937592910933176</v>
      </c>
      <c r="J418" s="306">
        <f t="shared" ca="1" si="188"/>
        <v>601.93790567818212</v>
      </c>
      <c r="K418" s="307">
        <f t="shared" ca="1" si="189"/>
        <v>1097.4972262036761</v>
      </c>
      <c r="L418" s="304">
        <f t="shared" ca="1" si="174"/>
        <v>1251.7305635866685</v>
      </c>
      <c r="M418" s="306">
        <f t="shared" ca="1" si="190"/>
        <v>-1.2978047375761814</v>
      </c>
      <c r="N418" s="304">
        <f t="shared" ca="1" si="191"/>
        <v>-74.358734095198557</v>
      </c>
      <c r="P418" s="310">
        <f t="shared" ca="1" si="192"/>
        <v>23</v>
      </c>
      <c r="Q418" s="304">
        <f t="shared" ca="1" si="193"/>
        <v>0</v>
      </c>
      <c r="R418" s="306">
        <f t="shared" ca="1" si="194"/>
        <v>0</v>
      </c>
      <c r="S418" s="307">
        <f t="shared" ca="1" si="195"/>
        <v>7.4499999999999984</v>
      </c>
      <c r="T418" s="304">
        <f t="shared" ca="1" si="175"/>
        <v>73.084499999999991</v>
      </c>
      <c r="U418" s="311">
        <f t="shared" ca="1" si="176"/>
        <v>0</v>
      </c>
      <c r="V418" s="306">
        <f t="shared" ca="1" si="177"/>
        <v>1.0975503705311853</v>
      </c>
      <c r="W418" s="304">
        <f t="shared" ca="1" si="178"/>
        <v>18.64232437883134</v>
      </c>
      <c r="Y418" s="314" t="str">
        <f t="shared" ca="1" si="196"/>
        <v/>
      </c>
      <c r="Z418" s="315" t="str">
        <f t="shared" ca="1" si="197"/>
        <v/>
      </c>
      <c r="AA418" s="316" t="str">
        <f t="shared" ca="1" si="198"/>
        <v/>
      </c>
      <c r="AC418" s="310" t="e">
        <f t="shared" ca="1" si="199"/>
        <v>#N/A</v>
      </c>
      <c r="AD418" s="323" t="e">
        <f t="shared" ca="1" si="200"/>
        <v>#N/A</v>
      </c>
      <c r="AE418" s="324" t="e">
        <f t="shared" ca="1" si="179"/>
        <v>#N/A</v>
      </c>
      <c r="AG418" s="306">
        <f t="shared" ca="1" si="201"/>
        <v>6.984562521512979</v>
      </c>
      <c r="AH418" s="304">
        <f t="shared" ca="1" si="202"/>
        <v>-2.4522404337980799</v>
      </c>
    </row>
    <row r="419" spans="1:34" x14ac:dyDescent="0.2">
      <c r="A419" s="347">
        <f t="shared" ca="1" si="180"/>
        <v>0.1</v>
      </c>
      <c r="B419" s="304">
        <f t="shared" ca="1" si="181"/>
        <v>23.500000000000068</v>
      </c>
      <c r="D419" s="306">
        <f t="shared" ca="1" si="182"/>
        <v>-0.67466057809561664</v>
      </c>
      <c r="E419" s="307">
        <f t="shared" ca="1" si="183"/>
        <v>-7.4003391085406722</v>
      </c>
      <c r="F419" s="304">
        <f t="shared" ca="1" si="184"/>
        <v>7.4310285840543546</v>
      </c>
      <c r="G419" s="306">
        <f t="shared" ca="1" si="185"/>
        <v>19.327876223665708</v>
      </c>
      <c r="H419" s="307">
        <f t="shared" ca="1" si="186"/>
        <v>-70.013679488400797</v>
      </c>
      <c r="I419" s="304">
        <f t="shared" ca="1" si="187"/>
        <v>72.632514171146909</v>
      </c>
      <c r="J419" s="306">
        <f t="shared" ca="1" si="188"/>
        <v>603.87406660343913</v>
      </c>
      <c r="K419" s="307">
        <f t="shared" ca="1" si="189"/>
        <v>1090.5328599503787</v>
      </c>
      <c r="L419" s="304">
        <f t="shared" ca="1" si="174"/>
        <v>1246.5656047507998</v>
      </c>
      <c r="M419" s="306">
        <f t="shared" ca="1" si="190"/>
        <v>-1.301446238597386</v>
      </c>
      <c r="N419" s="304">
        <f t="shared" ca="1" si="191"/>
        <v>-74.56737673480616</v>
      </c>
      <c r="P419" s="310">
        <f t="shared" ca="1" si="192"/>
        <v>23</v>
      </c>
      <c r="Q419" s="304">
        <f t="shared" ca="1" si="193"/>
        <v>0</v>
      </c>
      <c r="R419" s="306">
        <f t="shared" ca="1" si="194"/>
        <v>0</v>
      </c>
      <c r="S419" s="307">
        <f t="shared" ca="1" si="195"/>
        <v>7.4499999999999984</v>
      </c>
      <c r="T419" s="304">
        <f t="shared" ca="1" si="175"/>
        <v>73.084499999999991</v>
      </c>
      <c r="U419" s="311">
        <f t="shared" ca="1" si="176"/>
        <v>0</v>
      </c>
      <c r="V419" s="306">
        <f t="shared" ca="1" si="177"/>
        <v>1.0983173066503209</v>
      </c>
      <c r="W419" s="304">
        <f t="shared" ca="1" si="178"/>
        <v>19.017515462232314</v>
      </c>
      <c r="Y419" s="314" t="str">
        <f t="shared" ca="1" si="196"/>
        <v/>
      </c>
      <c r="Z419" s="315" t="str">
        <f t="shared" ca="1" si="197"/>
        <v/>
      </c>
      <c r="AA419" s="316" t="str">
        <f t="shared" ca="1" si="198"/>
        <v/>
      </c>
      <c r="AC419" s="310" t="e">
        <f t="shared" ca="1" si="199"/>
        <v>#N/A</v>
      </c>
      <c r="AD419" s="323" t="e">
        <f t="shared" ca="1" si="200"/>
        <v>#N/A</v>
      </c>
      <c r="AE419" s="324" t="e">
        <f t="shared" ca="1" si="179"/>
        <v>#N/A</v>
      </c>
      <c r="AG419" s="306">
        <f t="shared" ca="1" si="201"/>
        <v>6.9443968794068134</v>
      </c>
      <c r="AH419" s="304">
        <f t="shared" ca="1" si="202"/>
        <v>-2.5023254199773617</v>
      </c>
    </row>
    <row r="420" spans="1:34" x14ac:dyDescent="0.2">
      <c r="A420" s="347">
        <f t="shared" ca="1" si="180"/>
        <v>0.1</v>
      </c>
      <c r="B420" s="304">
        <f t="shared" ca="1" si="181"/>
        <v>23.600000000000069</v>
      </c>
      <c r="D420" s="306">
        <f t="shared" ca="1" si="182"/>
        <v>-0.67928271468759316</v>
      </c>
      <c r="E420" s="307">
        <f t="shared" ca="1" si="183"/>
        <v>-7.3493529160790576</v>
      </c>
      <c r="F420" s="304">
        <f t="shared" ca="1" si="184"/>
        <v>7.3806783761083299</v>
      </c>
      <c r="G420" s="306">
        <f t="shared" ca="1" si="185"/>
        <v>19.259947952196949</v>
      </c>
      <c r="H420" s="307">
        <f t="shared" ca="1" si="186"/>
        <v>-70.748614780008708</v>
      </c>
      <c r="I420" s="304">
        <f t="shared" ca="1" si="187"/>
        <v>73.323339315741762</v>
      </c>
      <c r="J420" s="306">
        <f t="shared" ca="1" si="188"/>
        <v>605.8034578122323</v>
      </c>
      <c r="K420" s="307">
        <f t="shared" ca="1" si="189"/>
        <v>1083.4947452369581</v>
      </c>
      <c r="L420" s="304">
        <f t="shared" ca="1" si="174"/>
        <v>1241.3535726993168</v>
      </c>
      <c r="M420" s="306">
        <f t="shared" ca="1" si="190"/>
        <v>-1.3050064906667658</v>
      </c>
      <c r="N420" s="304">
        <f t="shared" ca="1" si="191"/>
        <v>-74.771364152384336</v>
      </c>
      <c r="P420" s="310">
        <f t="shared" ca="1" si="192"/>
        <v>23</v>
      </c>
      <c r="Q420" s="304">
        <f t="shared" ca="1" si="193"/>
        <v>0</v>
      </c>
      <c r="R420" s="306">
        <f t="shared" ca="1" si="194"/>
        <v>0</v>
      </c>
      <c r="S420" s="307">
        <f t="shared" ca="1" si="195"/>
        <v>7.4499999999999984</v>
      </c>
      <c r="T420" s="304">
        <f t="shared" ca="1" si="175"/>
        <v>73.084499999999991</v>
      </c>
      <c r="U420" s="311">
        <f t="shared" ca="1" si="176"/>
        <v>0</v>
      </c>
      <c r="V420" s="306">
        <f t="shared" ca="1" si="177"/>
        <v>1.099092878912769</v>
      </c>
      <c r="W420" s="304">
        <f t="shared" ca="1" si="178"/>
        <v>19.394681906783084</v>
      </c>
      <c r="Y420" s="314" t="str">
        <f t="shared" ca="1" si="196"/>
        <v/>
      </c>
      <c r="Z420" s="315" t="str">
        <f t="shared" ca="1" si="197"/>
        <v/>
      </c>
      <c r="AA420" s="316" t="str">
        <f t="shared" ca="1" si="198"/>
        <v/>
      </c>
      <c r="AC420" s="310" t="e">
        <f t="shared" ca="1" si="199"/>
        <v>#N/A</v>
      </c>
      <c r="AD420" s="323" t="e">
        <f t="shared" ca="1" si="200"/>
        <v>#N/A</v>
      </c>
      <c r="AE420" s="324" t="e">
        <f t="shared" ca="1" si="179"/>
        <v>#N/A</v>
      </c>
      <c r="AG420" s="306">
        <f t="shared" ca="1" si="201"/>
        <v>6.903604439488559</v>
      </c>
      <c r="AH420" s="304">
        <f t="shared" ca="1" si="202"/>
        <v>-2.5526866392258145</v>
      </c>
    </row>
    <row r="421" spans="1:34" x14ac:dyDescent="0.2">
      <c r="A421" s="347">
        <f t="shared" ca="1" si="180"/>
        <v>0.1</v>
      </c>
      <c r="B421" s="304">
        <f t="shared" ca="1" si="181"/>
        <v>23.70000000000007</v>
      </c>
      <c r="D421" s="306">
        <f t="shared" ca="1" si="182"/>
        <v>-0.68381600589909941</v>
      </c>
      <c r="E421" s="307">
        <f t="shared" ca="1" si="183"/>
        <v>-7.2981014579148429</v>
      </c>
      <c r="F421" s="304">
        <f t="shared" ca="1" si="184"/>
        <v>7.3300674771752643</v>
      </c>
      <c r="G421" s="306">
        <f t="shared" ca="1" si="185"/>
        <v>19.19156635160704</v>
      </c>
      <c r="H421" s="307">
        <f t="shared" ca="1" si="186"/>
        <v>-71.478424925800198</v>
      </c>
      <c r="I421" s="304">
        <f t="shared" ca="1" si="187"/>
        <v>74.010009112966543</v>
      </c>
      <c r="J421" s="306">
        <f t="shared" ca="1" si="188"/>
        <v>607.72603352742249</v>
      </c>
      <c r="K421" s="307">
        <f t="shared" ca="1" si="189"/>
        <v>1076.3833932516677</v>
      </c>
      <c r="L421" s="304">
        <f t="shared" ca="1" si="174"/>
        <v>1236.0955226417366</v>
      </c>
      <c r="M421" s="306">
        <f t="shared" ca="1" si="190"/>
        <v>-1.3084881983091141</v>
      </c>
      <c r="N421" s="304">
        <f t="shared" ca="1" si="191"/>
        <v>-74.970851305789338</v>
      </c>
      <c r="P421" s="310">
        <f t="shared" ca="1" si="192"/>
        <v>23</v>
      </c>
      <c r="Q421" s="304">
        <f t="shared" ca="1" si="193"/>
        <v>0</v>
      </c>
      <c r="R421" s="306">
        <f t="shared" ca="1" si="194"/>
        <v>0</v>
      </c>
      <c r="S421" s="307">
        <f t="shared" ca="1" si="195"/>
        <v>7.4499999999999984</v>
      </c>
      <c r="T421" s="304">
        <f t="shared" ca="1" si="175"/>
        <v>73.084499999999991</v>
      </c>
      <c r="U421" s="311">
        <f t="shared" ca="1" si="176"/>
        <v>0</v>
      </c>
      <c r="V421" s="306">
        <f t="shared" ca="1" si="177"/>
        <v>1.0998770477239013</v>
      </c>
      <c r="W421" s="304">
        <f t="shared" ca="1" si="178"/>
        <v>19.773741421194508</v>
      </c>
      <c r="Y421" s="314" t="str">
        <f t="shared" ca="1" si="196"/>
        <v/>
      </c>
      <c r="Z421" s="315" t="str">
        <f t="shared" ca="1" si="197"/>
        <v/>
      </c>
      <c r="AA421" s="316" t="str">
        <f t="shared" ca="1" si="198"/>
        <v/>
      </c>
      <c r="AC421" s="310" t="e">
        <f t="shared" ca="1" si="199"/>
        <v>#N/A</v>
      </c>
      <c r="AD421" s="323" t="e">
        <f t="shared" ca="1" si="200"/>
        <v>#N/A</v>
      </c>
      <c r="AE421" s="324" t="e">
        <f t="shared" ca="1" si="179"/>
        <v>#N/A</v>
      </c>
      <c r="AG421" s="306">
        <f t="shared" ca="1" si="201"/>
        <v>6.8622121235130127</v>
      </c>
      <c r="AH421" s="304">
        <f t="shared" ca="1" si="202"/>
        <v>-2.6033130076218911</v>
      </c>
    </row>
    <row r="422" spans="1:34" x14ac:dyDescent="0.2">
      <c r="A422" s="347">
        <f t="shared" ca="1" si="180"/>
        <v>0.1</v>
      </c>
      <c r="B422" s="304">
        <f t="shared" ca="1" si="181"/>
        <v>23.800000000000072</v>
      </c>
      <c r="D422" s="306">
        <f t="shared" ca="1" si="182"/>
        <v>-0.68826001887519417</v>
      </c>
      <c r="E422" s="307">
        <f t="shared" ca="1" si="183"/>
        <v>-7.2465957844560789</v>
      </c>
      <c r="F422" s="304">
        <f t="shared" ca="1" si="184"/>
        <v>7.279206846688635</v>
      </c>
      <c r="G422" s="306">
        <f t="shared" ca="1" si="185"/>
        <v>19.122740349719521</v>
      </c>
      <c r="H422" s="307">
        <f t="shared" ca="1" si="186"/>
        <v>-72.203084504245808</v>
      </c>
      <c r="I422" s="304">
        <f t="shared" ca="1" si="187"/>
        <v>74.692466891983514</v>
      </c>
      <c r="J422" s="306">
        <f t="shared" ca="1" si="188"/>
        <v>609.64174886248884</v>
      </c>
      <c r="K422" s="307">
        <f t="shared" ca="1" si="189"/>
        <v>1069.1993177801653</v>
      </c>
      <c r="L422" s="304">
        <f t="shared" ca="1" si="174"/>
        <v>1230.792526422583</v>
      </c>
      <c r="M422" s="306">
        <f t="shared" ca="1" si="190"/>
        <v>-1.311893950211334</v>
      </c>
      <c r="N422" s="304">
        <f t="shared" ca="1" si="191"/>
        <v>-75.165986515855195</v>
      </c>
      <c r="P422" s="310">
        <f t="shared" ca="1" si="192"/>
        <v>23</v>
      </c>
      <c r="Q422" s="304">
        <f t="shared" ca="1" si="193"/>
        <v>0</v>
      </c>
      <c r="R422" s="306">
        <f t="shared" ca="1" si="194"/>
        <v>0</v>
      </c>
      <c r="S422" s="307">
        <f t="shared" ca="1" si="195"/>
        <v>7.4499999999999984</v>
      </c>
      <c r="T422" s="304">
        <f t="shared" ca="1" si="175"/>
        <v>73.084499999999991</v>
      </c>
      <c r="U422" s="311">
        <f t="shared" ca="1" si="176"/>
        <v>0</v>
      </c>
      <c r="V422" s="306">
        <f t="shared" ca="1" si="177"/>
        <v>1.1006697732528072</v>
      </c>
      <c r="W422" s="304">
        <f t="shared" ca="1" si="178"/>
        <v>20.154612028519026</v>
      </c>
      <c r="Y422" s="314" t="str">
        <f t="shared" ca="1" si="196"/>
        <v/>
      </c>
      <c r="Z422" s="315" t="str">
        <f t="shared" ca="1" si="197"/>
        <v/>
      </c>
      <c r="AA422" s="316" t="str">
        <f t="shared" ca="1" si="198"/>
        <v/>
      </c>
      <c r="AC422" s="310" t="e">
        <f t="shared" ca="1" si="199"/>
        <v>#N/A</v>
      </c>
      <c r="AD422" s="323" t="e">
        <f t="shared" ca="1" si="200"/>
        <v>#N/A</v>
      </c>
      <c r="AE422" s="324" t="e">
        <f t="shared" ca="1" si="179"/>
        <v>#N/A</v>
      </c>
      <c r="AG422" s="306">
        <f t="shared" ca="1" si="201"/>
        <v>6.8202459502065835</v>
      </c>
      <c r="AH422" s="304">
        <f t="shared" ca="1" si="202"/>
        <v>-2.654193479354968</v>
      </c>
    </row>
    <row r="423" spans="1:34" x14ac:dyDescent="0.2">
      <c r="A423" s="347">
        <f t="shared" ca="1" si="180"/>
        <v>0.1</v>
      </c>
      <c r="B423" s="304">
        <f t="shared" ca="1" si="181"/>
        <v>23.900000000000073</v>
      </c>
      <c r="D423" s="306">
        <f t="shared" ca="1" si="182"/>
        <v>-0.6926143649945673</v>
      </c>
      <c r="E423" s="307">
        <f t="shared" ca="1" si="183"/>
        <v>-7.1948469094916732</v>
      </c>
      <c r="F423" s="304">
        <f t="shared" ca="1" si="184"/>
        <v>7.2281074085557631</v>
      </c>
      <c r="G423" s="306">
        <f t="shared" ca="1" si="185"/>
        <v>19.053478913220065</v>
      </c>
      <c r="H423" s="307">
        <f t="shared" ca="1" si="186"/>
        <v>-72.922569195194981</v>
      </c>
      <c r="I423" s="304">
        <f t="shared" ca="1" si="187"/>
        <v>75.370658460202677</v>
      </c>
      <c r="J423" s="306">
        <f t="shared" ca="1" si="188"/>
        <v>611.55055982563579</v>
      </c>
      <c r="K423" s="307">
        <f t="shared" ca="1" si="189"/>
        <v>1061.9430350951932</v>
      </c>
      <c r="L423" s="304">
        <f t="shared" ca="1" si="174"/>
        <v>1225.4456728106061</v>
      </c>
      <c r="M423" s="306">
        <f t="shared" ca="1" si="190"/>
        <v>-1.3152262251479947</v>
      </c>
      <c r="N423" s="304">
        <f t="shared" ca="1" si="191"/>
        <v>-75.356911805903067</v>
      </c>
      <c r="P423" s="310">
        <f t="shared" ca="1" si="192"/>
        <v>23</v>
      </c>
      <c r="Q423" s="304">
        <f t="shared" ca="1" si="193"/>
        <v>0</v>
      </c>
      <c r="R423" s="306">
        <f t="shared" ca="1" si="194"/>
        <v>0</v>
      </c>
      <c r="S423" s="307">
        <f t="shared" ca="1" si="195"/>
        <v>7.4499999999999984</v>
      </c>
      <c r="T423" s="304">
        <f t="shared" ca="1" si="175"/>
        <v>73.084499999999991</v>
      </c>
      <c r="U423" s="311">
        <f t="shared" ca="1" si="176"/>
        <v>0</v>
      </c>
      <c r="V423" s="306">
        <f t="shared" ca="1" si="177"/>
        <v>1.1014710154401259</v>
      </c>
      <c r="W423" s="304">
        <f t="shared" ca="1" si="178"/>
        <v>20.537212095993237</v>
      </c>
      <c r="Y423" s="314" t="str">
        <f t="shared" ca="1" si="196"/>
        <v/>
      </c>
      <c r="Z423" s="315" t="str">
        <f t="shared" ca="1" si="197"/>
        <v/>
      </c>
      <c r="AA423" s="316" t="str">
        <f t="shared" ca="1" si="198"/>
        <v/>
      </c>
      <c r="AC423" s="310" t="e">
        <f t="shared" ca="1" si="199"/>
        <v>#N/A</v>
      </c>
      <c r="AD423" s="323" t="e">
        <f t="shared" ca="1" si="200"/>
        <v>#N/A</v>
      </c>
      <c r="AE423" s="324" t="e">
        <f t="shared" ca="1" si="179"/>
        <v>#N/A</v>
      </c>
      <c r="AG423" s="306">
        <f t="shared" ca="1" si="201"/>
        <v>6.7777310859068134</v>
      </c>
      <c r="AH423" s="304">
        <f t="shared" ca="1" si="202"/>
        <v>-2.7053170508079236</v>
      </c>
    </row>
    <row r="424" spans="1:34" x14ac:dyDescent="0.2">
      <c r="A424" s="347">
        <f t="shared" ca="1" si="180"/>
        <v>0.1</v>
      </c>
      <c r="B424" s="304">
        <f t="shared" ca="1" si="181"/>
        <v>24.000000000000075</v>
      </c>
      <c r="D424" s="306">
        <f t="shared" ca="1" si="182"/>
        <v>-0.69687869873102226</v>
      </c>
      <c r="E424" s="307">
        <f t="shared" ca="1" si="183"/>
        <v>-7.1428658057500094</v>
      </c>
      <c r="F424" s="304">
        <f t="shared" ca="1" si="184"/>
        <v>7.1767800467687302</v>
      </c>
      <c r="G424" s="306">
        <f t="shared" ca="1" si="185"/>
        <v>18.983791043346962</v>
      </c>
      <c r="H424" s="307">
        <f t="shared" ca="1" si="186"/>
        <v>-73.636855775769988</v>
      </c>
      <c r="I424" s="304">
        <f t="shared" ca="1" si="187"/>
        <v>76.044532025116766</v>
      </c>
      <c r="J424" s="306">
        <f t="shared" ca="1" si="188"/>
        <v>613.45242332346413</v>
      </c>
      <c r="K424" s="307">
        <f t="shared" ca="1" si="189"/>
        <v>1054.6150638466449</v>
      </c>
      <c r="L424" s="304">
        <f t="shared" ca="1" si="174"/>
        <v>1220.0560677992194</v>
      </c>
      <c r="M424" s="306">
        <f t="shared" ca="1" si="190"/>
        <v>-1.3184873975607874</v>
      </c>
      <c r="N424" s="304">
        <f t="shared" ca="1" si="191"/>
        <v>-75.543763221420591</v>
      </c>
      <c r="P424" s="310">
        <f t="shared" ca="1" si="192"/>
        <v>23</v>
      </c>
      <c r="Q424" s="304">
        <f t="shared" ca="1" si="193"/>
        <v>0</v>
      </c>
      <c r="R424" s="306">
        <f t="shared" ca="1" si="194"/>
        <v>0</v>
      </c>
      <c r="S424" s="307">
        <f t="shared" ca="1" si="195"/>
        <v>7.4499999999999984</v>
      </c>
      <c r="T424" s="304">
        <f t="shared" ca="1" si="175"/>
        <v>73.084499999999991</v>
      </c>
      <c r="U424" s="311">
        <f t="shared" ca="1" si="176"/>
        <v>0</v>
      </c>
      <c r="V424" s="306">
        <f t="shared" ca="1" si="177"/>
        <v>1.1022807340058667</v>
      </c>
      <c r="W424" s="304">
        <f t="shared" ca="1" si="178"/>
        <v>20.921460364293427</v>
      </c>
      <c r="Y424" s="314" t="str">
        <f t="shared" ca="1" si="196"/>
        <v/>
      </c>
      <c r="Z424" s="315" t="str">
        <f t="shared" ca="1" si="197"/>
        <v/>
      </c>
      <c r="AA424" s="316" t="str">
        <f t="shared" ca="1" si="198"/>
        <v/>
      </c>
      <c r="AC424" s="310">
        <f t="shared" ca="1" si="199"/>
        <v>24.000000000000075</v>
      </c>
      <c r="AD424" s="323">
        <f t="shared" ca="1" si="200"/>
        <v>613.45242332346413</v>
      </c>
      <c r="AE424" s="324" t="e">
        <f t="shared" ca="1" si="179"/>
        <v>#N/A</v>
      </c>
      <c r="AG424" s="306">
        <f t="shared" ca="1" si="201"/>
        <v>6.7346918913873628</v>
      </c>
      <c r="AH424" s="304">
        <f t="shared" ca="1" si="202"/>
        <v>-2.7566727645628513</v>
      </c>
    </row>
    <row r="425" spans="1:34" x14ac:dyDescent="0.2">
      <c r="A425" s="347">
        <f t="shared" ca="1" si="180"/>
        <v>0.1</v>
      </c>
      <c r="B425" s="304">
        <f t="shared" ca="1" si="181"/>
        <v>24.100000000000076</v>
      </c>
      <c r="D425" s="306">
        <f t="shared" ca="1" si="182"/>
        <v>-0.70105271655494084</v>
      </c>
      <c r="E425" s="307">
        <f t="shared" ca="1" si="183"/>
        <v>-7.0906634005666742</v>
      </c>
      <c r="F425" s="304">
        <f t="shared" ca="1" si="184"/>
        <v>7.125235601123995</v>
      </c>
      <c r="G425" s="306">
        <f t="shared" ca="1" si="185"/>
        <v>18.913685771691469</v>
      </c>
      <c r="H425" s="307">
        <f t="shared" ca="1" si="186"/>
        <v>-74.345922115826653</v>
      </c>
      <c r="I425" s="304">
        <f t="shared" ca="1" si="187"/>
        <v>76.714038120300046</v>
      </c>
      <c r="J425" s="306">
        <f t="shared" ca="1" si="188"/>
        <v>615.347297164216</v>
      </c>
      <c r="K425" s="307">
        <f t="shared" ca="1" si="189"/>
        <v>1047.2159249520651</v>
      </c>
      <c r="L425" s="304">
        <f t="shared" ca="1" si="174"/>
        <v>1214.6248349183854</v>
      </c>
      <c r="M425" s="306">
        <f t="shared" ca="1" si="190"/>
        <v>-1.3216797428141243</v>
      </c>
      <c r="N425" s="304">
        <f t="shared" ca="1" si="191"/>
        <v>-75.726671131185412</v>
      </c>
      <c r="P425" s="310">
        <f t="shared" ca="1" si="192"/>
        <v>23</v>
      </c>
      <c r="Q425" s="304">
        <f t="shared" ca="1" si="193"/>
        <v>0</v>
      </c>
      <c r="R425" s="306">
        <f t="shared" ca="1" si="194"/>
        <v>0</v>
      </c>
      <c r="S425" s="307">
        <f t="shared" ca="1" si="195"/>
        <v>7.4499999999999984</v>
      </c>
      <c r="T425" s="304">
        <f t="shared" ca="1" si="175"/>
        <v>73.084499999999991</v>
      </c>
      <c r="U425" s="311">
        <f t="shared" ca="1" si="176"/>
        <v>0</v>
      </c>
      <c r="V425" s="306">
        <f t="shared" ca="1" si="177"/>
        <v>1.1030988884572197</v>
      </c>
      <c r="W425" s="304">
        <f t="shared" ca="1" si="178"/>
        <v>21.307275976190688</v>
      </c>
      <c r="Y425" s="314" t="str">
        <f t="shared" ca="1" si="196"/>
        <v/>
      </c>
      <c r="Z425" s="315" t="str">
        <f t="shared" ca="1" si="197"/>
        <v/>
      </c>
      <c r="AA425" s="316" t="str">
        <f t="shared" ca="1" si="198"/>
        <v/>
      </c>
      <c r="AC425" s="310" t="e">
        <f t="shared" ca="1" si="199"/>
        <v>#N/A</v>
      </c>
      <c r="AD425" s="323" t="e">
        <f t="shared" ca="1" si="200"/>
        <v>#N/A</v>
      </c>
      <c r="AE425" s="324" t="e">
        <f t="shared" ca="1" si="179"/>
        <v>#N/A</v>
      </c>
      <c r="AG425" s="306">
        <f t="shared" ca="1" si="201"/>
        <v>6.6911519651741571</v>
      </c>
      <c r="AH425" s="304">
        <f t="shared" ca="1" si="202"/>
        <v>-2.8082497133279776</v>
      </c>
    </row>
    <row r="426" spans="1:34" x14ac:dyDescent="0.2">
      <c r="A426" s="347">
        <f t="shared" ca="1" si="180"/>
        <v>0.1</v>
      </c>
      <c r="B426" s="304">
        <f t="shared" ca="1" si="181"/>
        <v>24.200000000000077</v>
      </c>
      <c r="D426" s="306">
        <f t="shared" ca="1" si="182"/>
        <v>-0.70513615587149481</v>
      </c>
      <c r="E426" s="307">
        <f t="shared" ca="1" si="183"/>
        <v>-7.0382505716606687</v>
      </c>
      <c r="F426" s="304">
        <f t="shared" ca="1" si="184"/>
        <v>7.0734848630501048</v>
      </c>
      <c r="G426" s="306">
        <f t="shared" ca="1" si="185"/>
        <v>18.84317215610432</v>
      </c>
      <c r="H426" s="307">
        <f t="shared" ca="1" si="186"/>
        <v>-75.049747172992724</v>
      </c>
      <c r="I426" s="304">
        <f t="shared" ca="1" si="187"/>
        <v>77.379129535261086</v>
      </c>
      <c r="J426" s="306">
        <f t="shared" ca="1" si="188"/>
        <v>617.23514006060577</v>
      </c>
      <c r="K426" s="307">
        <f t="shared" ca="1" si="189"/>
        <v>1039.7461414876241</v>
      </c>
      <c r="L426" s="304">
        <f t="shared" ca="1" si="174"/>
        <v>1209.1531155581736</v>
      </c>
      <c r="M426" s="306">
        <f t="shared" ca="1" si="190"/>
        <v>-1.3248054421476176</v>
      </c>
      <c r="N426" s="304">
        <f t="shared" ca="1" si="191"/>
        <v>-75.905760511021441</v>
      </c>
      <c r="P426" s="310">
        <f t="shared" ca="1" si="192"/>
        <v>23</v>
      </c>
      <c r="Q426" s="304">
        <f t="shared" ca="1" si="193"/>
        <v>0</v>
      </c>
      <c r="R426" s="306">
        <f t="shared" ca="1" si="194"/>
        <v>0</v>
      </c>
      <c r="S426" s="307">
        <f t="shared" ca="1" si="195"/>
        <v>7.4499999999999984</v>
      </c>
      <c r="T426" s="304">
        <f t="shared" ca="1" si="175"/>
        <v>73.084499999999991</v>
      </c>
      <c r="U426" s="311">
        <f t="shared" ca="1" si="176"/>
        <v>0</v>
      </c>
      <c r="V426" s="306">
        <f t="shared" ca="1" si="177"/>
        <v>1.1039254380963475</v>
      </c>
      <c r="W426" s="304">
        <f t="shared" ca="1" si="178"/>
        <v>21.694578504592897</v>
      </c>
      <c r="Y426" s="314" t="str">
        <f t="shared" ca="1" si="196"/>
        <v/>
      </c>
      <c r="Z426" s="315" t="str">
        <f t="shared" ca="1" si="197"/>
        <v/>
      </c>
      <c r="AA426" s="316" t="str">
        <f t="shared" ca="1" si="198"/>
        <v/>
      </c>
      <c r="AC426" s="310" t="e">
        <f t="shared" ca="1" si="199"/>
        <v>#N/A</v>
      </c>
      <c r="AD426" s="323" t="e">
        <f t="shared" ca="1" si="200"/>
        <v>#N/A</v>
      </c>
      <c r="AE426" s="324" t="e">
        <f t="shared" ca="1" si="179"/>
        <v>#N/A</v>
      </c>
      <c r="AG426" s="306">
        <f t="shared" ca="1" si="201"/>
        <v>6.6471341836326507</v>
      </c>
      <c r="AH426" s="304">
        <f t="shared" ca="1" si="202"/>
        <v>-2.8600370437839855</v>
      </c>
    </row>
    <row r="427" spans="1:34" x14ac:dyDescent="0.2">
      <c r="A427" s="347">
        <f t="shared" ca="1" si="180"/>
        <v>0.1</v>
      </c>
      <c r="B427" s="304">
        <f t="shared" ca="1" si="181"/>
        <v>24.300000000000079</v>
      </c>
      <c r="D427" s="306">
        <f t="shared" ca="1" si="182"/>
        <v>-0.70912879399262518</v>
      </c>
      <c r="E427" s="307">
        <f t="shared" ca="1" si="183"/>
        <v>-6.9856381430185603</v>
      </c>
      <c r="F427" s="304">
        <f t="shared" ca="1" si="184"/>
        <v>7.0215385715429379</v>
      </c>
      <c r="G427" s="306">
        <f t="shared" ca="1" si="185"/>
        <v>18.772259276705057</v>
      </c>
      <c r="H427" s="307">
        <f t="shared" ca="1" si="186"/>
        <v>-75.748310987294573</v>
      </c>
      <c r="I427" s="304">
        <f t="shared" ca="1" si="187"/>
        <v>78.039761248864224</v>
      </c>
      <c r="J427" s="306">
        <f t="shared" ca="1" si="188"/>
        <v>619.11591163224625</v>
      </c>
      <c r="K427" s="307">
        <f t="shared" ca="1" si="189"/>
        <v>1032.2062385796098</v>
      </c>
      <c r="L427" s="304">
        <f t="shared" ca="1" si="174"/>
        <v>1203.6420693041989</v>
      </c>
      <c r="M427" s="306">
        <f t="shared" ca="1" si="190"/>
        <v>-1.327866587344751</v>
      </c>
      <c r="N427" s="304">
        <f t="shared" ca="1" si="191"/>
        <v>-76.081151211293928</v>
      </c>
      <c r="P427" s="310">
        <f t="shared" ca="1" si="192"/>
        <v>23</v>
      </c>
      <c r="Q427" s="304">
        <f t="shared" ca="1" si="193"/>
        <v>0</v>
      </c>
      <c r="R427" s="306">
        <f t="shared" ca="1" si="194"/>
        <v>0</v>
      </c>
      <c r="S427" s="307">
        <f t="shared" ca="1" si="195"/>
        <v>7.4499999999999984</v>
      </c>
      <c r="T427" s="304">
        <f t="shared" ca="1" si="175"/>
        <v>73.084499999999991</v>
      </c>
      <c r="U427" s="311">
        <f t="shared" ca="1" si="176"/>
        <v>0</v>
      </c>
      <c r="V427" s="306">
        <f t="shared" ca="1" si="177"/>
        <v>1.1047603420281586</v>
      </c>
      <c r="W427" s="304">
        <f t="shared" ca="1" si="178"/>
        <v>22.083287979961973</v>
      </c>
      <c r="Y427" s="314" t="str">
        <f t="shared" ca="1" si="196"/>
        <v/>
      </c>
      <c r="Z427" s="315" t="str">
        <f t="shared" ca="1" si="197"/>
        <v/>
      </c>
      <c r="AA427" s="316" t="str">
        <f t="shared" ca="1" si="198"/>
        <v/>
      </c>
      <c r="AC427" s="310" t="e">
        <f t="shared" ca="1" si="199"/>
        <v>#N/A</v>
      </c>
      <c r="AD427" s="323" t="e">
        <f t="shared" ca="1" si="200"/>
        <v>#N/A</v>
      </c>
      <c r="AE427" s="324" t="e">
        <f t="shared" ca="1" si="179"/>
        <v>#N/A</v>
      </c>
      <c r="AG427" s="306">
        <f t="shared" ca="1" si="201"/>
        <v>6.6026607380829567</v>
      </c>
      <c r="AH427" s="304">
        <f t="shared" ca="1" si="202"/>
        <v>-2.9120239603480407</v>
      </c>
    </row>
    <row r="428" spans="1:34" x14ac:dyDescent="0.2">
      <c r="A428" s="347">
        <f t="shared" ca="1" si="180"/>
        <v>0.1</v>
      </c>
      <c r="B428" s="304">
        <f t="shared" ca="1" si="181"/>
        <v>24.40000000000008</v>
      </c>
      <c r="D428" s="306">
        <f t="shared" ca="1" si="182"/>
        <v>-0.71303044714011277</v>
      </c>
      <c r="E428" s="307">
        <f t="shared" ca="1" si="183"/>
        <v>-6.932836880886132</v>
      </c>
      <c r="F428" s="304">
        <f t="shared" ca="1" si="184"/>
        <v>6.9694074092080296</v>
      </c>
      <c r="G428" s="306">
        <f t="shared" ca="1" si="185"/>
        <v>18.700956231991047</v>
      </c>
      <c r="H428" s="307">
        <f t="shared" ca="1" si="186"/>
        <v>-76.441594675383186</v>
      </c>
      <c r="I428" s="304">
        <f t="shared" ca="1" si="187"/>
        <v>78.695890366056702</v>
      </c>
      <c r="J428" s="306">
        <f t="shared" ca="1" si="188"/>
        <v>620.98957240768107</v>
      </c>
      <c r="K428" s="307">
        <f t="shared" ca="1" si="189"/>
        <v>1024.596743296476</v>
      </c>
      <c r="L428" s="304">
        <f t="shared" ca="1" si="174"/>
        <v>1198.0928742851361</v>
      </c>
      <c r="M428" s="306">
        <f t="shared" ca="1" si="190"/>
        <v>-1.3308651851357516</v>
      </c>
      <c r="N428" s="304">
        <f t="shared" ca="1" si="191"/>
        <v>-76.252958209175503</v>
      </c>
      <c r="P428" s="310">
        <f t="shared" ca="1" si="192"/>
        <v>23</v>
      </c>
      <c r="Q428" s="304">
        <f t="shared" ca="1" si="193"/>
        <v>0</v>
      </c>
      <c r="R428" s="306">
        <f t="shared" ca="1" si="194"/>
        <v>0</v>
      </c>
      <c r="S428" s="307">
        <f t="shared" ca="1" si="195"/>
        <v>7.4499999999999984</v>
      </c>
      <c r="T428" s="304">
        <f t="shared" ca="1" si="175"/>
        <v>73.084499999999991</v>
      </c>
      <c r="U428" s="311">
        <f t="shared" ca="1" si="176"/>
        <v>0</v>
      </c>
      <c r="V428" s="306">
        <f t="shared" ca="1" si="177"/>
        <v>1.1056035591680615</v>
      </c>
      <c r="W428" s="304">
        <f t="shared" ca="1" si="178"/>
        <v>22.473324917095407</v>
      </c>
      <c r="Y428" s="314" t="str">
        <f t="shared" ca="1" si="196"/>
        <v/>
      </c>
      <c r="Z428" s="315" t="str">
        <f t="shared" ca="1" si="197"/>
        <v/>
      </c>
      <c r="AA428" s="316" t="str">
        <f t="shared" ca="1" si="198"/>
        <v/>
      </c>
      <c r="AC428" s="310" t="e">
        <f t="shared" ca="1" si="199"/>
        <v>#N/A</v>
      </c>
      <c r="AD428" s="323" t="e">
        <f t="shared" ca="1" si="200"/>
        <v>#N/A</v>
      </c>
      <c r="AE428" s="324" t="e">
        <f t="shared" ca="1" si="179"/>
        <v>#N/A</v>
      </c>
      <c r="AG428" s="306">
        <f t="shared" ca="1" si="201"/>
        <v>6.5577531691781932</v>
      </c>
      <c r="AH428" s="304">
        <f t="shared" ca="1" si="202"/>
        <v>-2.964199728853957</v>
      </c>
    </row>
    <row r="429" spans="1:34" x14ac:dyDescent="0.2">
      <c r="A429" s="347">
        <f t="shared" ca="1" si="180"/>
        <v>0.1</v>
      </c>
      <c r="B429" s="304">
        <f t="shared" ca="1" si="181"/>
        <v>24.500000000000082</v>
      </c>
      <c r="D429" s="306">
        <f t="shared" ca="1" si="182"/>
        <v>-0.71684096947727227</v>
      </c>
      <c r="E429" s="307">
        <f t="shared" ca="1" si="183"/>
        <v>-6.8798574898671738</v>
      </c>
      <c r="F429" s="304">
        <f t="shared" ca="1" si="184"/>
        <v>6.9171019984096356</v>
      </c>
      <c r="G429" s="306">
        <f t="shared" ca="1" si="185"/>
        <v>18.629272135043319</v>
      </c>
      <c r="H429" s="307">
        <f t="shared" ca="1" si="186"/>
        <v>-77.129580424369905</v>
      </c>
      <c r="I429" s="304">
        <f t="shared" ca="1" si="187"/>
        <v>79.347476057659492</v>
      </c>
      <c r="J429" s="306">
        <f t="shared" ca="1" si="188"/>
        <v>622.85608382603277</v>
      </c>
      <c r="K429" s="307">
        <f t="shared" ca="1" si="189"/>
        <v>1016.9181845414884</v>
      </c>
      <c r="L429" s="304">
        <f t="shared" ca="1" si="174"/>
        <v>1192.5067275324943</v>
      </c>
      <c r="M429" s="306">
        <f t="shared" ca="1" si="190"/>
        <v>-1.3338031613514407</v>
      </c>
      <c r="N429" s="304">
        <f t="shared" ca="1" si="191"/>
        <v>-76.421291846644309</v>
      </c>
      <c r="P429" s="310">
        <f t="shared" ca="1" si="192"/>
        <v>23</v>
      </c>
      <c r="Q429" s="304">
        <f t="shared" ca="1" si="193"/>
        <v>0</v>
      </c>
      <c r="R429" s="306">
        <f t="shared" ca="1" si="194"/>
        <v>0</v>
      </c>
      <c r="S429" s="307">
        <f t="shared" ca="1" si="195"/>
        <v>7.4499999999999984</v>
      </c>
      <c r="T429" s="304">
        <f t="shared" ca="1" si="175"/>
        <v>73.084499999999991</v>
      </c>
      <c r="U429" s="311">
        <f t="shared" ca="1" si="176"/>
        <v>0</v>
      </c>
      <c r="V429" s="306">
        <f t="shared" ca="1" si="177"/>
        <v>1.1064550482496918</v>
      </c>
      <c r="W429" s="304">
        <f t="shared" ca="1" si="178"/>
        <v>22.864610341261937</v>
      </c>
      <c r="Y429" s="314" t="str">
        <f t="shared" ca="1" si="196"/>
        <v/>
      </c>
      <c r="Z429" s="315" t="str">
        <f t="shared" ca="1" si="197"/>
        <v/>
      </c>
      <c r="AA429" s="316" t="str">
        <f t="shared" ca="1" si="198"/>
        <v/>
      </c>
      <c r="AC429" s="310" t="e">
        <f t="shared" ca="1" si="199"/>
        <v>#N/A</v>
      </c>
      <c r="AD429" s="323" t="e">
        <f t="shared" ca="1" si="200"/>
        <v>#N/A</v>
      </c>
      <c r="AE429" s="324" t="e">
        <f t="shared" ca="1" si="179"/>
        <v>#N/A</v>
      </c>
      <c r="AG429" s="306">
        <f t="shared" ca="1" si="201"/>
        <v>6.5124323987620407</v>
      </c>
      <c r="AH429" s="304">
        <f t="shared" ca="1" si="202"/>
        <v>-3.0165536801470352</v>
      </c>
    </row>
    <row r="430" spans="1:34" x14ac:dyDescent="0.2">
      <c r="A430" s="347">
        <f t="shared" ca="1" si="180"/>
        <v>0.1</v>
      </c>
      <c r="B430" s="304">
        <f t="shared" ca="1" si="181"/>
        <v>24.600000000000083</v>
      </c>
      <c r="D430" s="306">
        <f t="shared" ca="1" si="182"/>
        <v>-0.72056025216704156</v>
      </c>
      <c r="E430" s="307">
        <f t="shared" ca="1" si="183"/>
        <v>-6.8267106091290746</v>
      </c>
      <c r="F430" s="304">
        <f t="shared" ca="1" si="184"/>
        <v>6.8646328975261666</v>
      </c>
      <c r="G430" s="306">
        <f t="shared" ca="1" si="185"/>
        <v>18.557216109826616</v>
      </c>
      <c r="H430" s="307">
        <f t="shared" ca="1" si="186"/>
        <v>-77.812251485282815</v>
      </c>
      <c r="I430" s="304">
        <f t="shared" ca="1" si="187"/>
        <v>79.994479502998871</v>
      </c>
      <c r="J430" s="306">
        <f t="shared" ca="1" si="188"/>
        <v>624.71540823827627</v>
      </c>
      <c r="K430" s="307">
        <f t="shared" ca="1" si="189"/>
        <v>1009.1710929460057</v>
      </c>
      <c r="L430" s="304">
        <f t="shared" ca="1" si="174"/>
        <v>1186.8848453528051</v>
      </c>
      <c r="M430" s="306">
        <f t="shared" ca="1" si="190"/>
        <v>-1.3366823648437098</v>
      </c>
      <c r="N430" s="304">
        <f t="shared" ca="1" si="191"/>
        <v>-76.586258055110662</v>
      </c>
      <c r="P430" s="310">
        <f t="shared" ca="1" si="192"/>
        <v>23</v>
      </c>
      <c r="Q430" s="304">
        <f t="shared" ca="1" si="193"/>
        <v>0</v>
      </c>
      <c r="R430" s="306">
        <f t="shared" ca="1" si="194"/>
        <v>0</v>
      </c>
      <c r="S430" s="307">
        <f t="shared" ca="1" si="195"/>
        <v>7.4499999999999984</v>
      </c>
      <c r="T430" s="304">
        <f t="shared" ca="1" si="175"/>
        <v>73.084499999999991</v>
      </c>
      <c r="U430" s="311">
        <f t="shared" ca="1" si="176"/>
        <v>0</v>
      </c>
      <c r="V430" s="306">
        <f t="shared" ca="1" si="177"/>
        <v>1.1073147678326125</v>
      </c>
      <c r="W430" s="304">
        <f t="shared" ca="1" si="178"/>
        <v>23.257065813682257</v>
      </c>
      <c r="Y430" s="314" t="str">
        <f t="shared" ca="1" si="196"/>
        <v/>
      </c>
      <c r="Z430" s="315" t="str">
        <f t="shared" ca="1" si="197"/>
        <v/>
      </c>
      <c r="AA430" s="316" t="str">
        <f t="shared" ca="1" si="198"/>
        <v/>
      </c>
      <c r="AC430" s="310" t="e">
        <f t="shared" ca="1" si="199"/>
        <v>#N/A</v>
      </c>
      <c r="AD430" s="323" t="e">
        <f t="shared" ca="1" si="200"/>
        <v>#N/A</v>
      </c>
      <c r="AE430" s="324" t="e">
        <f t="shared" ca="1" si="179"/>
        <v>#N/A</v>
      </c>
      <c r="AG430" s="306">
        <f t="shared" ca="1" si="201"/>
        <v>6.4667187594037312</v>
      </c>
      <c r="AH430" s="304">
        <f t="shared" ca="1" si="202"/>
        <v>-3.0690752135922068</v>
      </c>
    </row>
    <row r="431" spans="1:34" x14ac:dyDescent="0.2">
      <c r="A431" s="347">
        <f t="shared" ca="1" si="180"/>
        <v>0.1</v>
      </c>
      <c r="B431" s="304">
        <f t="shared" ca="1" si="181"/>
        <v>24.700000000000085</v>
      </c>
      <c r="D431" s="306">
        <f t="shared" ca="1" si="182"/>
        <v>-0.72418822245443659</v>
      </c>
      <c r="E431" s="307">
        <f t="shared" ca="1" si="183"/>
        <v>-6.7734068087149613</v>
      </c>
      <c r="F431" s="304">
        <f t="shared" ca="1" si="184"/>
        <v>6.8120105973117742</v>
      </c>
      <c r="G431" s="306">
        <f t="shared" ca="1" si="185"/>
        <v>18.484797287581173</v>
      </c>
      <c r="H431" s="307">
        <f t="shared" ca="1" si="186"/>
        <v>-78.48959216615431</v>
      </c>
      <c r="I431" s="304">
        <f t="shared" ca="1" si="187"/>
        <v>80.636863835172804</v>
      </c>
      <c r="J431" s="306">
        <f t="shared" ca="1" si="188"/>
        <v>626.56750890814669</v>
      </c>
      <c r="K431" s="307">
        <f t="shared" ca="1" si="189"/>
        <v>1001.3560007634338</v>
      </c>
      <c r="L431" s="304">
        <f t="shared" ca="1" si="174"/>
        <v>1181.2284637123755</v>
      </c>
      <c r="M431" s="306">
        <f t="shared" ca="1" si="190"/>
        <v>-1.339504571187204</v>
      </c>
      <c r="N431" s="304">
        <f t="shared" ca="1" si="191"/>
        <v>-76.747958567507922</v>
      </c>
      <c r="P431" s="310">
        <f t="shared" ca="1" si="192"/>
        <v>23</v>
      </c>
      <c r="Q431" s="304">
        <f t="shared" ca="1" si="193"/>
        <v>0</v>
      </c>
      <c r="R431" s="306">
        <f t="shared" ca="1" si="194"/>
        <v>0</v>
      </c>
      <c r="S431" s="307">
        <f t="shared" ca="1" si="195"/>
        <v>7.4499999999999984</v>
      </c>
      <c r="T431" s="304">
        <f t="shared" ca="1" si="175"/>
        <v>73.084499999999991</v>
      </c>
      <c r="U431" s="311">
        <f t="shared" ca="1" si="176"/>
        <v>0</v>
      </c>
      <c r="V431" s="306">
        <f t="shared" ca="1" si="177"/>
        <v>1.1081826763099856</v>
      </c>
      <c r="W431" s="304">
        <f t="shared" ca="1" si="178"/>
        <v>23.650613456346207</v>
      </c>
      <c r="Y431" s="314" t="str">
        <f t="shared" ca="1" si="196"/>
        <v/>
      </c>
      <c r="Z431" s="315" t="str">
        <f t="shared" ca="1" si="197"/>
        <v/>
      </c>
      <c r="AA431" s="316" t="str">
        <f t="shared" ca="1" si="198"/>
        <v/>
      </c>
      <c r="AC431" s="310" t="e">
        <f t="shared" ca="1" si="199"/>
        <v>#N/A</v>
      </c>
      <c r="AD431" s="323" t="e">
        <f t="shared" ca="1" si="200"/>
        <v>#N/A</v>
      </c>
      <c r="AE431" s="324" t="e">
        <f t="shared" ca="1" si="179"/>
        <v>#N/A</v>
      </c>
      <c r="AG431" s="306">
        <f t="shared" ca="1" si="201"/>
        <v>6.4206320217924873</v>
      </c>
      <c r="AH431" s="304">
        <f t="shared" ca="1" si="202"/>
        <v>-3.1217538004942633</v>
      </c>
    </row>
    <row r="432" spans="1:34" x14ac:dyDescent="0.2">
      <c r="A432" s="347">
        <f t="shared" ca="1" si="180"/>
        <v>0.1</v>
      </c>
      <c r="B432" s="304">
        <f t="shared" ca="1" si="181"/>
        <v>24.800000000000086</v>
      </c>
      <c r="D432" s="306">
        <f t="shared" ca="1" si="182"/>
        <v>-0.72772484277152683</v>
      </c>
      <c r="E432" s="307">
        <f t="shared" ca="1" si="183"/>
        <v>-6.7199565859620964</v>
      </c>
      <c r="F432" s="304">
        <f t="shared" ca="1" si="184"/>
        <v>6.7592455173637687</v>
      </c>
      <c r="G432" s="306">
        <f t="shared" ca="1" si="185"/>
        <v>18.412024803304021</v>
      </c>
      <c r="H432" s="307">
        <f t="shared" ca="1" si="186"/>
        <v>-79.161587824750526</v>
      </c>
      <c r="I432" s="304">
        <f t="shared" ca="1" si="187"/>
        <v>81.274594088762896</v>
      </c>
      <c r="J432" s="306">
        <f t="shared" ca="1" si="188"/>
        <v>628.41235001269092</v>
      </c>
      <c r="K432" s="307">
        <f t="shared" ca="1" si="189"/>
        <v>993.47344176388856</v>
      </c>
      <c r="L432" s="304">
        <f t="shared" ca="1" si="174"/>
        <v>1175.538838634717</v>
      </c>
      <c r="M432" s="306">
        <f t="shared" ca="1" si="190"/>
        <v>-1.342271486175816</v>
      </c>
      <c r="N432" s="304">
        <f t="shared" ca="1" si="191"/>
        <v>-76.906491118626889</v>
      </c>
      <c r="P432" s="310">
        <f t="shared" ca="1" si="192"/>
        <v>23</v>
      </c>
      <c r="Q432" s="304">
        <f t="shared" ca="1" si="193"/>
        <v>0</v>
      </c>
      <c r="R432" s="306">
        <f t="shared" ca="1" si="194"/>
        <v>0</v>
      </c>
      <c r="S432" s="307">
        <f t="shared" ca="1" si="195"/>
        <v>7.4499999999999984</v>
      </c>
      <c r="T432" s="304">
        <f t="shared" ca="1" si="175"/>
        <v>73.084499999999991</v>
      </c>
      <c r="U432" s="311">
        <f t="shared" ca="1" si="176"/>
        <v>0</v>
      </c>
      <c r="V432" s="306">
        <f t="shared" ca="1" si="177"/>
        <v>1.1090587319162073</v>
      </c>
      <c r="W432" s="304">
        <f t="shared" ca="1" si="178"/>
        <v>24.045175976158838</v>
      </c>
      <c r="Y432" s="314" t="str">
        <f t="shared" ca="1" si="196"/>
        <v/>
      </c>
      <c r="Z432" s="315" t="str">
        <f t="shared" ca="1" si="197"/>
        <v/>
      </c>
      <c r="AA432" s="316" t="str">
        <f t="shared" ca="1" si="198"/>
        <v/>
      </c>
      <c r="AC432" s="310" t="e">
        <f t="shared" ca="1" si="199"/>
        <v>#N/A</v>
      </c>
      <c r="AD432" s="323" t="e">
        <f t="shared" ca="1" si="200"/>
        <v>#N/A</v>
      </c>
      <c r="AE432" s="324" t="e">
        <f t="shared" ca="1" si="179"/>
        <v>#N/A</v>
      </c>
      <c r="AG432" s="306">
        <f t="shared" ca="1" si="201"/>
        <v>6.3741914201586409</v>
      </c>
      <c r="AH432" s="304">
        <f t="shared" ca="1" si="202"/>
        <v>-3.1745789874290216</v>
      </c>
    </row>
    <row r="433" spans="1:34" x14ac:dyDescent="0.2">
      <c r="A433" s="347">
        <f t="shared" ca="1" si="180"/>
        <v>0.1</v>
      </c>
      <c r="B433" s="304">
        <f t="shared" ca="1" si="181"/>
        <v>24.900000000000087</v>
      </c>
      <c r="D433" s="306">
        <f t="shared" ca="1" si="182"/>
        <v>-0.73117010986326092</v>
      </c>
      <c r="E433" s="307">
        <f t="shared" ca="1" si="183"/>
        <v>-6.6663703620263215</v>
      </c>
      <c r="F433" s="304">
        <f t="shared" ca="1" si="184"/>
        <v>6.7063480026956848</v>
      </c>
      <c r="G433" s="306">
        <f t="shared" ca="1" si="185"/>
        <v>18.338907792317695</v>
      </c>
      <c r="H433" s="307">
        <f t="shared" ca="1" si="186"/>
        <v>-79.828224860953156</v>
      </c>
      <c r="I433" s="304">
        <f t="shared" ca="1" si="187"/>
        <v>81.907637149816679</v>
      </c>
      <c r="J433" s="306">
        <f t="shared" ca="1" si="188"/>
        <v>630.24989664247198</v>
      </c>
      <c r="K433" s="307">
        <f t="shared" ca="1" si="189"/>
        <v>985.52395112960335</v>
      </c>
      <c r="L433" s="304">
        <f t="shared" ca="1" si="174"/>
        <v>1169.817246610748</v>
      </c>
      <c r="M433" s="306">
        <f t="shared" ca="1" si="190"/>
        <v>-1.3449847491266809</v>
      </c>
      <c r="N433" s="304">
        <f t="shared" ca="1" si="191"/>
        <v>-77.061949634420642</v>
      </c>
      <c r="P433" s="310">
        <f t="shared" ca="1" si="192"/>
        <v>23</v>
      </c>
      <c r="Q433" s="304">
        <f t="shared" ca="1" si="193"/>
        <v>0</v>
      </c>
      <c r="R433" s="306">
        <f t="shared" ca="1" si="194"/>
        <v>0</v>
      </c>
      <c r="S433" s="307">
        <f t="shared" ca="1" si="195"/>
        <v>7.4499999999999984</v>
      </c>
      <c r="T433" s="304">
        <f t="shared" ca="1" si="175"/>
        <v>73.084499999999991</v>
      </c>
      <c r="U433" s="311">
        <f t="shared" ca="1" si="176"/>
        <v>0</v>
      </c>
      <c r="V433" s="306">
        <f t="shared" ca="1" si="177"/>
        <v>1.109942892734515</v>
      </c>
      <c r="W433" s="304">
        <f t="shared" ca="1" si="178"/>
        <v>24.440676688408587</v>
      </c>
      <c r="Y433" s="314" t="str">
        <f t="shared" ca="1" si="196"/>
        <v/>
      </c>
      <c r="Z433" s="315" t="str">
        <f t="shared" ca="1" si="197"/>
        <v/>
      </c>
      <c r="AA433" s="316" t="str">
        <f t="shared" ca="1" si="198"/>
        <v/>
      </c>
      <c r="AC433" s="310" t="e">
        <f t="shared" ca="1" si="199"/>
        <v>#N/A</v>
      </c>
      <c r="AD433" s="323" t="e">
        <f t="shared" ca="1" si="200"/>
        <v>#N/A</v>
      </c>
      <c r="AE433" s="324" t="e">
        <f t="shared" ca="1" si="179"/>
        <v>#N/A</v>
      </c>
      <c r="AG433" s="306">
        <f t="shared" ca="1" si="201"/>
        <v>6.3274156758750957</v>
      </c>
      <c r="AH433" s="304">
        <f t="shared" ca="1" si="202"/>
        <v>-3.2275403994844085</v>
      </c>
    </row>
    <row r="434" spans="1:34" x14ac:dyDescent="0.2">
      <c r="A434" s="347">
        <f t="shared" ca="1" si="180"/>
        <v>0.1</v>
      </c>
      <c r="B434" s="304">
        <f t="shared" ca="1" si="181"/>
        <v>25.000000000000089</v>
      </c>
      <c r="D434" s="306">
        <f t="shared" ca="1" si="182"/>
        <v>-0.73452405393261877</v>
      </c>
      <c r="E434" s="307">
        <f t="shared" ca="1" si="183"/>
        <v>-6.6126584785122846</v>
      </c>
      <c r="F434" s="304">
        <f t="shared" ca="1" si="184"/>
        <v>6.6533283204157305</v>
      </c>
      <c r="G434" s="306">
        <f t="shared" ca="1" si="185"/>
        <v>18.265455386924433</v>
      </c>
      <c r="H434" s="307">
        <f t="shared" ca="1" si="186"/>
        <v>-80.489490708804382</v>
      </c>
      <c r="I434" s="304">
        <f t="shared" ca="1" si="187"/>
        <v>82.535961707939364</v>
      </c>
      <c r="J434" s="306">
        <f t="shared" ca="1" si="188"/>
        <v>632.08011480143409</v>
      </c>
      <c r="K434" s="307">
        <f t="shared" ca="1" si="189"/>
        <v>977.50806535111542</v>
      </c>
      <c r="L434" s="304">
        <f t="shared" ca="1" si="174"/>
        <v>1164.0649850218306</v>
      </c>
      <c r="M434" s="306">
        <f t="shared" ca="1" si="190"/>
        <v>-1.3476459360035036</v>
      </c>
      <c r="N434" s="304">
        <f t="shared" ca="1" si="191"/>
        <v>-77.214424410958188</v>
      </c>
      <c r="P434" s="310">
        <f t="shared" ca="1" si="192"/>
        <v>23</v>
      </c>
      <c r="Q434" s="304">
        <f t="shared" ca="1" si="193"/>
        <v>0</v>
      </c>
      <c r="R434" s="306">
        <f t="shared" ca="1" si="194"/>
        <v>0</v>
      </c>
      <c r="S434" s="307">
        <f t="shared" ca="1" si="195"/>
        <v>7.4499999999999984</v>
      </c>
      <c r="T434" s="304">
        <f t="shared" ca="1" si="175"/>
        <v>73.084499999999991</v>
      </c>
      <c r="U434" s="311">
        <f t="shared" ca="1" si="176"/>
        <v>0</v>
      </c>
      <c r="V434" s="306">
        <f t="shared" ca="1" si="177"/>
        <v>1.1108351167045474</v>
      </c>
      <c r="W434" s="304">
        <f t="shared" ca="1" si="178"/>
        <v>24.837039539551341</v>
      </c>
      <c r="Y434" s="314" t="str">
        <f t="shared" ca="1" si="196"/>
        <v/>
      </c>
      <c r="Z434" s="315" t="str">
        <f t="shared" ca="1" si="197"/>
        <v/>
      </c>
      <c r="AA434" s="316" t="str">
        <f t="shared" ca="1" si="198"/>
        <v/>
      </c>
      <c r="AC434" s="310">
        <f t="shared" ca="1" si="199"/>
        <v>25.000000000000089</v>
      </c>
      <c r="AD434" s="323">
        <f t="shared" ca="1" si="200"/>
        <v>632.08011480143409</v>
      </c>
      <c r="AE434" s="324" t="e">
        <f t="shared" ca="1" si="179"/>
        <v>#N/A</v>
      </c>
      <c r="AG434" s="306">
        <f t="shared" ca="1" si="201"/>
        <v>6.2803230193804795</v>
      </c>
      <c r="AH434" s="304">
        <f t="shared" ca="1" si="202"/>
        <v>-3.2806277434105491</v>
      </c>
    </row>
    <row r="435" spans="1:34" x14ac:dyDescent="0.2">
      <c r="A435" s="347">
        <f t="shared" ca="1" si="180"/>
        <v>0.1</v>
      </c>
      <c r="B435" s="304">
        <f t="shared" ca="1" si="181"/>
        <v>25.10000000000009</v>
      </c>
      <c r="D435" s="306">
        <f t="shared" ca="1" si="182"/>
        <v>-0.73778673780372495</v>
      </c>
      <c r="E435" s="307">
        <f t="shared" ca="1" si="183"/>
        <v>-6.5588311942092137</v>
      </c>
      <c r="F435" s="304">
        <f t="shared" ca="1" si="184"/>
        <v>6.6001966565103896</v>
      </c>
      <c r="G435" s="306">
        <f t="shared" ca="1" si="185"/>
        <v>18.191676713144062</v>
      </c>
      <c r="H435" s="307">
        <f t="shared" ca="1" si="186"/>
        <v>-81.145373828225303</v>
      </c>
      <c r="I435" s="304">
        <f t="shared" ca="1" si="187"/>
        <v>83.1595382103459</v>
      </c>
      <c r="J435" s="306">
        <f t="shared" ca="1" si="188"/>
        <v>633.90297140643747</v>
      </c>
      <c r="K435" s="307">
        <f t="shared" ca="1" si="189"/>
        <v>969.42632212426395</v>
      </c>
      <c r="L435" s="304">
        <f t="shared" ca="1" si="174"/>
        <v>1158.2833725756784</v>
      </c>
      <c r="M435" s="306">
        <f t="shared" ca="1" si="190"/>
        <v>-1.3502565623702738</v>
      </c>
      <c r="N435" s="304">
        <f t="shared" ca="1" si="191"/>
        <v>-77.364002283659701</v>
      </c>
      <c r="P435" s="310">
        <f t="shared" ca="1" si="192"/>
        <v>23</v>
      </c>
      <c r="Q435" s="304">
        <f t="shared" ca="1" si="193"/>
        <v>0</v>
      </c>
      <c r="R435" s="306">
        <f t="shared" ca="1" si="194"/>
        <v>0</v>
      </c>
      <c r="S435" s="307">
        <f t="shared" ca="1" si="195"/>
        <v>7.4499999999999984</v>
      </c>
      <c r="T435" s="304">
        <f t="shared" ca="1" si="175"/>
        <v>73.084499999999991</v>
      </c>
      <c r="U435" s="311">
        <f t="shared" ca="1" si="176"/>
        <v>0</v>
      </c>
      <c r="V435" s="306">
        <f t="shared" ca="1" si="177"/>
        <v>1.111735361629872</v>
      </c>
      <c r="W435" s="304">
        <f t="shared" ca="1" si="178"/>
        <v>25.234189129305253</v>
      </c>
      <c r="Y435" s="314" t="str">
        <f t="shared" ca="1" si="196"/>
        <v/>
      </c>
      <c r="Z435" s="315" t="str">
        <f t="shared" ca="1" si="197"/>
        <v/>
      </c>
      <c r="AA435" s="316" t="str">
        <f t="shared" ca="1" si="198"/>
        <v/>
      </c>
      <c r="AC435" s="310" t="e">
        <f t="shared" ca="1" si="199"/>
        <v>#N/A</v>
      </c>
      <c r="AD435" s="323" t="e">
        <f t="shared" ca="1" si="200"/>
        <v>#N/A</v>
      </c>
      <c r="AE435" s="324" t="e">
        <f t="shared" ca="1" si="179"/>
        <v>#N/A</v>
      </c>
      <c r="AG435" s="306">
        <f t="shared" ca="1" si="201"/>
        <v>6.2329312105539438</v>
      </c>
      <c r="AH435" s="304">
        <f t="shared" ca="1" si="202"/>
        <v>-3.333830810678033</v>
      </c>
    </row>
    <row r="436" spans="1:34" x14ac:dyDescent="0.2">
      <c r="A436" s="347">
        <f t="shared" ca="1" si="180"/>
        <v>0.1</v>
      </c>
      <c r="B436" s="304">
        <f t="shared" ca="1" si="181"/>
        <v>25.200000000000092</v>
      </c>
      <c r="D436" s="306">
        <f t="shared" ca="1" si="182"/>
        <v>-0.74095825610166666</v>
      </c>
      <c r="E436" s="307">
        <f t="shared" ca="1" si="183"/>
        <v>-6.5048986819319872</v>
      </c>
      <c r="F436" s="304">
        <f t="shared" ca="1" si="184"/>
        <v>6.5469631127329357</v>
      </c>
      <c r="G436" s="306">
        <f t="shared" ca="1" si="185"/>
        <v>18.117580887533897</v>
      </c>
      <c r="H436" s="307">
        <f t="shared" ca="1" si="186"/>
        <v>-81.795863696418508</v>
      </c>
      <c r="I436" s="304">
        <f t="shared" ca="1" si="187"/>
        <v>83.778338817736227</v>
      </c>
      <c r="J436" s="306">
        <f t="shared" ca="1" si="188"/>
        <v>635.71843428647139</v>
      </c>
      <c r="K436" s="307">
        <f t="shared" ca="1" si="189"/>
        <v>961.27926024803173</v>
      </c>
      <c r="L436" s="304">
        <f t="shared" ca="1" si="174"/>
        <v>1152.4737497551282</v>
      </c>
      <c r="M436" s="306">
        <f t="shared" ca="1" si="190"/>
        <v>-1.352818086185674</v>
      </c>
      <c r="N436" s="304">
        <f t="shared" ca="1" si="191"/>
        <v>-77.510766787404378</v>
      </c>
      <c r="P436" s="310">
        <f t="shared" ca="1" si="192"/>
        <v>23</v>
      </c>
      <c r="Q436" s="304">
        <f t="shared" ca="1" si="193"/>
        <v>0</v>
      </c>
      <c r="R436" s="306">
        <f t="shared" ca="1" si="194"/>
        <v>0</v>
      </c>
      <c r="S436" s="307">
        <f t="shared" ca="1" si="195"/>
        <v>7.4499999999999984</v>
      </c>
      <c r="T436" s="304">
        <f t="shared" ca="1" si="175"/>
        <v>73.084499999999991</v>
      </c>
      <c r="U436" s="311">
        <f t="shared" ca="1" si="176"/>
        <v>0</v>
      </c>
      <c r="V436" s="306">
        <f t="shared" ca="1" si="177"/>
        <v>1.1126435851854677</v>
      </c>
      <c r="W436" s="304">
        <f t="shared" ca="1" si="178"/>
        <v>25.63205073205183</v>
      </c>
      <c r="Y436" s="314" t="str">
        <f t="shared" ca="1" si="196"/>
        <v/>
      </c>
      <c r="Z436" s="315" t="str">
        <f t="shared" ca="1" si="197"/>
        <v/>
      </c>
      <c r="AA436" s="316" t="str">
        <f t="shared" ca="1" si="198"/>
        <v/>
      </c>
      <c r="AC436" s="310" t="e">
        <f t="shared" ca="1" si="199"/>
        <v>#N/A</v>
      </c>
      <c r="AD436" s="323" t="e">
        <f t="shared" ca="1" si="200"/>
        <v>#N/A</v>
      </c>
      <c r="AE436" s="324" t="e">
        <f t="shared" ca="1" si="179"/>
        <v>#N/A</v>
      </c>
      <c r="AG436" s="306">
        <f t="shared" ca="1" si="201"/>
        <v>6.1852575576612896</v>
      </c>
      <c r="AH436" s="304">
        <f t="shared" ca="1" si="202"/>
        <v>-3.387139480443659</v>
      </c>
    </row>
    <row r="437" spans="1:34" x14ac:dyDescent="0.2">
      <c r="A437" s="347">
        <f t="shared" ca="1" si="180"/>
        <v>0.1</v>
      </c>
      <c r="B437" s="304">
        <f t="shared" ca="1" si="181"/>
        <v>25.300000000000093</v>
      </c>
      <c r="D437" s="306">
        <f t="shared" ca="1" si="182"/>
        <v>-0.74403873444791202</v>
      </c>
      <c r="E437" s="307">
        <f t="shared" ca="1" si="183"/>
        <v>-6.4508710254671806</v>
      </c>
      <c r="F437" s="304">
        <f t="shared" ca="1" si="184"/>
        <v>6.4936377035965629</v>
      </c>
      <c r="G437" s="306">
        <f t="shared" ca="1" si="185"/>
        <v>18.043177014089107</v>
      </c>
      <c r="H437" s="307">
        <f t="shared" ca="1" si="186"/>
        <v>-82.440950798965233</v>
      </c>
      <c r="I437" s="304">
        <f t="shared" ca="1" si="187"/>
        <v>84.392337361866922</v>
      </c>
      <c r="J437" s="306">
        <f t="shared" ca="1" si="188"/>
        <v>637.52647218155255</v>
      </c>
      <c r="K437" s="307">
        <f t="shared" ca="1" si="189"/>
        <v>953.06741952326252</v>
      </c>
      <c r="L437" s="304">
        <f t="shared" ca="1" si="174"/>
        <v>1146.6374792797358</v>
      </c>
      <c r="M437" s="306">
        <f t="shared" ca="1" si="190"/>
        <v>-1.3553319104478154</v>
      </c>
      <c r="N437" s="304">
        <f t="shared" ca="1" si="191"/>
        <v>-77.654798308062666</v>
      </c>
      <c r="P437" s="310">
        <f t="shared" ca="1" si="192"/>
        <v>23</v>
      </c>
      <c r="Q437" s="304">
        <f t="shared" ca="1" si="193"/>
        <v>0</v>
      </c>
      <c r="R437" s="306">
        <f t="shared" ca="1" si="194"/>
        <v>0</v>
      </c>
      <c r="S437" s="307">
        <f t="shared" ca="1" si="195"/>
        <v>7.4499999999999984</v>
      </c>
      <c r="T437" s="304">
        <f t="shared" ca="1" si="175"/>
        <v>73.084499999999991</v>
      </c>
      <c r="U437" s="311">
        <f t="shared" ca="1" si="176"/>
        <v>0</v>
      </c>
      <c r="V437" s="306">
        <f t="shared" ca="1" si="177"/>
        <v>1.11355974492516</v>
      </c>
      <c r="W437" s="304">
        <f t="shared" ca="1" si="178"/>
        <v>26.030550317539188</v>
      </c>
      <c r="Y437" s="314" t="str">
        <f t="shared" ca="1" si="196"/>
        <v/>
      </c>
      <c r="Z437" s="315" t="str">
        <f t="shared" ca="1" si="197"/>
        <v/>
      </c>
      <c r="AA437" s="316" t="str">
        <f t="shared" ca="1" si="198"/>
        <v/>
      </c>
      <c r="AC437" s="310" t="e">
        <f t="shared" ca="1" si="199"/>
        <v>#N/A</v>
      </c>
      <c r="AD437" s="323" t="e">
        <f t="shared" ca="1" si="200"/>
        <v>#N/A</v>
      </c>
      <c r="AE437" s="324" t="e">
        <f t="shared" ca="1" si="179"/>
        <v>#N/A</v>
      </c>
      <c r="AG437" s="306">
        <f t="shared" ca="1" si="201"/>
        <v>6.1373189349824848</v>
      </c>
      <c r="AH437" s="304">
        <f t="shared" ca="1" si="202"/>
        <v>-3.4405437224230653</v>
      </c>
    </row>
    <row r="438" spans="1:34" x14ac:dyDescent="0.2">
      <c r="A438" s="347">
        <f t="shared" ca="1" si="180"/>
        <v>0.1</v>
      </c>
      <c r="B438" s="304">
        <f t="shared" ca="1" si="181"/>
        <v>25.400000000000095</v>
      </c>
      <c r="D438" s="306">
        <f t="shared" ca="1" si="182"/>
        <v>-0.74702832867029534</v>
      </c>
      <c r="E438" s="307">
        <f t="shared" ca="1" si="183"/>
        <v>-6.3967582166238515</v>
      </c>
      <c r="F438" s="304">
        <f t="shared" ca="1" si="184"/>
        <v>6.4402303534718914</v>
      </c>
      <c r="G438" s="306">
        <f t="shared" ca="1" si="185"/>
        <v>17.968474181222078</v>
      </c>
      <c r="H438" s="307">
        <f t="shared" ca="1" si="186"/>
        <v>-83.080626620627612</v>
      </c>
      <c r="I438" s="304">
        <f t="shared" ca="1" si="187"/>
        <v>85.001509304702239</v>
      </c>
      <c r="J438" s="306">
        <f t="shared" ca="1" si="188"/>
        <v>639.32705474131808</v>
      </c>
      <c r="K438" s="307">
        <f t="shared" ca="1" si="189"/>
        <v>944.79134065228288</v>
      </c>
      <c r="L438" s="304">
        <f t="shared" ca="1" si="174"/>
        <v>1140.7759465801103</v>
      </c>
      <c r="M438" s="306">
        <f t="shared" ca="1" si="190"/>
        <v>-1.3577993856982953</v>
      </c>
      <c r="N438" s="304">
        <f t="shared" ca="1" si="191"/>
        <v>-77.796174225968144</v>
      </c>
      <c r="P438" s="310">
        <f t="shared" ca="1" si="192"/>
        <v>23</v>
      </c>
      <c r="Q438" s="304">
        <f t="shared" ca="1" si="193"/>
        <v>0</v>
      </c>
      <c r="R438" s="306">
        <f t="shared" ca="1" si="194"/>
        <v>0</v>
      </c>
      <c r="S438" s="307">
        <f t="shared" ca="1" si="195"/>
        <v>7.4499999999999984</v>
      </c>
      <c r="T438" s="304">
        <f t="shared" ca="1" si="175"/>
        <v>73.084499999999991</v>
      </c>
      <c r="U438" s="311">
        <f t="shared" ca="1" si="176"/>
        <v>0</v>
      </c>
      <c r="V438" s="306">
        <f t="shared" ca="1" si="177"/>
        <v>1.1144837982890117</v>
      </c>
      <c r="W438" s="304">
        <f t="shared" ca="1" si="178"/>
        <v>26.429614570884844</v>
      </c>
      <c r="Y438" s="314" t="str">
        <f t="shared" ca="1" si="196"/>
        <v/>
      </c>
      <c r="Z438" s="315" t="str">
        <f t="shared" ca="1" si="197"/>
        <v/>
      </c>
      <c r="AA438" s="316" t="str">
        <f t="shared" ca="1" si="198"/>
        <v/>
      </c>
      <c r="AC438" s="310" t="e">
        <f t="shared" ca="1" si="199"/>
        <v>#N/A</v>
      </c>
      <c r="AD438" s="323" t="e">
        <f t="shared" ca="1" si="200"/>
        <v>#N/A</v>
      </c>
      <c r="AE438" s="324" t="e">
        <f t="shared" ca="1" si="179"/>
        <v>#N/A</v>
      </c>
      <c r="AG438" s="306">
        <f t="shared" ca="1" si="201"/>
        <v>6.0891317992221357</v>
      </c>
      <c r="AH438" s="304">
        <f t="shared" ca="1" si="202"/>
        <v>-3.4940335996696903</v>
      </c>
    </row>
    <row r="439" spans="1:34" x14ac:dyDescent="0.2">
      <c r="A439" s="347">
        <f t="shared" ca="1" si="180"/>
        <v>0.1</v>
      </c>
      <c r="B439" s="304">
        <f t="shared" ca="1" si="181"/>
        <v>25.500000000000096</v>
      </c>
      <c r="D439" s="306">
        <f t="shared" ca="1" si="182"/>
        <v>-0.74992722402666845</v>
      </c>
      <c r="E439" s="307">
        <f t="shared" ca="1" si="183"/>
        <v>-6.3425701523886477</v>
      </c>
      <c r="F439" s="304">
        <f t="shared" ca="1" si="184"/>
        <v>6.3867508937884603</v>
      </c>
      <c r="G439" s="306">
        <f t="shared" ca="1" si="185"/>
        <v>17.893481458819412</v>
      </c>
      <c r="H439" s="307">
        <f t="shared" ca="1" si="186"/>
        <v>-83.714883635866471</v>
      </c>
      <c r="I439" s="304">
        <f t="shared" ca="1" si="187"/>
        <v>85.6058316990366</v>
      </c>
      <c r="J439" s="306">
        <f t="shared" ca="1" si="188"/>
        <v>641.12015252332014</v>
      </c>
      <c r="K439" s="307">
        <f t="shared" ca="1" si="189"/>
        <v>936.45156513945813</v>
      </c>
      <c r="L439" s="304">
        <f t="shared" ca="1" si="174"/>
        <v>1134.8905602848522</v>
      </c>
      <c r="M439" s="306">
        <f t="shared" ca="1" si="190"/>
        <v>-1.3602218123939784</v>
      </c>
      <c r="N439" s="304">
        <f t="shared" ca="1" si="191"/>
        <v>-77.934969051810612</v>
      </c>
      <c r="P439" s="310">
        <f t="shared" ca="1" si="192"/>
        <v>23</v>
      </c>
      <c r="Q439" s="304">
        <f t="shared" ca="1" si="193"/>
        <v>0</v>
      </c>
      <c r="R439" s="306">
        <f t="shared" ca="1" si="194"/>
        <v>0</v>
      </c>
      <c r="S439" s="307">
        <f t="shared" ca="1" si="195"/>
        <v>7.4499999999999984</v>
      </c>
      <c r="T439" s="304">
        <f t="shared" ca="1" si="175"/>
        <v>73.084499999999991</v>
      </c>
      <c r="U439" s="311">
        <f t="shared" ca="1" si="176"/>
        <v>0</v>
      </c>
      <c r="V439" s="306">
        <f t="shared" ca="1" si="177"/>
        <v>1.1154157026106641</v>
      </c>
      <c r="W439" s="304">
        <f t="shared" ca="1" si="178"/>
        <v>26.829170911875483</v>
      </c>
      <c r="Y439" s="314" t="str">
        <f t="shared" ca="1" si="196"/>
        <v/>
      </c>
      <c r="Z439" s="315" t="str">
        <f t="shared" ca="1" si="197"/>
        <v/>
      </c>
      <c r="AA439" s="316" t="str">
        <f t="shared" ca="1" si="198"/>
        <v/>
      </c>
      <c r="AC439" s="310" t="e">
        <f t="shared" ca="1" si="199"/>
        <v>#N/A</v>
      </c>
      <c r="AD439" s="323" t="e">
        <f t="shared" ca="1" si="200"/>
        <v>#N/A</v>
      </c>
      <c r="AE439" s="324" t="e">
        <f t="shared" ca="1" si="179"/>
        <v>#N/A</v>
      </c>
      <c r="AG439" s="306">
        <f t="shared" ca="1" si="201"/>
        <v>6.0407122047962822</v>
      </c>
      <c r="AH439" s="304">
        <f t="shared" ca="1" si="202"/>
        <v>-3.5475992712597115</v>
      </c>
    </row>
    <row r="440" spans="1:34" x14ac:dyDescent="0.2">
      <c r="A440" s="347">
        <f t="shared" ca="1" si="180"/>
        <v>0.1</v>
      </c>
      <c r="B440" s="304">
        <f t="shared" ca="1" si="181"/>
        <v>25.600000000000097</v>
      </c>
      <c r="D440" s="306">
        <f t="shared" ca="1" si="182"/>
        <v>-0.75273563444139824</v>
      </c>
      <c r="E440" s="307">
        <f t="shared" ca="1" si="183"/>
        <v>-6.2883166321849231</v>
      </c>
      <c r="F440" s="304">
        <f t="shared" ca="1" si="184"/>
        <v>6.3332090603399021</v>
      </c>
      <c r="G440" s="306">
        <f t="shared" ca="1" si="185"/>
        <v>17.818207895375274</v>
      </c>
      <c r="H440" s="307">
        <f t="shared" ca="1" si="186"/>
        <v>-84.343715299084963</v>
      </c>
      <c r="I440" s="304">
        <f t="shared" ca="1" si="187"/>
        <v>86.205283150488597</v>
      </c>
      <c r="J440" s="306">
        <f t="shared" ca="1" si="188"/>
        <v>642.90573699102993</v>
      </c>
      <c r="K440" s="307">
        <f t="shared" ca="1" si="189"/>
        <v>928.04863519271055</v>
      </c>
      <c r="L440" s="304">
        <f t="shared" ca="1" si="174"/>
        <v>1128.9827527199129</v>
      </c>
      <c r="M440" s="306">
        <f t="shared" ca="1" si="190"/>
        <v>-1.3626004431543599</v>
      </c>
      <c r="N440" s="304">
        <f t="shared" ca="1" si="191"/>
        <v>-78.071254555400472</v>
      </c>
      <c r="P440" s="310">
        <f t="shared" ca="1" si="192"/>
        <v>23</v>
      </c>
      <c r="Q440" s="304">
        <f t="shared" ca="1" si="193"/>
        <v>0</v>
      </c>
      <c r="R440" s="306">
        <f t="shared" ca="1" si="194"/>
        <v>0</v>
      </c>
      <c r="S440" s="307">
        <f t="shared" ca="1" si="195"/>
        <v>7.4499999999999984</v>
      </c>
      <c r="T440" s="304">
        <f t="shared" ca="1" si="175"/>
        <v>73.084499999999991</v>
      </c>
      <c r="U440" s="311">
        <f t="shared" ca="1" si="176"/>
        <v>0</v>
      </c>
      <c r="V440" s="306">
        <f t="shared" ca="1" si="177"/>
        <v>1.1163554151246267</v>
      </c>
      <c r="W440" s="304">
        <f t="shared" ca="1" si="178"/>
        <v>27.229147513562015</v>
      </c>
      <c r="Y440" s="314" t="str">
        <f t="shared" ca="1" si="196"/>
        <v/>
      </c>
      <c r="Z440" s="315" t="str">
        <f t="shared" ca="1" si="197"/>
        <v/>
      </c>
      <c r="AA440" s="316" t="str">
        <f t="shared" ca="1" si="198"/>
        <v/>
      </c>
      <c r="AC440" s="310" t="e">
        <f t="shared" ca="1" si="199"/>
        <v>#N/A</v>
      </c>
      <c r="AD440" s="323" t="e">
        <f t="shared" ca="1" si="200"/>
        <v>#N/A</v>
      </c>
      <c r="AE440" s="324" t="e">
        <f t="shared" ca="1" si="179"/>
        <v>#N/A</v>
      </c>
      <c r="AG440" s="306">
        <f t="shared" ca="1" si="201"/>
        <v>5.9920758180817675</v>
      </c>
      <c r="AH440" s="304">
        <f t="shared" ca="1" si="202"/>
        <v>-3.601230994882616</v>
      </c>
    </row>
    <row r="441" spans="1:34" x14ac:dyDescent="0.2">
      <c r="A441" s="347">
        <f t="shared" ca="1" si="180"/>
        <v>0.1</v>
      </c>
      <c r="B441" s="304">
        <f t="shared" ca="1" si="181"/>
        <v>25.700000000000099</v>
      </c>
      <c r="D441" s="306">
        <f t="shared" ca="1" si="182"/>
        <v>-0.7554538017539687</v>
      </c>
      <c r="E441" s="307">
        <f t="shared" ca="1" si="183"/>
        <v>-6.2340073552354234</v>
      </c>
      <c r="F441" s="304">
        <f t="shared" ca="1" si="184"/>
        <v>6.2796144906923939</v>
      </c>
      <c r="G441" s="306">
        <f t="shared" ca="1" si="185"/>
        <v>17.742662515199878</v>
      </c>
      <c r="H441" s="307">
        <f t="shared" ca="1" si="186"/>
        <v>-84.967116034608509</v>
      </c>
      <c r="I441" s="304">
        <f t="shared" ca="1" si="187"/>
        <v>86.799843780774765</v>
      </c>
      <c r="J441" s="306">
        <f t="shared" ca="1" si="188"/>
        <v>644.68378051155867</v>
      </c>
      <c r="K441" s="307">
        <f t="shared" ca="1" si="189"/>
        <v>919.58309362602586</v>
      </c>
      <c r="L441" s="304">
        <f t="shared" ca="1" si="174"/>
        <v>1123.0539804201255</v>
      </c>
      <c r="M441" s="306">
        <f t="shared" ca="1" si="190"/>
        <v>-1.3649364848918517</v>
      </c>
      <c r="N441" s="304">
        <f t="shared" ca="1" si="191"/>
        <v>-78.205099887725154</v>
      </c>
      <c r="P441" s="310">
        <f t="shared" ca="1" si="192"/>
        <v>23</v>
      </c>
      <c r="Q441" s="304">
        <f t="shared" ca="1" si="193"/>
        <v>0</v>
      </c>
      <c r="R441" s="306">
        <f t="shared" ca="1" si="194"/>
        <v>0</v>
      </c>
      <c r="S441" s="307">
        <f t="shared" ca="1" si="195"/>
        <v>7.4499999999999984</v>
      </c>
      <c r="T441" s="304">
        <f t="shared" ca="1" si="175"/>
        <v>73.084499999999991</v>
      </c>
      <c r="U441" s="311">
        <f t="shared" ca="1" si="176"/>
        <v>0</v>
      </c>
      <c r="V441" s="306">
        <f t="shared" ca="1" si="177"/>
        <v>1.1173028929735116</v>
      </c>
      <c r="W441" s="304">
        <f t="shared" ca="1" si="178"/>
        <v>27.62947332014917</v>
      </c>
      <c r="Y441" s="314" t="str">
        <f t="shared" ca="1" si="196"/>
        <v/>
      </c>
      <c r="Z441" s="315" t="str">
        <f t="shared" ca="1" si="197"/>
        <v/>
      </c>
      <c r="AA441" s="316" t="str">
        <f t="shared" ca="1" si="198"/>
        <v/>
      </c>
      <c r="AC441" s="310" t="e">
        <f t="shared" ca="1" si="199"/>
        <v>#N/A</v>
      </c>
      <c r="AD441" s="323" t="e">
        <f t="shared" ca="1" si="200"/>
        <v>#N/A</v>
      </c>
      <c r="AE441" s="324" t="e">
        <f t="shared" ca="1" si="179"/>
        <v>#N/A</v>
      </c>
      <c r="AG441" s="306">
        <f t="shared" ca="1" si="201"/>
        <v>5.9432379307076211</v>
      </c>
      <c r="AH441" s="304">
        <f t="shared" ca="1" si="202"/>
        <v>-3.6549191293371841</v>
      </c>
    </row>
    <row r="442" spans="1:34" x14ac:dyDescent="0.2">
      <c r="A442" s="347">
        <f t="shared" ca="1" si="180"/>
        <v>0.1</v>
      </c>
      <c r="B442" s="304">
        <f t="shared" ca="1" si="181"/>
        <v>25.8000000000001</v>
      </c>
      <c r="D442" s="306">
        <f t="shared" ca="1" si="182"/>
        <v>-0.75808199497903284</v>
      </c>
      <c r="E442" s="307">
        <f t="shared" ca="1" si="183"/>
        <v>-6.17965191802808</v>
      </c>
      <c r="F442" s="304">
        <f t="shared" ca="1" si="184"/>
        <v>6.2259767216959236</v>
      </c>
      <c r="G442" s="306">
        <f t="shared" ca="1" si="185"/>
        <v>17.666854315701976</v>
      </c>
      <c r="H442" s="307">
        <f t="shared" ca="1" si="186"/>
        <v>-85.585081226411319</v>
      </c>
      <c r="I442" s="304">
        <f t="shared" ca="1" si="187"/>
        <v>87.389495192177762</v>
      </c>
      <c r="J442" s="306">
        <f t="shared" ca="1" si="188"/>
        <v>646.4542563531038</v>
      </c>
      <c r="K442" s="307">
        <f t="shared" ca="1" si="189"/>
        <v>911.05548376297486</v>
      </c>
      <c r="L442" s="304">
        <f t="shared" ca="1" si="174"/>
        <v>1117.1057246526098</v>
      </c>
      <c r="M442" s="306">
        <f t="shared" ca="1" si="190"/>
        <v>-1.3672311008318621</v>
      </c>
      <c r="N442" s="304">
        <f t="shared" ca="1" si="191"/>
        <v>-78.336571696691195</v>
      </c>
      <c r="P442" s="310">
        <f t="shared" ca="1" si="192"/>
        <v>23</v>
      </c>
      <c r="Q442" s="304">
        <f t="shared" ca="1" si="193"/>
        <v>0</v>
      </c>
      <c r="R442" s="306">
        <f t="shared" ca="1" si="194"/>
        <v>0</v>
      </c>
      <c r="S442" s="307">
        <f t="shared" ca="1" si="195"/>
        <v>7.4499999999999984</v>
      </c>
      <c r="T442" s="304">
        <f t="shared" ca="1" si="175"/>
        <v>73.084499999999991</v>
      </c>
      <c r="U442" s="311">
        <f t="shared" ca="1" si="176"/>
        <v>0</v>
      </c>
      <c r="V442" s="306">
        <f t="shared" ca="1" si="177"/>
        <v>1.1182580932152153</v>
      </c>
      <c r="W442" s="304">
        <f t="shared" ca="1" si="178"/>
        <v>28.030078064179246</v>
      </c>
      <c r="Y442" s="314" t="str">
        <f t="shared" ca="1" si="196"/>
        <v/>
      </c>
      <c r="Z442" s="315" t="str">
        <f t="shared" ca="1" si="197"/>
        <v/>
      </c>
      <c r="AA442" s="316" t="str">
        <f t="shared" ca="1" si="198"/>
        <v/>
      </c>
      <c r="AC442" s="310" t="e">
        <f t="shared" ca="1" si="199"/>
        <v>#N/A</v>
      </c>
      <c r="AD442" s="323" t="e">
        <f t="shared" ca="1" si="200"/>
        <v>#N/A</v>
      </c>
      <c r="AE442" s="324" t="e">
        <f t="shared" ca="1" si="179"/>
        <v>#N/A</v>
      </c>
      <c r="AG442" s="306">
        <f t="shared" ca="1" si="201"/>
        <v>5.8942134719617787</v>
      </c>
      <c r="AH442" s="304">
        <f t="shared" ca="1" si="202"/>
        <v>-3.7086541369327755</v>
      </c>
    </row>
    <row r="443" spans="1:34" x14ac:dyDescent="0.2">
      <c r="A443" s="347">
        <f t="shared" ca="1" si="180"/>
        <v>0.1</v>
      </c>
      <c r="B443" s="304">
        <f t="shared" ca="1" si="181"/>
        <v>25.900000000000102</v>
      </c>
      <c r="D443" s="306">
        <f t="shared" ca="1" si="182"/>
        <v>-0.76062050957732774</v>
      </c>
      <c r="E443" s="307">
        <f t="shared" ca="1" si="183"/>
        <v>-6.1252598118844377</v>
      </c>
      <c r="F443" s="304">
        <f t="shared" ca="1" si="184"/>
        <v>6.1723051870979493</v>
      </c>
      <c r="G443" s="306">
        <f t="shared" ca="1" si="185"/>
        <v>17.590792264744241</v>
      </c>
      <c r="H443" s="307">
        <f t="shared" ca="1" si="186"/>
        <v>-86.197607207599759</v>
      </c>
      <c r="I443" s="304">
        <f t="shared" ca="1" si="187"/>
        <v>87.974220433130526</v>
      </c>
      <c r="J443" s="306">
        <f t="shared" ca="1" si="188"/>
        <v>648.21713868212612</v>
      </c>
      <c r="K443" s="307">
        <f t="shared" ca="1" si="189"/>
        <v>902.46634934127428</v>
      </c>
      <c r="L443" s="304">
        <f t="shared" ca="1" si="174"/>
        <v>1111.1394919516674</v>
      </c>
      <c r="M443" s="306">
        <f t="shared" ca="1" si="190"/>
        <v>-1.3694854124290938</v>
      </c>
      <c r="N443" s="304">
        <f t="shared" ca="1" si="191"/>
        <v>-78.465734236919971</v>
      </c>
      <c r="P443" s="310">
        <f t="shared" ca="1" si="192"/>
        <v>23</v>
      </c>
      <c r="Q443" s="304">
        <f t="shared" ca="1" si="193"/>
        <v>0</v>
      </c>
      <c r="R443" s="306">
        <f t="shared" ca="1" si="194"/>
        <v>0</v>
      </c>
      <c r="S443" s="307">
        <f t="shared" ca="1" si="195"/>
        <v>7.4499999999999984</v>
      </c>
      <c r="T443" s="304">
        <f t="shared" ca="1" si="175"/>
        <v>73.084499999999991</v>
      </c>
      <c r="U443" s="311">
        <f t="shared" ca="1" si="176"/>
        <v>0</v>
      </c>
      <c r="V443" s="306">
        <f t="shared" ca="1" si="177"/>
        <v>1.1192209728300413</v>
      </c>
      <c r="W443" s="304">
        <f t="shared" ca="1" si="178"/>
        <v>28.430892283010404</v>
      </c>
      <c r="Y443" s="314" t="str">
        <f t="shared" ca="1" si="196"/>
        <v/>
      </c>
      <c r="Z443" s="315" t="str">
        <f t="shared" ca="1" si="197"/>
        <v/>
      </c>
      <c r="AA443" s="316" t="str">
        <f t="shared" ca="1" si="198"/>
        <v/>
      </c>
      <c r="AC443" s="310" t="e">
        <f t="shared" ca="1" si="199"/>
        <v>#N/A</v>
      </c>
      <c r="AD443" s="323" t="e">
        <f t="shared" ca="1" si="200"/>
        <v>#N/A</v>
      </c>
      <c r="AE443" s="324" t="e">
        <f t="shared" ca="1" si="179"/>
        <v>#N/A</v>
      </c>
      <c r="AG443" s="306">
        <f t="shared" ca="1" si="201"/>
        <v>5.845017020380797</v>
      </c>
      <c r="AH443" s="304">
        <f t="shared" ca="1" si="202"/>
        <v>-3.7624265857958727</v>
      </c>
    </row>
    <row r="444" spans="1:34" x14ac:dyDescent="0.2">
      <c r="A444" s="347">
        <f t="shared" ca="1" si="180"/>
        <v>0.1</v>
      </c>
      <c r="B444" s="304">
        <f t="shared" ca="1" si="181"/>
        <v>26.000000000000103</v>
      </c>
      <c r="D444" s="306">
        <f t="shared" ca="1" si="182"/>
        <v>-0.76306966673692667</v>
      </c>
      <c r="E444" s="307">
        <f t="shared" ca="1" si="183"/>
        <v>-6.070840420630141</v>
      </c>
      <c r="F444" s="304">
        <f t="shared" ca="1" si="184"/>
        <v>6.1186092152588687</v>
      </c>
      <c r="G444" s="306">
        <f t="shared" ca="1" si="185"/>
        <v>17.51448529807055</v>
      </c>
      <c r="H444" s="307">
        <f t="shared" ca="1" si="186"/>
        <v>-86.804691249662767</v>
      </c>
      <c r="I444" s="304">
        <f t="shared" ca="1" si="187"/>
        <v>88.554003964844014</v>
      </c>
      <c r="J444" s="306">
        <f t="shared" ca="1" si="188"/>
        <v>649.97240256026691</v>
      </c>
      <c r="K444" s="307">
        <f t="shared" ca="1" si="189"/>
        <v>893.81623441841111</v>
      </c>
      <c r="L444" s="304">
        <f t="shared" ca="1" si="174"/>
        <v>1105.1568146647217</v>
      </c>
      <c r="M444" s="306">
        <f t="shared" ca="1" si="190"/>
        <v>-1.3717005011860757</v>
      </c>
      <c r="N444" s="304">
        <f t="shared" ca="1" si="191"/>
        <v>-78.592649473941904</v>
      </c>
      <c r="P444" s="310">
        <f t="shared" ca="1" si="192"/>
        <v>23</v>
      </c>
      <c r="Q444" s="304">
        <f t="shared" ca="1" si="193"/>
        <v>0</v>
      </c>
      <c r="R444" s="306">
        <f t="shared" ca="1" si="194"/>
        <v>0</v>
      </c>
      <c r="S444" s="307">
        <f t="shared" ca="1" si="195"/>
        <v>7.4499999999999984</v>
      </c>
      <c r="T444" s="304">
        <f t="shared" ca="1" si="175"/>
        <v>73.084499999999991</v>
      </c>
      <c r="U444" s="311">
        <f t="shared" ca="1" si="176"/>
        <v>0</v>
      </c>
      <c r="V444" s="306">
        <f t="shared" ca="1" si="177"/>
        <v>1.1201914887277624</v>
      </c>
      <c r="W444" s="304">
        <f t="shared" ca="1" si="178"/>
        <v>28.831847334590528</v>
      </c>
      <c r="Y444" s="314" t="str">
        <f t="shared" ca="1" si="196"/>
        <v/>
      </c>
      <c r="Z444" s="315" t="str">
        <f t="shared" ca="1" si="197"/>
        <v/>
      </c>
      <c r="AA444" s="316" t="str">
        <f t="shared" ca="1" si="198"/>
        <v/>
      </c>
      <c r="AC444" s="310">
        <f t="shared" ca="1" si="199"/>
        <v>26.000000000000103</v>
      </c>
      <c r="AD444" s="323">
        <f t="shared" ca="1" si="200"/>
        <v>649.97240256026691</v>
      </c>
      <c r="AE444" s="324" t="e">
        <f t="shared" ca="1" si="179"/>
        <v>#N/A</v>
      </c>
      <c r="AG444" s="306">
        <f t="shared" ca="1" si="201"/>
        <v>5.7956628145850146</v>
      </c>
      <c r="AH444" s="304">
        <f t="shared" ca="1" si="202"/>
        <v>-3.8162271520819342</v>
      </c>
    </row>
    <row r="445" spans="1:34" x14ac:dyDescent="0.2">
      <c r="A445" s="347">
        <f t="shared" ca="1" si="180"/>
        <v>0.1</v>
      </c>
      <c r="B445" s="304">
        <f t="shared" ca="1" si="181"/>
        <v>26.100000000000104</v>
      </c>
      <c r="D445" s="306">
        <f t="shared" ca="1" si="182"/>
        <v>-0.76542981266436527</v>
      </c>
      <c r="E445" s="307">
        <f t="shared" ca="1" si="183"/>
        <v>-6.016403018366919</v>
      </c>
      <c r="F445" s="304">
        <f t="shared" ca="1" si="184"/>
        <v>6.0648980269687947</v>
      </c>
      <c r="G445" s="306">
        <f t="shared" ca="1" si="185"/>
        <v>17.437942316804115</v>
      </c>
      <c r="H445" s="307">
        <f t="shared" ca="1" si="186"/>
        <v>-87.406331551499463</v>
      </c>
      <c r="I445" s="304">
        <f t="shared" ca="1" si="187"/>
        <v>89.128831628911399</v>
      </c>
      <c r="J445" s="306">
        <f t="shared" ca="1" si="188"/>
        <v>651.7200239410106</v>
      </c>
      <c r="K445" s="307">
        <f t="shared" ca="1" si="189"/>
        <v>885.10568327835301</v>
      </c>
      <c r="L445" s="304">
        <f t="shared" ca="1" si="174"/>
        <v>1099.1592515087664</v>
      </c>
      <c r="M445" s="306">
        <f t="shared" ca="1" si="190"/>
        <v>-1.3738774103795579</v>
      </c>
      <c r="N445" s="304">
        <f t="shared" ca="1" si="191"/>
        <v>-78.717377183111665</v>
      </c>
      <c r="P445" s="310">
        <f t="shared" ca="1" si="192"/>
        <v>23</v>
      </c>
      <c r="Q445" s="304">
        <f t="shared" ca="1" si="193"/>
        <v>0</v>
      </c>
      <c r="R445" s="306">
        <f t="shared" ca="1" si="194"/>
        <v>0</v>
      </c>
      <c r="S445" s="307">
        <f t="shared" ca="1" si="195"/>
        <v>7.4499999999999984</v>
      </c>
      <c r="T445" s="304">
        <f t="shared" ca="1" si="175"/>
        <v>73.084499999999991</v>
      </c>
      <c r="U445" s="311">
        <f t="shared" ca="1" si="176"/>
        <v>0</v>
      </c>
      <c r="V445" s="306">
        <f t="shared" ca="1" si="177"/>
        <v>1.1211695977546245</v>
      </c>
      <c r="W445" s="304">
        <f t="shared" ca="1" si="178"/>
        <v>29.232875412528511</v>
      </c>
      <c r="Y445" s="314" t="str">
        <f t="shared" ca="1" si="196"/>
        <v/>
      </c>
      <c r="Z445" s="315" t="str">
        <f t="shared" ca="1" si="197"/>
        <v/>
      </c>
      <c r="AA445" s="316" t="str">
        <f t="shared" ca="1" si="198"/>
        <v/>
      </c>
      <c r="AC445" s="310" t="e">
        <f t="shared" ca="1" si="199"/>
        <v>#N/A</v>
      </c>
      <c r="AD445" s="323" t="e">
        <f t="shared" ca="1" si="200"/>
        <v>#N/A</v>
      </c>
      <c r="AE445" s="324" t="e">
        <f t="shared" ca="1" si="179"/>
        <v>#N/A</v>
      </c>
      <c r="AG445" s="306">
        <f t="shared" ca="1" si="201"/>
        <v>5.7461647634168713</v>
      </c>
      <c r="AH445" s="304">
        <f t="shared" ca="1" si="202"/>
        <v>-3.8700466220926892</v>
      </c>
    </row>
    <row r="446" spans="1:34" x14ac:dyDescent="0.2">
      <c r="A446" s="347">
        <f t="shared" ca="1" si="180"/>
        <v>0.1</v>
      </c>
      <c r="B446" s="304">
        <f t="shared" ca="1" si="181"/>
        <v>26.200000000000106</v>
      </c>
      <c r="D446" s="306">
        <f t="shared" ca="1" si="182"/>
        <v>-0.76770131788523344</v>
      </c>
      <c r="E446" s="307">
        <f t="shared" ca="1" si="183"/>
        <v>-5.9619567673453737</v>
      </c>
      <c r="F446" s="304">
        <f t="shared" ca="1" si="184"/>
        <v>6.0111807333649541</v>
      </c>
      <c r="G446" s="306">
        <f t="shared" ca="1" si="185"/>
        <v>17.36117218501559</v>
      </c>
      <c r="H446" s="307">
        <f t="shared" ca="1" si="186"/>
        <v>-88.002527228234001</v>
      </c>
      <c r="I446" s="304">
        <f t="shared" ca="1" si="187"/>
        <v>89.698690615826862</v>
      </c>
      <c r="J446" s="306">
        <f t="shared" ca="1" si="188"/>
        <v>653.45997966610162</v>
      </c>
      <c r="K446" s="307">
        <f t="shared" ca="1" si="189"/>
        <v>876.33524033936635</v>
      </c>
      <c r="L446" s="304">
        <f t="shared" ca="1" si="174"/>
        <v>1093.1483881367053</v>
      </c>
      <c r="M446" s="306">
        <f t="shared" ca="1" si="190"/>
        <v>-1.3760171467000435</v>
      </c>
      <c r="N446" s="304">
        <f t="shared" ca="1" si="191"/>
        <v>-78.839975043546346</v>
      </c>
      <c r="P446" s="310">
        <f t="shared" ca="1" si="192"/>
        <v>23</v>
      </c>
      <c r="Q446" s="304">
        <f t="shared" ca="1" si="193"/>
        <v>0</v>
      </c>
      <c r="R446" s="306">
        <f t="shared" ca="1" si="194"/>
        <v>0</v>
      </c>
      <c r="S446" s="307">
        <f t="shared" ca="1" si="195"/>
        <v>7.4499999999999984</v>
      </c>
      <c r="T446" s="304">
        <f t="shared" ca="1" si="175"/>
        <v>73.084499999999991</v>
      </c>
      <c r="U446" s="311">
        <f t="shared" ca="1" si="176"/>
        <v>0</v>
      </c>
      <c r="V446" s="306">
        <f t="shared" ca="1" si="177"/>
        <v>1.1221552567002875</v>
      </c>
      <c r="W446" s="304">
        <f t="shared" ca="1" si="178"/>
        <v>29.633909560464911</v>
      </c>
      <c r="Y446" s="314" t="str">
        <f t="shared" ca="1" si="196"/>
        <v/>
      </c>
      <c r="Z446" s="315" t="str">
        <f t="shared" ca="1" si="197"/>
        <v/>
      </c>
      <c r="AA446" s="316" t="str">
        <f t="shared" ca="1" si="198"/>
        <v/>
      </c>
      <c r="AC446" s="310" t="e">
        <f t="shared" ca="1" si="199"/>
        <v>#N/A</v>
      </c>
      <c r="AD446" s="323" t="e">
        <f t="shared" ca="1" si="200"/>
        <v>#N/A</v>
      </c>
      <c r="AE446" s="324" t="e">
        <f t="shared" ca="1" si="179"/>
        <v>#N/A</v>
      </c>
      <c r="AG446" s="306">
        <f t="shared" ca="1" si="201"/>
        <v>5.6965364554356359</v>
      </c>
      <c r="AH446" s="304">
        <f t="shared" ca="1" si="202"/>
        <v>-3.9238758942991296</v>
      </c>
    </row>
    <row r="447" spans="1:34" x14ac:dyDescent="0.2">
      <c r="A447" s="347">
        <f t="shared" ca="1" si="180"/>
        <v>0.1</v>
      </c>
      <c r="B447" s="304">
        <f t="shared" ca="1" si="181"/>
        <v>26.300000000000107</v>
      </c>
      <c r="D447" s="306">
        <f t="shared" ca="1" si="182"/>
        <v>-0.76988457655387377</v>
      </c>
      <c r="E447" s="307">
        <f t="shared" ca="1" si="183"/>
        <v>-5.9075107159379368</v>
      </c>
      <c r="F447" s="304">
        <f t="shared" ca="1" si="184"/>
        <v>5.957466333949113</v>
      </c>
      <c r="G447" s="306">
        <f t="shared" ca="1" si="185"/>
        <v>17.284183727360205</v>
      </c>
      <c r="H447" s="307">
        <f t="shared" ca="1" si="186"/>
        <v>-88.593278299827801</v>
      </c>
      <c r="I447" s="304">
        <f t="shared" ca="1" si="187"/>
        <v>90.263569434361955</v>
      </c>
      <c r="J447" s="306">
        <f t="shared" ca="1" si="188"/>
        <v>655.1922474617204</v>
      </c>
      <c r="K447" s="307">
        <f t="shared" ca="1" si="189"/>
        <v>867.50545006296329</v>
      </c>
      <c r="L447" s="304">
        <f t="shared" ca="1" si="174"/>
        <v>1087.1258377128586</v>
      </c>
      <c r="M447" s="306">
        <f t="shared" ca="1" si="190"/>
        <v>-1.3781206818093987</v>
      </c>
      <c r="N447" s="304">
        <f t="shared" ca="1" si="191"/>
        <v>-78.960498727369995</v>
      </c>
      <c r="P447" s="310">
        <f t="shared" ca="1" si="192"/>
        <v>23</v>
      </c>
      <c r="Q447" s="304">
        <f t="shared" ca="1" si="193"/>
        <v>0</v>
      </c>
      <c r="R447" s="306">
        <f t="shared" ca="1" si="194"/>
        <v>0</v>
      </c>
      <c r="S447" s="307">
        <f t="shared" ca="1" si="195"/>
        <v>7.4499999999999984</v>
      </c>
      <c r="T447" s="304">
        <f t="shared" ca="1" si="175"/>
        <v>73.084499999999991</v>
      </c>
      <c r="U447" s="311">
        <f t="shared" ca="1" si="176"/>
        <v>0</v>
      </c>
      <c r="V447" s="306">
        <f t="shared" ca="1" si="177"/>
        <v>1.1231484223046966</v>
      </c>
      <c r="W447" s="304">
        <f t="shared" ca="1" si="178"/>
        <v>30.034883685744962</v>
      </c>
      <c r="Y447" s="314" t="str">
        <f t="shared" ca="1" si="196"/>
        <v/>
      </c>
      <c r="Z447" s="315" t="str">
        <f t="shared" ca="1" si="197"/>
        <v/>
      </c>
      <c r="AA447" s="316" t="str">
        <f t="shared" ca="1" si="198"/>
        <v/>
      </c>
      <c r="AC447" s="310" t="e">
        <f t="shared" ca="1" si="199"/>
        <v>#N/A</v>
      </c>
      <c r="AD447" s="323" t="e">
        <f t="shared" ca="1" si="200"/>
        <v>#N/A</v>
      </c>
      <c r="AE447" s="324" t="e">
        <f t="shared" ca="1" si="179"/>
        <v>#N/A</v>
      </c>
      <c r="AG447" s="306">
        <f t="shared" ca="1" si="201"/>
        <v>5.6467911678178044</v>
      </c>
      <c r="AH447" s="304">
        <f t="shared" ca="1" si="202"/>
        <v>-3.9777059812704585</v>
      </c>
    </row>
    <row r="448" spans="1:34" x14ac:dyDescent="0.2">
      <c r="A448" s="347">
        <f t="shared" ca="1" si="180"/>
        <v>0.1</v>
      </c>
      <c r="B448" s="304">
        <f t="shared" ca="1" si="181"/>
        <v>26.400000000000109</v>
      </c>
      <c r="D448" s="306">
        <f t="shared" ca="1" si="182"/>
        <v>-0.77198000577185999</v>
      </c>
      <c r="E448" s="307">
        <f t="shared" ca="1" si="183"/>
        <v>-5.8530737967112216</v>
      </c>
      <c r="F448" s="304">
        <f t="shared" ca="1" si="184"/>
        <v>5.9037637147042927</v>
      </c>
      <c r="G448" s="306">
        <f t="shared" ca="1" si="185"/>
        <v>17.206985726783017</v>
      </c>
      <c r="H448" s="307">
        <f t="shared" ca="1" si="186"/>
        <v>-89.178585679498923</v>
      </c>
      <c r="I448" s="304">
        <f t="shared" ca="1" si="187"/>
        <v>90.823457881746862</v>
      </c>
      <c r="J448" s="306">
        <f t="shared" ca="1" si="188"/>
        <v>656.91680593442754</v>
      </c>
      <c r="K448" s="307">
        <f t="shared" ca="1" si="189"/>
        <v>858.61685686399699</v>
      </c>
      <c r="L448" s="304">
        <f t="shared" ca="1" si="174"/>
        <v>1081.0932414968192</v>
      </c>
      <c r="M448" s="306">
        <f t="shared" ca="1" si="190"/>
        <v>-1.3801889538211711</v>
      </c>
      <c r="N448" s="304">
        <f t="shared" ca="1" si="191"/>
        <v>-79.079001984529583</v>
      </c>
      <c r="P448" s="310">
        <f t="shared" ca="1" si="192"/>
        <v>23</v>
      </c>
      <c r="Q448" s="304">
        <f t="shared" ca="1" si="193"/>
        <v>0</v>
      </c>
      <c r="R448" s="306">
        <f t="shared" ca="1" si="194"/>
        <v>0</v>
      </c>
      <c r="S448" s="307">
        <f t="shared" ca="1" si="195"/>
        <v>7.4499999999999984</v>
      </c>
      <c r="T448" s="304">
        <f t="shared" ca="1" si="175"/>
        <v>73.084499999999991</v>
      </c>
      <c r="U448" s="311">
        <f t="shared" ca="1" si="176"/>
        <v>0</v>
      </c>
      <c r="V448" s="306">
        <f t="shared" ca="1" si="177"/>
        <v>1.1241490512648946</v>
      </c>
      <c r="W448" s="304">
        <f t="shared" ca="1" si="178"/>
        <v>30.43573257239763</v>
      </c>
      <c r="Y448" s="314" t="str">
        <f t="shared" ca="1" si="196"/>
        <v/>
      </c>
      <c r="Z448" s="315" t="str">
        <f t="shared" ca="1" si="197"/>
        <v/>
      </c>
      <c r="AA448" s="316" t="str">
        <f t="shared" ca="1" si="198"/>
        <v/>
      </c>
      <c r="AC448" s="310" t="e">
        <f t="shared" ca="1" si="199"/>
        <v>#N/A</v>
      </c>
      <c r="AD448" s="323" t="e">
        <f t="shared" ca="1" si="200"/>
        <v>#N/A</v>
      </c>
      <c r="AE448" s="324" t="e">
        <f t="shared" ca="1" si="179"/>
        <v>#N/A</v>
      </c>
      <c r="AG448" s="306">
        <f t="shared" ca="1" si="201"/>
        <v>5.596941874708711</v>
      </c>
      <c r="AH448" s="304">
        <f t="shared" ca="1" si="202"/>
        <v>-4.0315280115093914</v>
      </c>
    </row>
    <row r="449" spans="1:34" x14ac:dyDescent="0.2">
      <c r="A449" s="347">
        <f t="shared" ca="1" si="180"/>
        <v>0.1</v>
      </c>
      <c r="B449" s="304">
        <f t="shared" ca="1" si="181"/>
        <v>26.50000000000011</v>
      </c>
      <c r="D449" s="306">
        <f t="shared" ca="1" si="182"/>
        <v>-0.77398804491499795</v>
      </c>
      <c r="E449" s="307">
        <f t="shared" ca="1" si="183"/>
        <v>-5.7986548245969622</v>
      </c>
      <c r="F449" s="304">
        <f t="shared" ca="1" si="184"/>
        <v>5.8500816463099863</v>
      </c>
      <c r="G449" s="306">
        <f t="shared" ca="1" si="185"/>
        <v>17.129586922291516</v>
      </c>
      <c r="H449" s="307">
        <f t="shared" ca="1" si="186"/>
        <v>-89.758451161958618</v>
      </c>
      <c r="I449" s="304">
        <f t="shared" ca="1" si="187"/>
        <v>91.378347014607627</v>
      </c>
      <c r="J449" s="306">
        <f t="shared" ca="1" si="188"/>
        <v>658.63363456688126</v>
      </c>
      <c r="K449" s="307">
        <f t="shared" ca="1" si="189"/>
        <v>849.67000502192411</v>
      </c>
      <c r="L449" s="304">
        <f t="shared" ca="1" si="174"/>
        <v>1075.0522694347176</v>
      </c>
      <c r="M449" s="306">
        <f t="shared" ca="1" si="190"/>
        <v>-1.3822228687079576</v>
      </c>
      <c r="N449" s="304">
        <f t="shared" ca="1" si="191"/>
        <v>-79.195536723431275</v>
      </c>
      <c r="P449" s="310">
        <f t="shared" ca="1" si="192"/>
        <v>23</v>
      </c>
      <c r="Q449" s="304">
        <f t="shared" ca="1" si="193"/>
        <v>0</v>
      </c>
      <c r="R449" s="306">
        <f t="shared" ca="1" si="194"/>
        <v>0</v>
      </c>
      <c r="S449" s="307">
        <f t="shared" ca="1" si="195"/>
        <v>7.4499999999999984</v>
      </c>
      <c r="T449" s="304">
        <f t="shared" ca="1" si="175"/>
        <v>73.084499999999991</v>
      </c>
      <c r="U449" s="311">
        <f t="shared" ca="1" si="176"/>
        <v>0</v>
      </c>
      <c r="V449" s="306">
        <f t="shared" ca="1" si="177"/>
        <v>1.125157100241764</v>
      </c>
      <c r="W449" s="304">
        <f t="shared" ca="1" si="178"/>
        <v>30.83639189342427</v>
      </c>
      <c r="Y449" s="314" t="str">
        <f t="shared" ca="1" si="196"/>
        <v/>
      </c>
      <c r="Z449" s="315" t="str">
        <f t="shared" ca="1" si="197"/>
        <v/>
      </c>
      <c r="AA449" s="316" t="str">
        <f t="shared" ca="1" si="198"/>
        <v/>
      </c>
      <c r="AC449" s="310" t="e">
        <f t="shared" ca="1" si="199"/>
        <v>#N/A</v>
      </c>
      <c r="AD449" s="323" t="e">
        <f t="shared" ca="1" si="200"/>
        <v>#N/A</v>
      </c>
      <c r="AE449" s="324" t="e">
        <f t="shared" ca="1" si="179"/>
        <v>#N/A</v>
      </c>
      <c r="AG449" s="306">
        <f t="shared" ca="1" si="201"/>
        <v>5.5470012550673573</v>
      </c>
      <c r="AH449" s="304">
        <f t="shared" ca="1" si="202"/>
        <v>-4.0853332311943138</v>
      </c>
    </row>
    <row r="450" spans="1:34" x14ac:dyDescent="0.2">
      <c r="A450" s="347">
        <f t="shared" ca="1" si="180"/>
        <v>0.1</v>
      </c>
      <c r="B450" s="304">
        <f t="shared" ca="1" si="181"/>
        <v>26.600000000000112</v>
      </c>
      <c r="D450" s="306">
        <f t="shared" ca="1" si="182"/>
        <v>-0.7759091549685937</v>
      </c>
      <c r="E450" s="307">
        <f t="shared" ca="1" si="183"/>
        <v>-5.7442624951607204</v>
      </c>
      <c r="F450" s="304">
        <f t="shared" ca="1" si="184"/>
        <v>5.7964287824551199</v>
      </c>
      <c r="G450" s="306">
        <f t="shared" ca="1" si="185"/>
        <v>17.051996006794656</v>
      </c>
      <c r="H450" s="307">
        <f t="shared" ca="1" si="186"/>
        <v>-90.332877411474684</v>
      </c>
      <c r="I450" s="304">
        <f t="shared" ca="1" si="187"/>
        <v>91.928229120614816</v>
      </c>
      <c r="J450" s="306">
        <f t="shared" ca="1" si="188"/>
        <v>660.34271371333557</v>
      </c>
      <c r="K450" s="307">
        <f t="shared" ca="1" si="189"/>
        <v>840.66543859325247</v>
      </c>
      <c r="L450" s="304">
        <f t="shared" ca="1" si="174"/>
        <v>1069.0046207568412</v>
      </c>
      <c r="M450" s="306">
        <f t="shared" ca="1" si="190"/>
        <v>-1.3842233016398935</v>
      </c>
      <c r="N450" s="304">
        <f t="shared" ca="1" si="191"/>
        <v>-79.310153087630184</v>
      </c>
      <c r="P450" s="310">
        <f t="shared" ca="1" si="192"/>
        <v>23</v>
      </c>
      <c r="Q450" s="304">
        <f t="shared" ca="1" si="193"/>
        <v>0</v>
      </c>
      <c r="R450" s="306">
        <f t="shared" ca="1" si="194"/>
        <v>0</v>
      </c>
      <c r="S450" s="307">
        <f t="shared" ca="1" si="195"/>
        <v>7.4499999999999984</v>
      </c>
      <c r="T450" s="304">
        <f t="shared" ca="1" si="175"/>
        <v>73.084499999999991</v>
      </c>
      <c r="U450" s="311">
        <f t="shared" ca="1" si="176"/>
        <v>0</v>
      </c>
      <c r="V450" s="306">
        <f t="shared" ca="1" si="177"/>
        <v>1.1261725258666937</v>
      </c>
      <c r="W450" s="304">
        <f t="shared" ca="1" si="178"/>
        <v>31.236798222401656</v>
      </c>
      <c r="Y450" s="314" t="str">
        <f t="shared" ca="1" si="196"/>
        <v/>
      </c>
      <c r="Z450" s="315" t="str">
        <f t="shared" ca="1" si="197"/>
        <v/>
      </c>
      <c r="AA450" s="316" t="str">
        <f t="shared" ca="1" si="198"/>
        <v/>
      </c>
      <c r="AC450" s="310" t="e">
        <f t="shared" ca="1" si="199"/>
        <v>#N/A</v>
      </c>
      <c r="AD450" s="323" t="e">
        <f t="shared" ca="1" si="200"/>
        <v>#N/A</v>
      </c>
      <c r="AE450" s="324" t="e">
        <f t="shared" ca="1" si="179"/>
        <v>#N/A</v>
      </c>
      <c r="AG450" s="306">
        <f t="shared" ca="1" si="201"/>
        <v>5.4969817000434462</v>
      </c>
      <c r="AH450" s="304">
        <f t="shared" ca="1" si="202"/>
        <v>-4.1391130058287624</v>
      </c>
    </row>
    <row r="451" spans="1:34" x14ac:dyDescent="0.2">
      <c r="A451" s="347">
        <f t="shared" ca="1" si="180"/>
        <v>0.1</v>
      </c>
      <c r="B451" s="304">
        <f t="shared" ca="1" si="181"/>
        <v>26.700000000000113</v>
      </c>
      <c r="D451" s="306">
        <f t="shared" ca="1" si="182"/>
        <v>-0.77774381787079605</v>
      </c>
      <c r="E451" s="307">
        <f t="shared" ca="1" si="183"/>
        <v>-5.6899053829674671</v>
      </c>
      <c r="F451" s="304">
        <f t="shared" ca="1" si="184"/>
        <v>5.7428136582478801</v>
      </c>
      <c r="G451" s="306">
        <f t="shared" ca="1" si="185"/>
        <v>16.974221625007576</v>
      </c>
      <c r="H451" s="307">
        <f t="shared" ca="1" si="186"/>
        <v>-90.901867949771429</v>
      </c>
      <c r="I451" s="304">
        <f t="shared" ca="1" si="187"/>
        <v>92.473097690801723</v>
      </c>
      <c r="J451" s="306">
        <f t="shared" ca="1" si="188"/>
        <v>662.04402459492565</v>
      </c>
      <c r="K451" s="307">
        <f t="shared" ca="1" si="189"/>
        <v>831.60370132519017</v>
      </c>
      <c r="L451" s="304">
        <f t="shared" ca="1" si="174"/>
        <v>1062.9520245804147</v>
      </c>
      <c r="M451" s="306">
        <f t="shared" ca="1" si="190"/>
        <v>-1.3861910982580841</v>
      </c>
      <c r="N451" s="304">
        <f t="shared" ca="1" si="191"/>
        <v>-79.422899528792613</v>
      </c>
      <c r="P451" s="310">
        <f t="shared" ca="1" si="192"/>
        <v>23</v>
      </c>
      <c r="Q451" s="304">
        <f t="shared" ca="1" si="193"/>
        <v>0</v>
      </c>
      <c r="R451" s="306">
        <f t="shared" ca="1" si="194"/>
        <v>0</v>
      </c>
      <c r="S451" s="307">
        <f t="shared" ca="1" si="195"/>
        <v>7.4499999999999984</v>
      </c>
      <c r="T451" s="304">
        <f t="shared" ca="1" si="175"/>
        <v>73.084499999999991</v>
      </c>
      <c r="U451" s="311">
        <f t="shared" ca="1" si="176"/>
        <v>0</v>
      </c>
      <c r="V451" s="306">
        <f t="shared" ca="1" si="177"/>
        <v>1.1271952847481872</v>
      </c>
      <c r="W451" s="304">
        <f t="shared" ca="1" si="178"/>
        <v>31.636889044404541</v>
      </c>
      <c r="Y451" s="314" t="str">
        <f t="shared" ca="1" si="196"/>
        <v/>
      </c>
      <c r="Z451" s="315" t="str">
        <f t="shared" ca="1" si="197"/>
        <v/>
      </c>
      <c r="AA451" s="316" t="str">
        <f t="shared" ca="1" si="198"/>
        <v/>
      </c>
      <c r="AC451" s="310" t="e">
        <f t="shared" ca="1" si="199"/>
        <v>#N/A</v>
      </c>
      <c r="AD451" s="323" t="e">
        <f t="shared" ca="1" si="200"/>
        <v>#N/A</v>
      </c>
      <c r="AE451" s="324" t="e">
        <f t="shared" ca="1" si="179"/>
        <v>#N/A</v>
      </c>
      <c r="AG451" s="306">
        <f t="shared" ca="1" si="201"/>
        <v>5.4468953199225858</v>
      </c>
      <c r="AH451" s="304">
        <f t="shared" ca="1" si="202"/>
        <v>-4.1928588217988807</v>
      </c>
    </row>
    <row r="452" spans="1:34" x14ac:dyDescent="0.2">
      <c r="A452" s="347">
        <f t="shared" ca="1" si="180"/>
        <v>0.1</v>
      </c>
      <c r="B452" s="304">
        <f t="shared" ca="1" si="181"/>
        <v>26.800000000000114</v>
      </c>
      <c r="D452" s="306">
        <f t="shared" ca="1" si="182"/>
        <v>-0.77949253586383827</v>
      </c>
      <c r="E452" s="307">
        <f t="shared" ca="1" si="183"/>
        <v>-5.6355919400430539</v>
      </c>
      <c r="F452" s="304">
        <f t="shared" ca="1" si="184"/>
        <v>5.6892446887214883</v>
      </c>
      <c r="G452" s="306">
        <f t="shared" ca="1" si="185"/>
        <v>16.896272371421194</v>
      </c>
      <c r="H452" s="307">
        <f t="shared" ca="1" si="186"/>
        <v>-91.465427143775727</v>
      </c>
      <c r="I452" s="304">
        <f t="shared" ca="1" si="187"/>
        <v>93.012947392514107</v>
      </c>
      <c r="J452" s="306">
        <f t="shared" ca="1" si="188"/>
        <v>663.73754929474705</v>
      </c>
      <c r="K452" s="307">
        <f t="shared" ca="1" si="189"/>
        <v>822.4853365705128</v>
      </c>
      <c r="L452" s="304">
        <f t="shared" ref="L452:L515" ca="1" si="203">SQRT(pos_x^2+pos_z^2)</f>
        <v>1056.8962405162138</v>
      </c>
      <c r="M452" s="306">
        <f t="shared" ca="1" si="190"/>
        <v>-1.3881270758865638</v>
      </c>
      <c r="N452" s="304">
        <f t="shared" ca="1" si="191"/>
        <v>-79.533822876136256</v>
      </c>
      <c r="P452" s="310">
        <f t="shared" ca="1" si="192"/>
        <v>23</v>
      </c>
      <c r="Q452" s="304">
        <f t="shared" ca="1" si="193"/>
        <v>0</v>
      </c>
      <c r="R452" s="306">
        <f t="shared" ca="1" si="194"/>
        <v>0</v>
      </c>
      <c r="S452" s="307">
        <f t="shared" ca="1" si="195"/>
        <v>7.4499999999999984</v>
      </c>
      <c r="T452" s="304">
        <f t="shared" ref="T452:T515" ca="1" si="204">m*g</f>
        <v>73.084499999999991</v>
      </c>
      <c r="U452" s="311">
        <f t="shared" ref="U452:U515" ca="1" si="205">IF(pos_xz&lt;L_rampe,Poids*COS(Beta),0)</f>
        <v>0</v>
      </c>
      <c r="V452" s="306">
        <f t="shared" ref="V452:V515" ca="1" si="206">Rho_moyen*(20000-Alt_rampe-pos_z)/(20000+Alt_rampe+pos_z)</f>
        <v>1.1282253334783887</v>
      </c>
      <c r="W452" s="304">
        <f t="shared" ref="W452:W515" ca="1" si="207">1/2*Rho*Sref*Cx*vit_xz^2</f>
        <v>32.036602766252898</v>
      </c>
      <c r="Y452" s="314" t="str">
        <f t="shared" ca="1" si="196"/>
        <v/>
      </c>
      <c r="Z452" s="315" t="str">
        <f t="shared" ca="1" si="197"/>
        <v/>
      </c>
      <c r="AA452" s="316" t="str">
        <f t="shared" ca="1" si="198"/>
        <v/>
      </c>
      <c r="AC452" s="310" t="e">
        <f t="shared" ca="1" si="199"/>
        <v>#N/A</v>
      </c>
      <c r="AD452" s="323" t="e">
        <f t="shared" ca="1" si="200"/>
        <v>#N/A</v>
      </c>
      <c r="AE452" s="324" t="e">
        <f t="shared" ref="AE452:AE515" ca="1" si="208">IF(t&lt;T_para, pos_z, NA())</f>
        <v>#N/A</v>
      </c>
      <c r="AG452" s="306">
        <f t="shared" ca="1" si="201"/>
        <v>5.3967539506729292</v>
      </c>
      <c r="AH452" s="304">
        <f t="shared" ca="1" si="202"/>
        <v>-4.2465622878395362</v>
      </c>
    </row>
    <row r="453" spans="1:34" x14ac:dyDescent="0.2">
      <c r="A453" s="347">
        <f t="shared" ref="A453:A516" ca="1" si="209">IF(B452+0.01&lt;=T_ini+ROUNDUP(Temps_fin_propu,0), 0.01, IF(K452&gt;0, 0.1, 0.0001))</f>
        <v>0.1</v>
      </c>
      <c r="B453" s="304">
        <f t="shared" ref="B453:B516" ca="1" si="210">B452+pas</f>
        <v>26.900000000000116</v>
      </c>
      <c r="D453" s="306">
        <f t="shared" ref="D453:D516" ca="1" si="211">IF(AND(L452&lt;L_rampe,Poussee&lt;Poids*SIN(M452)),0,(-W452+Poussee)/m*COS(M452)-U452/m*SIN(M452))</f>
        <v>-0.7811558308530232</v>
      </c>
      <c r="E453" s="307">
        <f t="shared" ref="E453:E516" ca="1" si="212">IF(AND(L452&lt;L_rampe,Poussee&lt;Poids*SIN(M452)),0,(-W452+Poussee)/m*SIN(M452)+U452/m*COS(M452)-Poids/m)</f>
        <v>-5.581330494430647</v>
      </c>
      <c r="F453" s="304">
        <f t="shared" ref="F453:F516" ca="1" si="213">SQRT(acc_x^2+acc_z^2)</f>
        <v>5.6357301674350166</v>
      </c>
      <c r="G453" s="306">
        <f t="shared" ref="G453:G516" ca="1" si="214">G452+acc_x*pas</f>
        <v>16.818156788335891</v>
      </c>
      <c r="H453" s="307">
        <f t="shared" ref="H453:H516" ca="1" si="215">H452+acc_z*pas</f>
        <v>-92.023560193218799</v>
      </c>
      <c r="I453" s="304">
        <f t="shared" ref="I453:I516" ca="1" si="216">SQRT(vit_x^2+vit_z^2)</f>
        <v>93.54777404295632</v>
      </c>
      <c r="J453" s="306">
        <f t="shared" ref="J453:J516" ca="1" si="217">J452+0.5*(vit_x+G452)*pas*(K452&gt;=0)</f>
        <v>665.42327075273488</v>
      </c>
      <c r="K453" s="307">
        <f t="shared" ref="K453:K516" ca="1" si="218">K452+0.5*(vit_z+H452)*pas</f>
        <v>813.31088720366313</v>
      </c>
      <c r="L453" s="304">
        <f t="shared" ca="1" si="203"/>
        <v>1050.8390592775268</v>
      </c>
      <c r="M453" s="306">
        <f t="shared" ref="M453:M516" ca="1" si="219">IF(AND(L452&gt;L_rampe,G453&gt;0),ATAN2(G453,H453),$M$4)</f>
        <v>-1.3900320246861513</v>
      </c>
      <c r="N453" s="304">
        <f t="shared" ref="N453:N516" ca="1" si="220">DEGREES(Beta)</f>
        <v>-79.642968402541129</v>
      </c>
      <c r="P453" s="310">
        <f t="shared" ref="P453:P516" ca="1" si="221">MATCH(t-pas/2-T_ini,CdP_t)</f>
        <v>23</v>
      </c>
      <c r="Q453" s="304">
        <f t="shared" ref="Q453:Q516" ca="1" si="222">(INDEX(CdP,2,i_P+1)-INDEX(CdP,2,i_P+0))/(INDEX(CdP,1,i_P+1)-INDEX(CdP,1,i_P+0))*(t-pas/2-T_ini-INDEX(CdP,1,i_P+0))+INDEX(CdP,2,i_P+0)</f>
        <v>0</v>
      </c>
      <c r="R453" s="306">
        <f t="shared" ref="R453:R516" ca="1" si="223">Poussee/(g*ISP)</f>
        <v>0</v>
      </c>
      <c r="S453" s="307">
        <f t="shared" ref="S453:S516" ca="1" si="224">S452-Débit*pas</f>
        <v>7.4499999999999984</v>
      </c>
      <c r="T453" s="304">
        <f t="shared" ca="1" si="204"/>
        <v>73.084499999999991</v>
      </c>
      <c r="U453" s="311">
        <f t="shared" ca="1" si="205"/>
        <v>0</v>
      </c>
      <c r="V453" s="306">
        <f t="shared" ca="1" si="206"/>
        <v>1.1292626286395373</v>
      </c>
      <c r="W453" s="304">
        <f t="shared" ca="1" si="207"/>
        <v>32.435878726090337</v>
      </c>
      <c r="Y453" s="314" t="str">
        <f t="shared" ref="Y453:Y516" ca="1" si="225">IF(AND(pos_z&lt;=0,K452&gt;0),"Impact balistique","") &amp; IF(AND(H454&lt;0,vit_z&gt;=0),"Apogée","") &amp; IF(AND(Poussee=0,Q452&gt;0),"Fin de propulsion","") &amp; IF(AND(L454&gt;L_rampe,pos_xz&lt;=L_rampe),"Sortie de rampe","")</f>
        <v/>
      </c>
      <c r="Z453" s="315" t="str">
        <f t="shared" ref="Z453:Z516" ca="1" si="226">IF(ABS(t-T_para)&lt;pas/2,"Para","")</f>
        <v/>
      </c>
      <c r="AA453" s="316" t="str">
        <f t="shared" ref="AA453:AA516" ca="1" si="227">IF(ABS(t-T_satellite)&lt;pas/2,"Satellite","")</f>
        <v/>
      </c>
      <c r="AC453" s="310" t="e">
        <f t="shared" ref="AC453:AC516" ca="1" si="228">IF(ABS(t-ROUND(t,0))&lt;0.001,t,NA())</f>
        <v>#N/A</v>
      </c>
      <c r="AD453" s="323" t="e">
        <f t="shared" ref="AD453:AD516" ca="1" si="229">IF(ABS(t-ROUND(t,0))&lt;0.001,pos_x,NA())</f>
        <v>#N/A</v>
      </c>
      <c r="AE453" s="324" t="e">
        <f t="shared" ca="1" si="208"/>
        <v>#N/A</v>
      </c>
      <c r="AG453" s="306">
        <f t="shared" ref="AG453:AG516" ca="1" si="230">IF(AND(L452&lt;L_rampe,Poussee&lt;Poids*SIN(M452)),0,(-W452+Poussee)/m-Poids*SIN(M452)/m)</f>
        <v>5.3465691601241261</v>
      </c>
      <c r="AH453" s="304">
        <f t="shared" ref="AH453:AH516" ca="1" si="231">IF(AND(L452&lt;L_rampe,Poussee&lt;Poids*SIN(M452)), g*SIN(M452), (-W452+Poussee)/m)</f>
        <v>-4.3002151364097863</v>
      </c>
    </row>
    <row r="454" spans="1:34" x14ac:dyDescent="0.2">
      <c r="A454" s="347">
        <f t="shared" ca="1" si="209"/>
        <v>0.1</v>
      </c>
      <c r="B454" s="304">
        <f t="shared" ca="1" si="210"/>
        <v>27.000000000000117</v>
      </c>
      <c r="D454" s="306">
        <f t="shared" ca="1" si="211"/>
        <v>-0.78273424377334033</v>
      </c>
      <c r="E454" s="307">
        <f t="shared" ca="1" si="212"/>
        <v>-5.527129248841022</v>
      </c>
      <c r="F454" s="304">
        <f t="shared" ca="1" si="213"/>
        <v>5.5822782651682044</v>
      </c>
      <c r="G454" s="306">
        <f t="shared" ca="1" si="214"/>
        <v>16.739883363958558</v>
      </c>
      <c r="H454" s="307">
        <f t="shared" ca="1" si="215"/>
        <v>-92.576273118102904</v>
      </c>
      <c r="I454" s="304">
        <f t="shared" ca="1" si="216"/>
        <v>94.077574583300759</v>
      </c>
      <c r="J454" s="306">
        <f t="shared" ca="1" si="217"/>
        <v>667.10117276034964</v>
      </c>
      <c r="K454" s="307">
        <f t="shared" ca="1" si="218"/>
        <v>804.08089553809702</v>
      </c>
      <c r="L454" s="304">
        <f t="shared" ca="1" si="203"/>
        <v>1044.7823032898202</v>
      </c>
      <c r="M454" s="306">
        <f t="shared" ca="1" si="219"/>
        <v>-1.3919067087533588</v>
      </c>
      <c r="N454" s="304">
        <f t="shared" ca="1" si="220"/>
        <v>-79.750379887512537</v>
      </c>
      <c r="P454" s="310">
        <f t="shared" ca="1" si="221"/>
        <v>23</v>
      </c>
      <c r="Q454" s="304">
        <f t="shared" ca="1" si="222"/>
        <v>0</v>
      </c>
      <c r="R454" s="306">
        <f t="shared" ca="1" si="223"/>
        <v>0</v>
      </c>
      <c r="S454" s="307">
        <f t="shared" ca="1" si="224"/>
        <v>7.4499999999999984</v>
      </c>
      <c r="T454" s="304">
        <f t="shared" ca="1" si="204"/>
        <v>73.084499999999991</v>
      </c>
      <c r="U454" s="311">
        <f t="shared" ca="1" si="205"/>
        <v>0</v>
      </c>
      <c r="V454" s="306">
        <f t="shared" ca="1" si="206"/>
        <v>1.1303071268103535</v>
      </c>
      <c r="W454" s="304">
        <f t="shared" ca="1" si="207"/>
        <v>32.834657202299887</v>
      </c>
      <c r="Y454" s="314" t="str">
        <f t="shared" ca="1" si="225"/>
        <v/>
      </c>
      <c r="Z454" s="315" t="str">
        <f t="shared" ca="1" si="226"/>
        <v/>
      </c>
      <c r="AA454" s="316" t="str">
        <f t="shared" ca="1" si="227"/>
        <v/>
      </c>
      <c r="AC454" s="310">
        <f t="shared" ca="1" si="228"/>
        <v>27.000000000000117</v>
      </c>
      <c r="AD454" s="323">
        <f t="shared" ca="1" si="229"/>
        <v>667.10117276034964</v>
      </c>
      <c r="AE454" s="324" t="e">
        <f t="shared" ca="1" si="208"/>
        <v>#N/A</v>
      </c>
      <c r="AG454" s="306">
        <f t="shared" ca="1" si="230"/>
        <v>5.2963522538070285</v>
      </c>
      <c r="AH454" s="304">
        <f t="shared" ca="1" si="231"/>
        <v>-4.35380922497857</v>
      </c>
    </row>
    <row r="455" spans="1:34" x14ac:dyDescent="0.2">
      <c r="A455" s="347">
        <f t="shared" ca="1" si="209"/>
        <v>0.1</v>
      </c>
      <c r="B455" s="304">
        <f t="shared" ca="1" si="210"/>
        <v>27.100000000000119</v>
      </c>
      <c r="D455" s="306">
        <f t="shared" ca="1" si="211"/>
        <v>-0.78422833396362102</v>
      </c>
      <c r="E455" s="307">
        <f t="shared" ca="1" si="212"/>
        <v>-5.4729962793956579</v>
      </c>
      <c r="F455" s="304">
        <f t="shared" ca="1" si="213"/>
        <v>5.5288970287092587</v>
      </c>
      <c r="G455" s="306">
        <f t="shared" ca="1" si="214"/>
        <v>16.661460530562195</v>
      </c>
      <c r="H455" s="307">
        <f t="shared" ca="1" si="215"/>
        <v>-93.12357274604247</v>
      </c>
      <c r="I455" s="304">
        <f t="shared" ca="1" si="216"/>
        <v>94.602347053331329</v>
      </c>
      <c r="J455" s="306">
        <f t="shared" ca="1" si="217"/>
        <v>668.77123995507566</v>
      </c>
      <c r="K455" s="307">
        <f t="shared" ca="1" si="218"/>
        <v>794.7959032448897</v>
      </c>
      <c r="L455" s="304">
        <f t="shared" ca="1" si="203"/>
        <v>1038.7278272992928</v>
      </c>
      <c r="M455" s="306">
        <f t="shared" ca="1" si="219"/>
        <v>-1.3937518671673335</v>
      </c>
      <c r="N455" s="304">
        <f t="shared" ca="1" si="220"/>
        <v>-79.856099677166341</v>
      </c>
      <c r="P455" s="310">
        <f t="shared" ca="1" si="221"/>
        <v>23</v>
      </c>
      <c r="Q455" s="304">
        <f t="shared" ca="1" si="222"/>
        <v>0</v>
      </c>
      <c r="R455" s="306">
        <f t="shared" ca="1" si="223"/>
        <v>0</v>
      </c>
      <c r="S455" s="307">
        <f t="shared" ca="1" si="224"/>
        <v>7.4499999999999984</v>
      </c>
      <c r="T455" s="304">
        <f t="shared" ca="1" si="204"/>
        <v>73.084499999999991</v>
      </c>
      <c r="U455" s="311">
        <f t="shared" ca="1" si="205"/>
        <v>0</v>
      </c>
      <c r="V455" s="306">
        <f t="shared" ca="1" si="206"/>
        <v>1.1313587845723401</v>
      </c>
      <c r="W455" s="304">
        <f t="shared" ca="1" si="207"/>
        <v>33.232879421764167</v>
      </c>
      <c r="Y455" s="314" t="str">
        <f t="shared" ca="1" si="225"/>
        <v/>
      </c>
      <c r="Z455" s="315" t="str">
        <f t="shared" ca="1" si="226"/>
        <v/>
      </c>
      <c r="AA455" s="316" t="str">
        <f t="shared" ca="1" si="227"/>
        <v/>
      </c>
      <c r="AC455" s="310" t="e">
        <f t="shared" ca="1" si="228"/>
        <v>#N/A</v>
      </c>
      <c r="AD455" s="323" t="e">
        <f t="shared" ca="1" si="229"/>
        <v>#N/A</v>
      </c>
      <c r="AE455" s="324" t="e">
        <f t="shared" ca="1" si="208"/>
        <v>#N/A</v>
      </c>
      <c r="AG455" s="306">
        <f t="shared" ca="1" si="230"/>
        <v>5.2461142804805787</v>
      </c>
      <c r="AH455" s="304">
        <f t="shared" ca="1" si="231"/>
        <v>-4.4073365372214619</v>
      </c>
    </row>
    <row r="456" spans="1:34" x14ac:dyDescent="0.2">
      <c r="A456" s="347">
        <f t="shared" ca="1" si="209"/>
        <v>0.1</v>
      </c>
      <c r="B456" s="304">
        <f t="shared" ca="1" si="210"/>
        <v>27.20000000000012</v>
      </c>
      <c r="D456" s="306">
        <f t="shared" ca="1" si="211"/>
        <v>-0.78563867854813296</v>
      </c>
      <c r="E456" s="307">
        <f t="shared" ca="1" si="212"/>
        <v>-5.4189395344615043</v>
      </c>
      <c r="F456" s="304">
        <f t="shared" ca="1" si="213"/>
        <v>5.4755943797345621</v>
      </c>
      <c r="G456" s="306">
        <f t="shared" ca="1" si="214"/>
        <v>16.58289666270738</v>
      </c>
      <c r="H456" s="307">
        <f t="shared" ca="1" si="215"/>
        <v>-93.665466699488618</v>
      </c>
      <c r="I456" s="304">
        <f t="shared" ca="1" si="216"/>
        <v>95.12209056659259</v>
      </c>
      <c r="J456" s="306">
        <f t="shared" ca="1" si="217"/>
        <v>670.43345781473909</v>
      </c>
      <c r="K456" s="307">
        <f t="shared" ca="1" si="218"/>
        <v>785.45645127261309</v>
      </c>
      <c r="L456" s="304">
        <f t="shared" ca="1" si="203"/>
        <v>1032.6775189783084</v>
      </c>
      <c r="M456" s="306">
        <f t="shared" ca="1" si="219"/>
        <v>-1.3955682149876183</v>
      </c>
      <c r="N456" s="304">
        <f t="shared" ca="1" si="220"/>
        <v>-79.960168741396444</v>
      </c>
      <c r="P456" s="310">
        <f t="shared" ca="1" si="221"/>
        <v>23</v>
      </c>
      <c r="Q456" s="304">
        <f t="shared" ca="1" si="222"/>
        <v>0</v>
      </c>
      <c r="R456" s="306">
        <f t="shared" ca="1" si="223"/>
        <v>0</v>
      </c>
      <c r="S456" s="307">
        <f t="shared" ca="1" si="224"/>
        <v>7.4499999999999984</v>
      </c>
      <c r="T456" s="304">
        <f t="shared" ca="1" si="204"/>
        <v>73.084499999999991</v>
      </c>
      <c r="U456" s="311">
        <f t="shared" ca="1" si="205"/>
        <v>0</v>
      </c>
      <c r="V456" s="306">
        <f t="shared" ca="1" si="206"/>
        <v>1.1324175585160132</v>
      </c>
      <c r="W456" s="304">
        <f t="shared" ca="1" si="207"/>
        <v>33.630487567477275</v>
      </c>
      <c r="Y456" s="314" t="str">
        <f t="shared" ca="1" si="225"/>
        <v/>
      </c>
      <c r="Z456" s="315" t="str">
        <f t="shared" ca="1" si="226"/>
        <v/>
      </c>
      <c r="AA456" s="316" t="str">
        <f t="shared" ca="1" si="227"/>
        <v/>
      </c>
      <c r="AC456" s="310" t="e">
        <f t="shared" ca="1" si="228"/>
        <v>#N/A</v>
      </c>
      <c r="AD456" s="323" t="e">
        <f t="shared" ca="1" si="229"/>
        <v>#N/A</v>
      </c>
      <c r="AE456" s="324" t="e">
        <f t="shared" ca="1" si="208"/>
        <v>#N/A</v>
      </c>
      <c r="AG456" s="306">
        <f t="shared" ca="1" si="230"/>
        <v>5.1958660373702603</v>
      </c>
      <c r="AH456" s="304">
        <f t="shared" ca="1" si="231"/>
        <v>-4.4607891841294194</v>
      </c>
    </row>
    <row r="457" spans="1:34" x14ac:dyDescent="0.2">
      <c r="A457" s="347">
        <f t="shared" ca="1" si="209"/>
        <v>0.1</v>
      </c>
      <c r="B457" s="304">
        <f t="shared" ca="1" si="210"/>
        <v>27.300000000000122</v>
      </c>
      <c r="D457" s="306">
        <f t="shared" ca="1" si="211"/>
        <v>-0.78696587182557143</v>
      </c>
      <c r="E457" s="307">
        <f t="shared" ca="1" si="212"/>
        <v>-5.3649668335762435</v>
      </c>
      <c r="F457" s="304">
        <f t="shared" ca="1" si="213"/>
        <v>5.422378113779164</v>
      </c>
      <c r="G457" s="306">
        <f t="shared" ca="1" si="214"/>
        <v>16.504200075524825</v>
      </c>
      <c r="H457" s="307">
        <f t="shared" ca="1" si="215"/>
        <v>-94.201963382846245</v>
      </c>
      <c r="I457" s="304">
        <f t="shared" ca="1" si="216"/>
        <v>95.636805286019765</v>
      </c>
      <c r="J457" s="306">
        <f t="shared" ca="1" si="217"/>
        <v>672.08781265165067</v>
      </c>
      <c r="K457" s="307">
        <f t="shared" ca="1" si="218"/>
        <v>776.06307976849632</v>
      </c>
      <c r="L457" s="304">
        <f t="shared" ca="1" si="203"/>
        <v>1026.6332995255141</v>
      </c>
      <c r="M457" s="306">
        <f t="shared" ca="1" si="219"/>
        <v>-1.3973564442053608</v>
      </c>
      <c r="N457" s="304">
        <f t="shared" ca="1" si="220"/>
        <v>-80.062626728375065</v>
      </c>
      <c r="P457" s="310">
        <f t="shared" ca="1" si="221"/>
        <v>23</v>
      </c>
      <c r="Q457" s="304">
        <f t="shared" ca="1" si="222"/>
        <v>0</v>
      </c>
      <c r="R457" s="306">
        <f t="shared" ca="1" si="223"/>
        <v>0</v>
      </c>
      <c r="S457" s="307">
        <f t="shared" ca="1" si="224"/>
        <v>7.4499999999999984</v>
      </c>
      <c r="T457" s="304">
        <f t="shared" ca="1" si="204"/>
        <v>73.084499999999991</v>
      </c>
      <c r="U457" s="311">
        <f t="shared" ca="1" si="205"/>
        <v>0</v>
      </c>
      <c r="V457" s="306">
        <f t="shared" ca="1" si="206"/>
        <v>1.1334834052470542</v>
      </c>
      <c r="W457" s="304">
        <f t="shared" ca="1" si="207"/>
        <v>34.027424785516388</v>
      </c>
      <c r="Y457" s="314" t="str">
        <f t="shared" ca="1" si="225"/>
        <v/>
      </c>
      <c r="Z457" s="315" t="str">
        <f t="shared" ca="1" si="226"/>
        <v/>
      </c>
      <c r="AA457" s="316" t="str">
        <f t="shared" ca="1" si="227"/>
        <v/>
      </c>
      <c r="AC457" s="310" t="e">
        <f t="shared" ca="1" si="228"/>
        <v>#N/A</v>
      </c>
      <c r="AD457" s="323" t="e">
        <f t="shared" ca="1" si="229"/>
        <v>#N/A</v>
      </c>
      <c r="AE457" s="324" t="e">
        <f t="shared" ca="1" si="208"/>
        <v>#N/A</v>
      </c>
      <c r="AG457" s="306">
        <f t="shared" ca="1" si="230"/>
        <v>5.1456180751407654</v>
      </c>
      <c r="AH457" s="304">
        <f t="shared" ca="1" si="231"/>
        <v>-4.5141594050305081</v>
      </c>
    </row>
    <row r="458" spans="1:34" x14ac:dyDescent="0.2">
      <c r="A458" s="347">
        <f t="shared" ca="1" si="209"/>
        <v>0.1</v>
      </c>
      <c r="B458" s="304">
        <f t="shared" ca="1" si="210"/>
        <v>27.400000000000123</v>
      </c>
      <c r="D458" s="306">
        <f t="shared" ca="1" si="211"/>
        <v>-0.78821052466540453</v>
      </c>
      <c r="E458" s="307">
        <f t="shared" ca="1" si="212"/>
        <v>-5.3110858664627942</v>
      </c>
      <c r="F458" s="304">
        <f t="shared" ca="1" si="213"/>
        <v>5.3692558992968626</v>
      </c>
      <c r="G458" s="306">
        <f t="shared" ca="1" si="214"/>
        <v>16.425379023058284</v>
      </c>
      <c r="H458" s="307">
        <f t="shared" ca="1" si="215"/>
        <v>-94.733071969492528</v>
      </c>
      <c r="I458" s="304">
        <f t="shared" ca="1" si="216"/>
        <v>96.146492400025565</v>
      </c>
      <c r="J458" s="306">
        <f t="shared" ca="1" si="217"/>
        <v>673.73429160657986</v>
      </c>
      <c r="K458" s="307">
        <f t="shared" ca="1" si="218"/>
        <v>766.61632800087943</v>
      </c>
      <c r="L458" s="304">
        <f t="shared" ca="1" si="203"/>
        <v>1020.5971242582315</v>
      </c>
      <c r="M458" s="306">
        <f t="shared" ca="1" si="219"/>
        <v>-1.3991172246504422</v>
      </c>
      <c r="N458" s="304">
        <f t="shared" ca="1" si="220"/>
        <v>-80.163512016527406</v>
      </c>
      <c r="P458" s="310">
        <f t="shared" ca="1" si="221"/>
        <v>23</v>
      </c>
      <c r="Q458" s="304">
        <f t="shared" ca="1" si="222"/>
        <v>0</v>
      </c>
      <c r="R458" s="306">
        <f t="shared" ca="1" si="223"/>
        <v>0</v>
      </c>
      <c r="S458" s="307">
        <f t="shared" ca="1" si="224"/>
        <v>7.4499999999999984</v>
      </c>
      <c r="T458" s="304">
        <f t="shared" ca="1" si="204"/>
        <v>73.084499999999991</v>
      </c>
      <c r="U458" s="311">
        <f t="shared" ca="1" si="205"/>
        <v>0</v>
      </c>
      <c r="V458" s="306">
        <f t="shared" ca="1" si="206"/>
        <v>1.1345562813923782</v>
      </c>
      <c r="W458" s="304">
        <f t="shared" ca="1" si="207"/>
        <v>34.423635191380825</v>
      </c>
      <c r="Y458" s="314" t="str">
        <f t="shared" ca="1" si="225"/>
        <v/>
      </c>
      <c r="Z458" s="315" t="str">
        <f t="shared" ca="1" si="226"/>
        <v/>
      </c>
      <c r="AA458" s="316" t="str">
        <f t="shared" ca="1" si="227"/>
        <v/>
      </c>
      <c r="AC458" s="310" t="e">
        <f t="shared" ca="1" si="228"/>
        <v>#N/A</v>
      </c>
      <c r="AD458" s="323" t="e">
        <f t="shared" ca="1" si="229"/>
        <v>#N/A</v>
      </c>
      <c r="AE458" s="324" t="e">
        <f t="shared" ca="1" si="208"/>
        <v>#N/A</v>
      </c>
      <c r="AG458" s="306">
        <f t="shared" ca="1" si="230"/>
        <v>5.0953807026237286</v>
      </c>
      <c r="AH458" s="304">
        <f t="shared" ca="1" si="231"/>
        <v>-4.5674395685256908</v>
      </c>
    </row>
    <row r="459" spans="1:34" x14ac:dyDescent="0.2">
      <c r="A459" s="347">
        <f t="shared" ca="1" si="209"/>
        <v>0.1</v>
      </c>
      <c r="B459" s="304">
        <f t="shared" ca="1" si="210"/>
        <v>27.500000000000124</v>
      </c>
      <c r="D459" s="306">
        <f t="shared" ca="1" si="211"/>
        <v>-0.78937326391151663</v>
      </c>
      <c r="E459" s="307">
        <f t="shared" ca="1" si="212"/>
        <v>-5.2573041921318477</v>
      </c>
      <c r="F459" s="304">
        <f t="shared" ca="1" si="213"/>
        <v>5.3162352768087136</v>
      </c>
      <c r="G459" s="306">
        <f t="shared" ca="1" si="214"/>
        <v>16.346441696667132</v>
      </c>
      <c r="H459" s="307">
        <f t="shared" ca="1" si="215"/>
        <v>-95.258802388705718</v>
      </c>
      <c r="I459" s="304">
        <f t="shared" ca="1" si="216"/>
        <v>96.651154099022662</v>
      </c>
      <c r="J459" s="306">
        <f t="shared" ca="1" si="217"/>
        <v>675.37288264256608</v>
      </c>
      <c r="K459" s="307">
        <f t="shared" ca="1" si="218"/>
        <v>757.11673428296956</v>
      </c>
      <c r="L459" s="304">
        <f t="shared" ca="1" si="203"/>
        <v>1014.570983194492</v>
      </c>
      <c r="M459" s="306">
        <f t="shared" ca="1" si="219"/>
        <v>-1.4008512048568476</v>
      </c>
      <c r="N459" s="304">
        <f t="shared" ca="1" si="220"/>
        <v>-80.262861764113651</v>
      </c>
      <c r="P459" s="310">
        <f t="shared" ca="1" si="221"/>
        <v>23</v>
      </c>
      <c r="Q459" s="304">
        <f t="shared" ca="1" si="222"/>
        <v>0</v>
      </c>
      <c r="R459" s="306">
        <f t="shared" ca="1" si="223"/>
        <v>0</v>
      </c>
      <c r="S459" s="307">
        <f t="shared" ca="1" si="224"/>
        <v>7.4499999999999984</v>
      </c>
      <c r="T459" s="304">
        <f t="shared" ca="1" si="204"/>
        <v>73.084499999999991</v>
      </c>
      <c r="U459" s="311">
        <f t="shared" ca="1" si="205"/>
        <v>0</v>
      </c>
      <c r="V459" s="306">
        <f t="shared" ca="1" si="206"/>
        <v>1.1356361436061293</v>
      </c>
      <c r="W459" s="304">
        <f t="shared" ca="1" si="207"/>
        <v>34.819063875707513</v>
      </c>
      <c r="Y459" s="314" t="str">
        <f t="shared" ca="1" si="225"/>
        <v/>
      </c>
      <c r="Z459" s="315" t="str">
        <f t="shared" ca="1" si="226"/>
        <v/>
      </c>
      <c r="AA459" s="316" t="str">
        <f t="shared" ca="1" si="227"/>
        <v/>
      </c>
      <c r="AC459" s="310" t="e">
        <f t="shared" ca="1" si="228"/>
        <v>#N/A</v>
      </c>
      <c r="AD459" s="323" t="e">
        <f t="shared" ca="1" si="229"/>
        <v>#N/A</v>
      </c>
      <c r="AE459" s="324" t="e">
        <f t="shared" ca="1" si="208"/>
        <v>#N/A</v>
      </c>
      <c r="AG459" s="306">
        <f t="shared" ca="1" si="230"/>
        <v>5.0451639913199466</v>
      </c>
      <c r="AH459" s="304">
        <f t="shared" ca="1" si="231"/>
        <v>-4.6206221733397088</v>
      </c>
    </row>
    <row r="460" spans="1:34" x14ac:dyDescent="0.2">
      <c r="A460" s="347">
        <f t="shared" ca="1" si="209"/>
        <v>0.1</v>
      </c>
      <c r="B460" s="304">
        <f t="shared" ca="1" si="210"/>
        <v>27.600000000000126</v>
      </c>
      <c r="D460" s="306">
        <f t="shared" ca="1" si="211"/>
        <v>-0.79045473179316839</v>
      </c>
      <c r="E460" s="307">
        <f t="shared" ca="1" si="212"/>
        <v>-5.2036292380711053</v>
      </c>
      <c r="F460" s="304">
        <f t="shared" ca="1" si="213"/>
        <v>5.2633236581387131</v>
      </c>
      <c r="G460" s="306">
        <f t="shared" ca="1" si="214"/>
        <v>16.267396223487815</v>
      </c>
      <c r="H460" s="307">
        <f t="shared" ca="1" si="215"/>
        <v>-95.779165312512831</v>
      </c>
      <c r="I460" s="304">
        <f t="shared" ca="1" si="216"/>
        <v>97.150793552361719</v>
      </c>
      <c r="J460" s="306">
        <f t="shared" ca="1" si="217"/>
        <v>677.00357453857384</v>
      </c>
      <c r="K460" s="307">
        <f t="shared" ca="1" si="218"/>
        <v>747.56483589790867</v>
      </c>
      <c r="L460" s="304">
        <f t="shared" ca="1" si="203"/>
        <v>1008.5569016218537</v>
      </c>
      <c r="M460" s="306">
        <f t="shared" ca="1" si="219"/>
        <v>-1.4025590128884682</v>
      </c>
      <c r="N460" s="304">
        <f t="shared" ca="1" si="220"/>
        <v>-80.360711956544066</v>
      </c>
      <c r="P460" s="310">
        <f t="shared" ca="1" si="221"/>
        <v>23</v>
      </c>
      <c r="Q460" s="304">
        <f t="shared" ca="1" si="222"/>
        <v>0</v>
      </c>
      <c r="R460" s="306">
        <f t="shared" ca="1" si="223"/>
        <v>0</v>
      </c>
      <c r="S460" s="307">
        <f t="shared" ca="1" si="224"/>
        <v>7.4499999999999984</v>
      </c>
      <c r="T460" s="304">
        <f t="shared" ca="1" si="204"/>
        <v>73.084499999999991</v>
      </c>
      <c r="U460" s="311">
        <f t="shared" ca="1" si="205"/>
        <v>0</v>
      </c>
      <c r="V460" s="306">
        <f t="shared" ca="1" si="206"/>
        <v>1.1367229485755883</v>
      </c>
      <c r="W460" s="304">
        <f t="shared" ca="1" si="207"/>
        <v>35.213656909371473</v>
      </c>
      <c r="Y460" s="314" t="str">
        <f t="shared" ca="1" si="225"/>
        <v/>
      </c>
      <c r="Z460" s="315" t="str">
        <f t="shared" ca="1" si="226"/>
        <v/>
      </c>
      <c r="AA460" s="316" t="str">
        <f t="shared" ca="1" si="227"/>
        <v/>
      </c>
      <c r="AC460" s="310" t="e">
        <f t="shared" ca="1" si="228"/>
        <v>#N/A</v>
      </c>
      <c r="AD460" s="323" t="e">
        <f t="shared" ca="1" si="229"/>
        <v>#N/A</v>
      </c>
      <c r="AE460" s="324" t="e">
        <f t="shared" ca="1" si="208"/>
        <v>#N/A</v>
      </c>
      <c r="AG460" s="306">
        <f t="shared" ca="1" si="230"/>
        <v>4.9949777796939623</v>
      </c>
      <c r="AH460" s="304">
        <f t="shared" ca="1" si="231"/>
        <v>-4.6736998490882575</v>
      </c>
    </row>
    <row r="461" spans="1:34" x14ac:dyDescent="0.2">
      <c r="A461" s="347">
        <f t="shared" ca="1" si="209"/>
        <v>0.1</v>
      </c>
      <c r="B461" s="304">
        <f t="shared" ca="1" si="210"/>
        <v>27.700000000000127</v>
      </c>
      <c r="D461" s="306">
        <f t="shared" ca="1" si="211"/>
        <v>-0.79145558534323601</v>
      </c>
      <c r="E461" s="307">
        <f t="shared" ca="1" si="212"/>
        <v>-5.1500682995198837</v>
      </c>
      <c r="F461" s="304">
        <f t="shared" ca="1" si="213"/>
        <v>5.2105283257353694</v>
      </c>
      <c r="G461" s="306">
        <f t="shared" ca="1" si="214"/>
        <v>16.18825066495349</v>
      </c>
      <c r="H461" s="307">
        <f t="shared" ca="1" si="215"/>
        <v>-96.294172142464816</v>
      </c>
      <c r="I461" s="304">
        <f t="shared" ca="1" si="216"/>
        <v>97.645414885666867</v>
      </c>
      <c r="J461" s="306">
        <f t="shared" ca="1" si="217"/>
        <v>678.62635688299588</v>
      </c>
      <c r="K461" s="307">
        <f t="shared" ca="1" si="218"/>
        <v>737.96116902515973</v>
      </c>
      <c r="L461" s="304">
        <f t="shared" ca="1" si="203"/>
        <v>1002.5569406498903</v>
      </c>
      <c r="M461" s="306">
        <f t="shared" ca="1" si="219"/>
        <v>-1.4042412571273963</v>
      </c>
      <c r="N461" s="304">
        <f t="shared" ca="1" si="220"/>
        <v>-80.45709745154484</v>
      </c>
      <c r="P461" s="310">
        <f t="shared" ca="1" si="221"/>
        <v>23</v>
      </c>
      <c r="Q461" s="304">
        <f t="shared" ca="1" si="222"/>
        <v>0</v>
      </c>
      <c r="R461" s="306">
        <f t="shared" ca="1" si="223"/>
        <v>0</v>
      </c>
      <c r="S461" s="307">
        <f t="shared" ca="1" si="224"/>
        <v>7.4499999999999984</v>
      </c>
      <c r="T461" s="304">
        <f t="shared" ca="1" si="204"/>
        <v>73.084499999999991</v>
      </c>
      <c r="U461" s="311">
        <f t="shared" ca="1" si="205"/>
        <v>0</v>
      </c>
      <c r="V461" s="306">
        <f t="shared" ca="1" si="206"/>
        <v>1.137816653027004</v>
      </c>
      <c r="W461" s="304">
        <f t="shared" ca="1" si="207"/>
        <v>35.607361347980742</v>
      </c>
      <c r="Y461" s="314" t="str">
        <f t="shared" ca="1" si="225"/>
        <v/>
      </c>
      <c r="Z461" s="315" t="str">
        <f t="shared" ca="1" si="226"/>
        <v/>
      </c>
      <c r="AA461" s="316" t="str">
        <f t="shared" ca="1" si="227"/>
        <v/>
      </c>
      <c r="AC461" s="310" t="e">
        <f t="shared" ca="1" si="228"/>
        <v>#N/A</v>
      </c>
      <c r="AD461" s="323" t="e">
        <f t="shared" ca="1" si="229"/>
        <v>#N/A</v>
      </c>
      <c r="AE461" s="324" t="e">
        <f t="shared" ca="1" si="208"/>
        <v>#N/A</v>
      </c>
      <c r="AG461" s="306">
        <f t="shared" ca="1" si="230"/>
        <v>4.9448316772776124</v>
      </c>
      <c r="AH461" s="304">
        <f t="shared" ca="1" si="231"/>
        <v>-4.7266653569626147</v>
      </c>
    </row>
    <row r="462" spans="1:34" x14ac:dyDescent="0.2">
      <c r="A462" s="347">
        <f t="shared" ca="1" si="209"/>
        <v>0.1</v>
      </c>
      <c r="B462" s="304">
        <f t="shared" ca="1" si="210"/>
        <v>27.800000000000129</v>
      </c>
      <c r="D462" s="306">
        <f t="shared" ca="1" si="211"/>
        <v>-0.79237649582374958</v>
      </c>
      <c r="E462" s="307">
        <f t="shared" ca="1" si="212"/>
        <v>-5.0966285388277086</v>
      </c>
      <c r="F462" s="304">
        <f t="shared" ca="1" si="213"/>
        <v>5.1578564320778639</v>
      </c>
      <c r="G462" s="306">
        <f t="shared" ca="1" si="214"/>
        <v>16.109013015371115</v>
      </c>
      <c r="H462" s="307">
        <f t="shared" ca="1" si="215"/>
        <v>-96.803834996347589</v>
      </c>
      <c r="I462" s="304">
        <f t="shared" ca="1" si="216"/>
        <v>98.135023158551746</v>
      </c>
      <c r="J462" s="306">
        <f t="shared" ca="1" si="217"/>
        <v>680.24122006701214</v>
      </c>
      <c r="K462" s="307">
        <f t="shared" ca="1" si="218"/>
        <v>728.3062686682191</v>
      </c>
      <c r="L462" s="304">
        <f t="shared" ca="1" si="203"/>
        <v>996.57319774298628</v>
      </c>
      <c r="M462" s="306">
        <f t="shared" ca="1" si="219"/>
        <v>-1.4058985270266524</v>
      </c>
      <c r="N462" s="304">
        <f t="shared" ca="1" si="220"/>
        <v>-80.55205202228629</v>
      </c>
      <c r="P462" s="310">
        <f t="shared" ca="1" si="221"/>
        <v>23</v>
      </c>
      <c r="Q462" s="304">
        <f t="shared" ca="1" si="222"/>
        <v>0</v>
      </c>
      <c r="R462" s="306">
        <f t="shared" ca="1" si="223"/>
        <v>0</v>
      </c>
      <c r="S462" s="307">
        <f t="shared" ca="1" si="224"/>
        <v>7.4499999999999984</v>
      </c>
      <c r="T462" s="304">
        <f t="shared" ca="1" si="204"/>
        <v>73.084499999999991</v>
      </c>
      <c r="U462" s="311">
        <f t="shared" ca="1" si="205"/>
        <v>0</v>
      </c>
      <c r="V462" s="306">
        <f t="shared" ca="1" si="206"/>
        <v>1.1389172137313377</v>
      </c>
      <c r="W462" s="304">
        <f t="shared" ca="1" si="207"/>
        <v>36.000125235775094</v>
      </c>
      <c r="Y462" s="314" t="str">
        <f t="shared" ca="1" si="225"/>
        <v/>
      </c>
      <c r="Z462" s="315" t="str">
        <f t="shared" ca="1" si="226"/>
        <v/>
      </c>
      <c r="AA462" s="316" t="str">
        <f t="shared" ca="1" si="227"/>
        <v/>
      </c>
      <c r="AC462" s="310" t="e">
        <f t="shared" ca="1" si="228"/>
        <v>#N/A</v>
      </c>
      <c r="AD462" s="323" t="e">
        <f t="shared" ca="1" si="229"/>
        <v>#N/A</v>
      </c>
      <c r="AE462" s="324" t="e">
        <f t="shared" ca="1" si="208"/>
        <v>#N/A</v>
      </c>
      <c r="AG462" s="306">
        <f t="shared" ca="1" si="230"/>
        <v>4.8947350685978686</v>
      </c>
      <c r="AH462" s="304">
        <f t="shared" ca="1" si="231"/>
        <v>-4.7795115903329863</v>
      </c>
    </row>
    <row r="463" spans="1:34" x14ac:dyDescent="0.2">
      <c r="A463" s="347">
        <f t="shared" ca="1" si="209"/>
        <v>0.1</v>
      </c>
      <c r="B463" s="304">
        <f t="shared" ca="1" si="210"/>
        <v>27.90000000000013</v>
      </c>
      <c r="D463" s="306">
        <f t="shared" ca="1" si="211"/>
        <v>-0.79321814815873626</v>
      </c>
      <c r="E463" s="307">
        <f t="shared" ca="1" si="212"/>
        <v>-5.0433169848955082</v>
      </c>
      <c r="F463" s="304">
        <f t="shared" ca="1" si="213"/>
        <v>5.1053149991654667</v>
      </c>
      <c r="G463" s="306">
        <f t="shared" ca="1" si="214"/>
        <v>16.029691200555241</v>
      </c>
      <c r="H463" s="307">
        <f t="shared" ca="1" si="215"/>
        <v>-97.308166694837141</v>
      </c>
      <c r="I463" s="304">
        <f t="shared" ca="1" si="216"/>
        <v>98.619624342700533</v>
      </c>
      <c r="J463" s="306">
        <f t="shared" ca="1" si="217"/>
        <v>681.84815527780847</v>
      </c>
      <c r="K463" s="307">
        <f t="shared" ca="1" si="218"/>
        <v>718.60066858365985</v>
      </c>
      <c r="L463" s="304">
        <f t="shared" ca="1" si="203"/>
        <v>990.60780722980041</v>
      </c>
      <c r="M463" s="306">
        <f t="shared" ca="1" si="219"/>
        <v>-1.4075313938291738</v>
      </c>
      <c r="N463" s="304">
        <f t="shared" ca="1" si="220"/>
        <v>-80.645608398577778</v>
      </c>
      <c r="P463" s="310">
        <f t="shared" ca="1" si="221"/>
        <v>23</v>
      </c>
      <c r="Q463" s="304">
        <f t="shared" ca="1" si="222"/>
        <v>0</v>
      </c>
      <c r="R463" s="306">
        <f t="shared" ca="1" si="223"/>
        <v>0</v>
      </c>
      <c r="S463" s="307">
        <f t="shared" ca="1" si="224"/>
        <v>7.4499999999999984</v>
      </c>
      <c r="T463" s="304">
        <f t="shared" ca="1" si="204"/>
        <v>73.084499999999991</v>
      </c>
      <c r="U463" s="311">
        <f t="shared" ca="1" si="205"/>
        <v>0</v>
      </c>
      <c r="V463" s="306">
        <f t="shared" ca="1" si="206"/>
        <v>1.1400245875099289</v>
      </c>
      <c r="W463" s="304">
        <f t="shared" ca="1" si="207"/>
        <v>36.391897608938464</v>
      </c>
      <c r="Y463" s="314" t="str">
        <f t="shared" ca="1" si="225"/>
        <v/>
      </c>
      <c r="Z463" s="315" t="str">
        <f t="shared" ca="1" si="226"/>
        <v/>
      </c>
      <c r="AA463" s="316" t="str">
        <f t="shared" ca="1" si="227"/>
        <v/>
      </c>
      <c r="AC463" s="310" t="e">
        <f t="shared" ca="1" si="228"/>
        <v>#N/A</v>
      </c>
      <c r="AD463" s="323" t="e">
        <f t="shared" ca="1" si="229"/>
        <v>#N/A</v>
      </c>
      <c r="AE463" s="324" t="e">
        <f t="shared" ca="1" si="208"/>
        <v>#N/A</v>
      </c>
      <c r="AG463" s="306">
        <f t="shared" ca="1" si="230"/>
        <v>4.8446971169431459</v>
      </c>
      <c r="AH463" s="304">
        <f t="shared" ca="1" si="231"/>
        <v>-4.8322315752718259</v>
      </c>
    </row>
    <row r="464" spans="1:34" x14ac:dyDescent="0.2">
      <c r="A464" s="347">
        <f t="shared" ca="1" si="209"/>
        <v>0.1</v>
      </c>
      <c r="B464" s="304">
        <f t="shared" ca="1" si="210"/>
        <v>28.000000000000131</v>
      </c>
      <c r="D464" s="306">
        <f t="shared" ca="1" si="211"/>
        <v>-0.79398124037438844</v>
      </c>
      <c r="E464" s="307">
        <f t="shared" ca="1" si="212"/>
        <v>-4.9901405326979491</v>
      </c>
      <c r="F464" s="304">
        <f t="shared" ca="1" si="213"/>
        <v>5.0529109180888421</v>
      </c>
      <c r="G464" s="306">
        <f t="shared" ca="1" si="214"/>
        <v>15.950293076517802</v>
      </c>
      <c r="H464" s="307">
        <f t="shared" ca="1" si="215"/>
        <v>-97.80718074810693</v>
      </c>
      <c r="I464" s="304">
        <f t="shared" ca="1" si="216"/>
        <v>99.099225300300247</v>
      </c>
      <c r="J464" s="306">
        <f t="shared" ca="1" si="217"/>
        <v>683.4471544916621</v>
      </c>
      <c r="K464" s="307">
        <f t="shared" ca="1" si="218"/>
        <v>708.84490121151271</v>
      </c>
      <c r="L464" s="304">
        <f t="shared" ca="1" si="203"/>
        <v>984.66294078547969</v>
      </c>
      <c r="M464" s="306">
        <f t="shared" ca="1" si="219"/>
        <v>-1.4091404112547916</v>
      </c>
      <c r="N464" s="304">
        <f t="shared" ca="1" si="220"/>
        <v>-80.737798306228683</v>
      </c>
      <c r="P464" s="310">
        <f t="shared" ca="1" si="221"/>
        <v>23</v>
      </c>
      <c r="Q464" s="304">
        <f t="shared" ca="1" si="222"/>
        <v>0</v>
      </c>
      <c r="R464" s="306">
        <f t="shared" ca="1" si="223"/>
        <v>0</v>
      </c>
      <c r="S464" s="307">
        <f t="shared" ca="1" si="224"/>
        <v>7.4499999999999984</v>
      </c>
      <c r="T464" s="304">
        <f t="shared" ca="1" si="204"/>
        <v>73.084499999999991</v>
      </c>
      <c r="U464" s="311">
        <f t="shared" ca="1" si="205"/>
        <v>0</v>
      </c>
      <c r="V464" s="306">
        <f t="shared" ca="1" si="206"/>
        <v>1.14113873124007</v>
      </c>
      <c r="W464" s="304">
        <f t="shared" ca="1" si="207"/>
        <v>36.78262849833515</v>
      </c>
      <c r="Y464" s="314" t="str">
        <f t="shared" ca="1" si="225"/>
        <v/>
      </c>
      <c r="Z464" s="315" t="str">
        <f t="shared" ca="1" si="226"/>
        <v/>
      </c>
      <c r="AA464" s="316" t="str">
        <f t="shared" ca="1" si="227"/>
        <v/>
      </c>
      <c r="AC464" s="310">
        <f t="shared" ca="1" si="228"/>
        <v>28.000000000000131</v>
      </c>
      <c r="AD464" s="323">
        <f t="shared" ca="1" si="229"/>
        <v>683.4471544916621</v>
      </c>
      <c r="AE464" s="324" t="e">
        <f t="shared" ca="1" si="208"/>
        <v>#N/A</v>
      </c>
      <c r="AG464" s="306">
        <f t="shared" ca="1" si="230"/>
        <v>4.7947267679812375</v>
      </c>
      <c r="AH464" s="304">
        <f t="shared" ca="1" si="231"/>
        <v>-4.8848184709984528</v>
      </c>
    </row>
    <row r="465" spans="1:34" x14ac:dyDescent="0.2">
      <c r="A465" s="347">
        <f t="shared" ca="1" si="209"/>
        <v>0.1</v>
      </c>
      <c r="B465" s="304">
        <f t="shared" ca="1" si="210"/>
        <v>28.100000000000133</v>
      </c>
      <c r="D465" s="306">
        <f t="shared" ca="1" si="211"/>
        <v>-0.79466648304657439</v>
      </c>
      <c r="E465" s="307">
        <f t="shared" ca="1" si="212"/>
        <v>-4.9371059428854602</v>
      </c>
      <c r="F465" s="304">
        <f t="shared" ca="1" si="213"/>
        <v>5.0006509486818356</v>
      </c>
      <c r="G465" s="306">
        <f t="shared" ca="1" si="214"/>
        <v>15.870826428213144</v>
      </c>
      <c r="H465" s="307">
        <f t="shared" ca="1" si="215"/>
        <v>-98.300891342395474</v>
      </c>
      <c r="I465" s="304">
        <f t="shared" ca="1" si="216"/>
        <v>99.573833762810949</v>
      </c>
      <c r="J465" s="306">
        <f t="shared" ca="1" si="217"/>
        <v>685.0382104668987</v>
      </c>
      <c r="K465" s="307">
        <f t="shared" ca="1" si="218"/>
        <v>699.03949760698754</v>
      </c>
      <c r="L465" s="304">
        <f t="shared" ca="1" si="203"/>
        <v>978.74080788241406</v>
      </c>
      <c r="M465" s="306">
        <f t="shared" ca="1" si="219"/>
        <v>-1.4107261161568181</v>
      </c>
      <c r="N465" s="304">
        <f t="shared" ca="1" si="220"/>
        <v>-80.828652504668014</v>
      </c>
      <c r="P465" s="310">
        <f t="shared" ca="1" si="221"/>
        <v>23</v>
      </c>
      <c r="Q465" s="304">
        <f t="shared" ca="1" si="222"/>
        <v>0</v>
      </c>
      <c r="R465" s="306">
        <f t="shared" ca="1" si="223"/>
        <v>0</v>
      </c>
      <c r="S465" s="307">
        <f t="shared" ca="1" si="224"/>
        <v>7.4499999999999984</v>
      </c>
      <c r="T465" s="304">
        <f t="shared" ca="1" si="204"/>
        <v>73.084499999999991</v>
      </c>
      <c r="U465" s="311">
        <f t="shared" ca="1" si="205"/>
        <v>0</v>
      </c>
      <c r="V465" s="306">
        <f t="shared" ca="1" si="206"/>
        <v>1.1422596018605058</v>
      </c>
      <c r="W465" s="304">
        <f t="shared" ca="1" si="207"/>
        <v>37.172268931680463</v>
      </c>
      <c r="Y465" s="314" t="str">
        <f t="shared" ca="1" si="225"/>
        <v/>
      </c>
      <c r="Z465" s="315" t="str">
        <f t="shared" ca="1" si="226"/>
        <v/>
      </c>
      <c r="AA465" s="316" t="str">
        <f t="shared" ca="1" si="227"/>
        <v/>
      </c>
      <c r="AC465" s="310" t="e">
        <f t="shared" ca="1" si="228"/>
        <v>#N/A</v>
      </c>
      <c r="AD465" s="323" t="e">
        <f t="shared" ca="1" si="229"/>
        <v>#N/A</v>
      </c>
      <c r="AE465" s="324" t="e">
        <f t="shared" ca="1" si="208"/>
        <v>#N/A</v>
      </c>
      <c r="AG465" s="306">
        <f t="shared" ca="1" si="230"/>
        <v>4.7448327532409884</v>
      </c>
      <c r="AH465" s="304">
        <f t="shared" ca="1" si="231"/>
        <v>-4.9372655702463302</v>
      </c>
    </row>
    <row r="466" spans="1:34" x14ac:dyDescent="0.2">
      <c r="A466" s="347">
        <f t="shared" ca="1" si="209"/>
        <v>0.1</v>
      </c>
      <c r="B466" s="304">
        <f t="shared" ca="1" si="210"/>
        <v>28.200000000000134</v>
      </c>
      <c r="D466" s="306">
        <f t="shared" ca="1" si="211"/>
        <v>-0.79527459875573836</v>
      </c>
      <c r="E466" s="307">
        <f t="shared" ca="1" si="212"/>
        <v>-4.884219841464386</v>
      </c>
      <c r="F466" s="304">
        <f t="shared" ca="1" si="213"/>
        <v>4.9485417192522982</v>
      </c>
      <c r="G466" s="306">
        <f t="shared" ca="1" si="214"/>
        <v>15.79129896833757</v>
      </c>
      <c r="H466" s="307">
        <f t="shared" ca="1" si="215"/>
        <v>-98.789313326541915</v>
      </c>
      <c r="I466" s="304">
        <f t="shared" ca="1" si="216"/>
        <v>100.04345831006189</v>
      </c>
      <c r="J466" s="306">
        <f t="shared" ca="1" si="217"/>
        <v>686.62131673672627</v>
      </c>
      <c r="K466" s="307">
        <f t="shared" ca="1" si="218"/>
        <v>689.18498737354071</v>
      </c>
      <c r="L466" s="304">
        <f t="shared" ca="1" si="203"/>
        <v>972.84365620501592</v>
      </c>
      <c r="M466" s="306">
        <f t="shared" ca="1" si="219"/>
        <v>-1.4122890291497823</v>
      </c>
      <c r="N466" s="304">
        <f t="shared" ca="1" si="220"/>
        <v>-80.918200822911018</v>
      </c>
      <c r="P466" s="310">
        <f t="shared" ca="1" si="221"/>
        <v>23</v>
      </c>
      <c r="Q466" s="304">
        <f t="shared" ca="1" si="222"/>
        <v>0</v>
      </c>
      <c r="R466" s="306">
        <f t="shared" ca="1" si="223"/>
        <v>0</v>
      </c>
      <c r="S466" s="307">
        <f t="shared" ca="1" si="224"/>
        <v>7.4499999999999984</v>
      </c>
      <c r="T466" s="304">
        <f t="shared" ca="1" si="204"/>
        <v>73.084499999999991</v>
      </c>
      <c r="U466" s="311">
        <f t="shared" ca="1" si="205"/>
        <v>0</v>
      </c>
      <c r="V466" s="306">
        <f t="shared" ca="1" si="206"/>
        <v>1.1433871563768387</v>
      </c>
      <c r="W466" s="304">
        <f t="shared" ca="1" si="207"/>
        <v>37.560770935155659</v>
      </c>
      <c r="Y466" s="314" t="str">
        <f t="shared" ca="1" si="225"/>
        <v/>
      </c>
      <c r="Z466" s="315" t="str">
        <f t="shared" ca="1" si="226"/>
        <v/>
      </c>
      <c r="AA466" s="316" t="str">
        <f t="shared" ca="1" si="227"/>
        <v/>
      </c>
      <c r="AC466" s="310" t="e">
        <f t="shared" ca="1" si="228"/>
        <v>#N/A</v>
      </c>
      <c r="AD466" s="323" t="e">
        <f t="shared" ca="1" si="229"/>
        <v>#N/A</v>
      </c>
      <c r="AE466" s="324" t="e">
        <f t="shared" ca="1" si="208"/>
        <v>#N/A</v>
      </c>
      <c r="AG466" s="306">
        <f t="shared" ca="1" si="230"/>
        <v>4.6950235934688589</v>
      </c>
      <c r="AH466" s="304">
        <f t="shared" ca="1" si="231"/>
        <v>-4.9895662995544257</v>
      </c>
    </row>
    <row r="467" spans="1:34" x14ac:dyDescent="0.2">
      <c r="A467" s="347">
        <f t="shared" ca="1" si="209"/>
        <v>0.1</v>
      </c>
      <c r="B467" s="304">
        <f t="shared" ca="1" si="210"/>
        <v>28.300000000000136</v>
      </c>
      <c r="D467" s="306">
        <f t="shared" ca="1" si="211"/>
        <v>-0.79580632154919162</v>
      </c>
      <c r="E467" s="307">
        <f t="shared" ca="1" si="212"/>
        <v>-4.8314887195538754</v>
      </c>
      <c r="F467" s="304">
        <f t="shared" ca="1" si="213"/>
        <v>4.8965897263906033</v>
      </c>
      <c r="G467" s="306">
        <f t="shared" ca="1" si="214"/>
        <v>15.711718336182651</v>
      </c>
      <c r="H467" s="307">
        <f t="shared" ca="1" si="215"/>
        <v>-99.272462198497308</v>
      </c>
      <c r="I467" s="304">
        <f t="shared" ca="1" si="216"/>
        <v>100.50810834966309</v>
      </c>
      <c r="J467" s="306">
        <f t="shared" ca="1" si="217"/>
        <v>688.19646760195224</v>
      </c>
      <c r="K467" s="307">
        <f t="shared" ca="1" si="218"/>
        <v>679.28189859728877</v>
      </c>
      <c r="L467" s="304">
        <f t="shared" ca="1" si="203"/>
        <v>966.97377202369978</v>
      </c>
      <c r="M467" s="306">
        <f t="shared" ca="1" si="219"/>
        <v>-1.4138296552097565</v>
      </c>
      <c r="N467" s="304">
        <f t="shared" ca="1" si="220"/>
        <v>-81.006472193955403</v>
      </c>
      <c r="P467" s="310">
        <f t="shared" ca="1" si="221"/>
        <v>23</v>
      </c>
      <c r="Q467" s="304">
        <f t="shared" ca="1" si="222"/>
        <v>0</v>
      </c>
      <c r="R467" s="306">
        <f t="shared" ca="1" si="223"/>
        <v>0</v>
      </c>
      <c r="S467" s="307">
        <f t="shared" ca="1" si="224"/>
        <v>7.4499999999999984</v>
      </c>
      <c r="T467" s="304">
        <f t="shared" ca="1" si="204"/>
        <v>73.084499999999991</v>
      </c>
      <c r="U467" s="311">
        <f t="shared" ca="1" si="205"/>
        <v>0</v>
      </c>
      <c r="V467" s="306">
        <f t="shared" ca="1" si="206"/>
        <v>1.1445213518668536</v>
      </c>
      <c r="W467" s="304">
        <f t="shared" ca="1" si="207"/>
        <v>37.948087534479001</v>
      </c>
      <c r="Y467" s="314" t="str">
        <f t="shared" ca="1" si="225"/>
        <v/>
      </c>
      <c r="Z467" s="315" t="str">
        <f t="shared" ca="1" si="226"/>
        <v/>
      </c>
      <c r="AA467" s="316" t="str">
        <f t="shared" ca="1" si="227"/>
        <v/>
      </c>
      <c r="AC467" s="310" t="e">
        <f t="shared" ca="1" si="228"/>
        <v>#N/A</v>
      </c>
      <c r="AD467" s="323" t="e">
        <f t="shared" ca="1" si="229"/>
        <v>#N/A</v>
      </c>
      <c r="AE467" s="324" t="e">
        <f t="shared" ca="1" si="208"/>
        <v>#N/A</v>
      </c>
      <c r="AG467" s="306">
        <f t="shared" ca="1" si="230"/>
        <v>4.6453076018708934</v>
      </c>
      <c r="AH467" s="304">
        <f t="shared" ca="1" si="231"/>
        <v>-5.0417142194839819</v>
      </c>
    </row>
    <row r="468" spans="1:34" x14ac:dyDescent="0.2">
      <c r="A468" s="347">
        <f t="shared" ca="1" si="209"/>
        <v>0.1</v>
      </c>
      <c r="B468" s="304">
        <f t="shared" ca="1" si="210"/>
        <v>28.400000000000137</v>
      </c>
      <c r="D468" s="306">
        <f t="shared" ca="1" si="211"/>
        <v>-0.79626239641087482</v>
      </c>
      <c r="E468" s="307">
        <f t="shared" ca="1" si="212"/>
        <v>-4.7789189332177875</v>
      </c>
      <c r="F468" s="304">
        <f t="shared" ca="1" si="213"/>
        <v>4.8448013348542398</v>
      </c>
      <c r="G468" s="306">
        <f t="shared" ca="1" si="214"/>
        <v>15.632092096541564</v>
      </c>
      <c r="H468" s="307">
        <f t="shared" ca="1" si="215"/>
        <v>-99.750354091819091</v>
      </c>
      <c r="I468" s="304">
        <f t="shared" ca="1" si="216"/>
        <v>100.96779409672199</v>
      </c>
      <c r="J468" s="306">
        <f t="shared" ca="1" si="217"/>
        <v>689.76365812358847</v>
      </c>
      <c r="K468" s="307">
        <f t="shared" ca="1" si="218"/>
        <v>669.33075778277293</v>
      </c>
      <c r="L468" s="304">
        <f t="shared" ca="1" si="203"/>
        <v>961.13348052291656</v>
      </c>
      <c r="M468" s="306">
        <f t="shared" ca="1" si="219"/>
        <v>-1.415348484248645</v>
      </c>
      <c r="N468" s="304">
        <f t="shared" ca="1" si="220"/>
        <v>-81.093494687685634</v>
      </c>
      <c r="P468" s="310">
        <f t="shared" ca="1" si="221"/>
        <v>23</v>
      </c>
      <c r="Q468" s="304">
        <f t="shared" ca="1" si="222"/>
        <v>0</v>
      </c>
      <c r="R468" s="306">
        <f t="shared" ca="1" si="223"/>
        <v>0</v>
      </c>
      <c r="S468" s="307">
        <f t="shared" ca="1" si="224"/>
        <v>7.4499999999999984</v>
      </c>
      <c r="T468" s="304">
        <f t="shared" ca="1" si="204"/>
        <v>73.084499999999991</v>
      </c>
      <c r="U468" s="311">
        <f t="shared" ca="1" si="205"/>
        <v>0</v>
      </c>
      <c r="V468" s="306">
        <f t="shared" ca="1" si="206"/>
        <v>1.1456621454857543</v>
      </c>
      <c r="W468" s="304">
        <f t="shared" ca="1" si="207"/>
        <v>38.33417275544317</v>
      </c>
      <c r="Y468" s="314" t="str">
        <f t="shared" ca="1" si="225"/>
        <v/>
      </c>
      <c r="Z468" s="315" t="str">
        <f t="shared" ca="1" si="226"/>
        <v/>
      </c>
      <c r="AA468" s="316" t="str">
        <f t="shared" ca="1" si="227"/>
        <v/>
      </c>
      <c r="AC468" s="310" t="e">
        <f t="shared" ca="1" si="228"/>
        <v>#N/A</v>
      </c>
      <c r="AD468" s="323" t="e">
        <f t="shared" ca="1" si="229"/>
        <v>#N/A</v>
      </c>
      <c r="AE468" s="324" t="e">
        <f t="shared" ca="1" si="208"/>
        <v>#N/A</v>
      </c>
      <c r="AG468" s="306">
        <f t="shared" ca="1" si="230"/>
        <v>4.5956928872494585</v>
      </c>
      <c r="AH468" s="304">
        <f t="shared" ca="1" si="231"/>
        <v>-5.0937030247622834</v>
      </c>
    </row>
    <row r="469" spans="1:34" x14ac:dyDescent="0.2">
      <c r="A469" s="347">
        <f t="shared" ca="1" si="209"/>
        <v>0.1</v>
      </c>
      <c r="B469" s="304">
        <f t="shared" ca="1" si="210"/>
        <v>28.500000000000139</v>
      </c>
      <c r="D469" s="306">
        <f t="shared" ca="1" si="211"/>
        <v>-0.79664357873858671</v>
      </c>
      <c r="E469" s="307">
        <f t="shared" ca="1" si="212"/>
        <v>-4.7265167033701871</v>
      </c>
      <c r="F469" s="304">
        <f t="shared" ca="1" si="213"/>
        <v>4.7931827775271412</v>
      </c>
      <c r="G469" s="306">
        <f t="shared" ca="1" si="214"/>
        <v>15.552427738667706</v>
      </c>
      <c r="H469" s="307">
        <f t="shared" ca="1" si="215"/>
        <v>-100.22300576215611</v>
      </c>
      <c r="I469" s="304">
        <f t="shared" ca="1" si="216"/>
        <v>101.42252655385614</v>
      </c>
      <c r="J469" s="306">
        <f t="shared" ca="1" si="217"/>
        <v>691.32288411534898</v>
      </c>
      <c r="K469" s="307">
        <f t="shared" ca="1" si="218"/>
        <v>659.33208979007418</v>
      </c>
      <c r="L469" s="304">
        <f t="shared" ca="1" si="203"/>
        <v>955.32514607776898</v>
      </c>
      <c r="M469" s="306">
        <f t="shared" ca="1" si="219"/>
        <v>-1.4168459916637226</v>
      </c>
      <c r="N469" s="304">
        <f t="shared" ca="1" si="220"/>
        <v>-81.179295542359128</v>
      </c>
      <c r="P469" s="310">
        <f t="shared" ca="1" si="221"/>
        <v>23</v>
      </c>
      <c r="Q469" s="304">
        <f t="shared" ca="1" si="222"/>
        <v>0</v>
      </c>
      <c r="R469" s="306">
        <f t="shared" ca="1" si="223"/>
        <v>0</v>
      </c>
      <c r="S469" s="307">
        <f t="shared" ca="1" si="224"/>
        <v>7.4499999999999984</v>
      </c>
      <c r="T469" s="304">
        <f t="shared" ca="1" si="204"/>
        <v>73.084499999999991</v>
      </c>
      <c r="U469" s="311">
        <f t="shared" ca="1" si="205"/>
        <v>0</v>
      </c>
      <c r="V469" s="306">
        <f t="shared" ca="1" si="206"/>
        <v>1.1468094944713145</v>
      </c>
      <c r="W469" s="304">
        <f t="shared" ca="1" si="207"/>
        <v>38.718981623930702</v>
      </c>
      <c r="Y469" s="314" t="str">
        <f t="shared" ca="1" si="225"/>
        <v/>
      </c>
      <c r="Z469" s="315" t="str">
        <f t="shared" ca="1" si="226"/>
        <v/>
      </c>
      <c r="AA469" s="316" t="str">
        <f t="shared" ca="1" si="227"/>
        <v/>
      </c>
      <c r="AC469" s="310" t="e">
        <f t="shared" ca="1" si="228"/>
        <v>#N/A</v>
      </c>
      <c r="AD469" s="323" t="e">
        <f t="shared" ca="1" si="229"/>
        <v>#N/A</v>
      </c>
      <c r="AE469" s="324" t="e">
        <f t="shared" ca="1" si="208"/>
        <v>#N/A</v>
      </c>
      <c r="AG469" s="306">
        <f t="shared" ca="1" si="230"/>
        <v>4.5461873570437454</v>
      </c>
      <c r="AH469" s="304">
        <f t="shared" ca="1" si="231"/>
        <v>-5.1455265443547891</v>
      </c>
    </row>
    <row r="470" spans="1:34" x14ac:dyDescent="0.2">
      <c r="A470" s="347">
        <f t="shared" ca="1" si="209"/>
        <v>0.1</v>
      </c>
      <c r="B470" s="304">
        <f t="shared" ca="1" si="210"/>
        <v>28.60000000000014</v>
      </c>
      <c r="D470" s="306">
        <f t="shared" ca="1" si="211"/>
        <v>-0.7969506338287482</v>
      </c>
      <c r="E470" s="307">
        <f t="shared" ca="1" si="212"/>
        <v>-4.6742881157527307</v>
      </c>
      <c r="F470" s="304">
        <f t="shared" ca="1" si="213"/>
        <v>4.7417401554521375</v>
      </c>
      <c r="G470" s="306">
        <f t="shared" ca="1" si="214"/>
        <v>15.472732675284831</v>
      </c>
      <c r="H470" s="307">
        <f t="shared" ca="1" si="215"/>
        <v>-100.69043457373138</v>
      </c>
      <c r="I470" s="304">
        <f t="shared" ca="1" si="216"/>
        <v>101.87231749149377</v>
      </c>
      <c r="J470" s="306">
        <f t="shared" ca="1" si="217"/>
        <v>692.87414213604666</v>
      </c>
      <c r="K470" s="307">
        <f t="shared" ca="1" si="218"/>
        <v>649.28641777327982</v>
      </c>
      <c r="L470" s="304">
        <f t="shared" ca="1" si="203"/>
        <v>949.55117247340638</v>
      </c>
      <c r="M470" s="306">
        <f t="shared" ca="1" si="219"/>
        <v>-1.4183226388636401</v>
      </c>
      <c r="N470" s="304">
        <f t="shared" ca="1" si="220"/>
        <v>-81.263901194744207</v>
      </c>
      <c r="P470" s="310">
        <f t="shared" ca="1" si="221"/>
        <v>23</v>
      </c>
      <c r="Q470" s="304">
        <f t="shared" ca="1" si="222"/>
        <v>0</v>
      </c>
      <c r="R470" s="306">
        <f t="shared" ca="1" si="223"/>
        <v>0</v>
      </c>
      <c r="S470" s="307">
        <f t="shared" ca="1" si="224"/>
        <v>7.4499999999999984</v>
      </c>
      <c r="T470" s="304">
        <f t="shared" ca="1" si="204"/>
        <v>73.084499999999991</v>
      </c>
      <c r="U470" s="311">
        <f t="shared" ca="1" si="205"/>
        <v>0</v>
      </c>
      <c r="V470" s="306">
        <f t="shared" ca="1" si="206"/>
        <v>1.1479633561489397</v>
      </c>
      <c r="W470" s="304">
        <f t="shared" ca="1" si="207"/>
        <v>39.10247016541873</v>
      </c>
      <c r="Y470" s="314" t="str">
        <f t="shared" ca="1" si="225"/>
        <v/>
      </c>
      <c r="Z470" s="315" t="str">
        <f t="shared" ca="1" si="226"/>
        <v/>
      </c>
      <c r="AA470" s="316" t="str">
        <f t="shared" ca="1" si="227"/>
        <v/>
      </c>
      <c r="AC470" s="310" t="e">
        <f t="shared" ca="1" si="228"/>
        <v>#N/A</v>
      </c>
      <c r="AD470" s="323" t="e">
        <f t="shared" ca="1" si="229"/>
        <v>#N/A</v>
      </c>
      <c r="AE470" s="324" t="e">
        <f t="shared" ca="1" si="208"/>
        <v>#N/A</v>
      </c>
      <c r="AG470" s="306">
        <f t="shared" ca="1" si="230"/>
        <v>4.4967987202820892</v>
      </c>
      <c r="AH470" s="304">
        <f t="shared" ca="1" si="231"/>
        <v>-5.1971787414672095</v>
      </c>
    </row>
    <row r="471" spans="1:34" x14ac:dyDescent="0.2">
      <c r="A471" s="347">
        <f t="shared" ca="1" si="209"/>
        <v>0.1</v>
      </c>
      <c r="B471" s="304">
        <f t="shared" ca="1" si="210"/>
        <v>28.700000000000141</v>
      </c>
      <c r="D471" s="306">
        <f t="shared" ca="1" si="211"/>
        <v>-0.79718433636873898</v>
      </c>
      <c r="E471" s="307">
        <f t="shared" ca="1" si="212"/>
        <v>-4.6222391209823979</v>
      </c>
      <c r="F471" s="304">
        <f t="shared" ca="1" si="213"/>
        <v>4.6904794379350818</v>
      </c>
      <c r="G471" s="306">
        <f t="shared" ca="1" si="214"/>
        <v>15.393014241647958</v>
      </c>
      <c r="H471" s="307">
        <f t="shared" ca="1" si="215"/>
        <v>-101.15265848582962</v>
      </c>
      <c r="I471" s="304">
        <f t="shared" ca="1" si="216"/>
        <v>102.31717942845403</v>
      </c>
      <c r="J471" s="306">
        <f t="shared" ca="1" si="217"/>
        <v>694.41742948189335</v>
      </c>
      <c r="K471" s="307">
        <f t="shared" ca="1" si="218"/>
        <v>639.1942631203018</v>
      </c>
      <c r="L471" s="304">
        <f t="shared" ca="1" si="203"/>
        <v>943.81400306106184</v>
      </c>
      <c r="M471" s="306">
        <f t="shared" ca="1" si="219"/>
        <v>-1.4197788737720525</v>
      </c>
      <c r="N471" s="304">
        <f t="shared" ca="1" si="220"/>
        <v>-81.347337308975852</v>
      </c>
      <c r="P471" s="310">
        <f t="shared" ca="1" si="221"/>
        <v>23</v>
      </c>
      <c r="Q471" s="304">
        <f t="shared" ca="1" si="222"/>
        <v>0</v>
      </c>
      <c r="R471" s="306">
        <f t="shared" ca="1" si="223"/>
        <v>0</v>
      </c>
      <c r="S471" s="307">
        <f t="shared" ca="1" si="224"/>
        <v>7.4499999999999984</v>
      </c>
      <c r="T471" s="304">
        <f t="shared" ca="1" si="204"/>
        <v>73.084499999999991</v>
      </c>
      <c r="U471" s="311">
        <f t="shared" ca="1" si="205"/>
        <v>0</v>
      </c>
      <c r="V471" s="306">
        <f t="shared" ca="1" si="206"/>
        <v>1.1491236879366442</v>
      </c>
      <c r="W471" s="304">
        <f t="shared" ca="1" si="207"/>
        <v>39.484595403984486</v>
      </c>
      <c r="Y471" s="314" t="str">
        <f t="shared" ca="1" si="225"/>
        <v/>
      </c>
      <c r="Z471" s="315" t="str">
        <f t="shared" ca="1" si="226"/>
        <v/>
      </c>
      <c r="AA471" s="316" t="str">
        <f t="shared" ca="1" si="227"/>
        <v/>
      </c>
      <c r="AC471" s="310" t="e">
        <f t="shared" ca="1" si="228"/>
        <v>#N/A</v>
      </c>
      <c r="AD471" s="323" t="e">
        <f t="shared" ca="1" si="229"/>
        <v>#N/A</v>
      </c>
      <c r="AE471" s="324" t="e">
        <f t="shared" ca="1" si="208"/>
        <v>#N/A</v>
      </c>
      <c r="AG471" s="306">
        <f t="shared" ca="1" si="230"/>
        <v>4.4475344904536387</v>
      </c>
      <c r="AH471" s="304">
        <f t="shared" ca="1" si="231"/>
        <v>-5.2486537134790252</v>
      </c>
    </row>
    <row r="472" spans="1:34" x14ac:dyDescent="0.2">
      <c r="A472" s="347">
        <f t="shared" ca="1" si="209"/>
        <v>0.1</v>
      </c>
      <c r="B472" s="304">
        <f t="shared" ca="1" si="210"/>
        <v>28.800000000000143</v>
      </c>
      <c r="D472" s="306">
        <f t="shared" ca="1" si="211"/>
        <v>-0.79734546993683442</v>
      </c>
      <c r="E472" s="307">
        <f t="shared" ca="1" si="212"/>
        <v>-4.5703755346679111</v>
      </c>
      <c r="F472" s="304">
        <f t="shared" ca="1" si="213"/>
        <v>4.6394064627191032</v>
      </c>
      <c r="G472" s="306">
        <f t="shared" ca="1" si="214"/>
        <v>15.313279694654273</v>
      </c>
      <c r="H472" s="307">
        <f t="shared" ca="1" si="215"/>
        <v>-101.60969603929641</v>
      </c>
      <c r="I472" s="304">
        <f t="shared" ca="1" si="216"/>
        <v>102.75712561280079</v>
      </c>
      <c r="J472" s="306">
        <f t="shared" ca="1" si="217"/>
        <v>695.95274417870849</v>
      </c>
      <c r="K472" s="307">
        <f t="shared" ca="1" si="218"/>
        <v>629.05614539404553</v>
      </c>
      <c r="L472" s="304">
        <f t="shared" ca="1" si="203"/>
        <v>938.11612084426383</v>
      </c>
      <c r="M472" s="306">
        <f t="shared" ca="1" si="219"/>
        <v>-1.4212151313099559</v>
      </c>
      <c r="N472" s="304">
        <f t="shared" ca="1" si="220"/>
        <v>-81.42962880419158</v>
      </c>
      <c r="P472" s="310">
        <f t="shared" ca="1" si="221"/>
        <v>23</v>
      </c>
      <c r="Q472" s="304">
        <f t="shared" ca="1" si="222"/>
        <v>0</v>
      </c>
      <c r="R472" s="306">
        <f t="shared" ca="1" si="223"/>
        <v>0</v>
      </c>
      <c r="S472" s="307">
        <f t="shared" ca="1" si="224"/>
        <v>7.4499999999999984</v>
      </c>
      <c r="T472" s="304">
        <f t="shared" ca="1" si="204"/>
        <v>73.084499999999991</v>
      </c>
      <c r="U472" s="311">
        <f t="shared" ca="1" si="205"/>
        <v>0</v>
      </c>
      <c r="V472" s="306">
        <f t="shared" ca="1" si="206"/>
        <v>1.1502904473499376</v>
      </c>
      <c r="W472" s="304">
        <f t="shared" ca="1" si="207"/>
        <v>39.865315360823466</v>
      </c>
      <c r="Y472" s="314" t="str">
        <f t="shared" ca="1" si="225"/>
        <v/>
      </c>
      <c r="Z472" s="315" t="str">
        <f t="shared" ca="1" si="226"/>
        <v/>
      </c>
      <c r="AA472" s="316" t="str">
        <f t="shared" ca="1" si="227"/>
        <v/>
      </c>
      <c r="AC472" s="310" t="e">
        <f t="shared" ca="1" si="228"/>
        <v>#N/A</v>
      </c>
      <c r="AD472" s="323" t="e">
        <f t="shared" ca="1" si="229"/>
        <v>#N/A</v>
      </c>
      <c r="AE472" s="324" t="e">
        <f t="shared" ca="1" si="208"/>
        <v>#N/A</v>
      </c>
      <c r="AG472" s="306">
        <f t="shared" ca="1" si="230"/>
        <v>4.3984019883062837</v>
      </c>
      <c r="AH472" s="304">
        <f t="shared" ca="1" si="231"/>
        <v>-5.2999456918099996</v>
      </c>
    </row>
    <row r="473" spans="1:34" x14ac:dyDescent="0.2">
      <c r="A473" s="347">
        <f t="shared" ca="1" si="209"/>
        <v>0.1</v>
      </c>
      <c r="B473" s="304">
        <f t="shared" ca="1" si="210"/>
        <v>28.900000000000144</v>
      </c>
      <c r="D473" s="306">
        <f t="shared" ca="1" si="211"/>
        <v>-0.79743482650980024</v>
      </c>
      <c r="E473" s="307">
        <f t="shared" ca="1" si="212"/>
        <v>-4.5187030375932009</v>
      </c>
      <c r="F473" s="304">
        <f t="shared" ca="1" si="213"/>
        <v>4.5885269362274359</v>
      </c>
      <c r="G473" s="306">
        <f t="shared" ca="1" si="214"/>
        <v>15.233536212003294</v>
      </c>
      <c r="H473" s="307">
        <f t="shared" ca="1" si="215"/>
        <v>-102.06156634305573</v>
      </c>
      <c r="I473" s="304">
        <f t="shared" ca="1" si="216"/>
        <v>103.19217000296283</v>
      </c>
      <c r="J473" s="306">
        <f t="shared" ca="1" si="217"/>
        <v>697.48008497404135</v>
      </c>
      <c r="K473" s="307">
        <f t="shared" ca="1" si="218"/>
        <v>618.87258227492794</v>
      </c>
      <c r="L473" s="304">
        <f t="shared" ca="1" si="203"/>
        <v>932.46004848842358</v>
      </c>
      <c r="M473" s="306">
        <f t="shared" ca="1" si="219"/>
        <v>-1.4226318338577613</v>
      </c>
      <c r="N473" s="304">
        <f t="shared" ca="1" si="220"/>
        <v>-81.51079988100625</v>
      </c>
      <c r="P473" s="310">
        <f t="shared" ca="1" si="221"/>
        <v>23</v>
      </c>
      <c r="Q473" s="304">
        <f t="shared" ca="1" si="222"/>
        <v>0</v>
      </c>
      <c r="R473" s="306">
        <f t="shared" ca="1" si="223"/>
        <v>0</v>
      </c>
      <c r="S473" s="307">
        <f t="shared" ca="1" si="224"/>
        <v>7.4499999999999984</v>
      </c>
      <c r="T473" s="304">
        <f t="shared" ca="1" si="204"/>
        <v>73.084499999999991</v>
      </c>
      <c r="U473" s="311">
        <f t="shared" ca="1" si="205"/>
        <v>0</v>
      </c>
      <c r="V473" s="306">
        <f t="shared" ca="1" si="206"/>
        <v>1.1514635920066254</v>
      </c>
      <c r="W473" s="304">
        <f t="shared" ca="1" si="207"/>
        <v>40.244589052291914</v>
      </c>
      <c r="Y473" s="314" t="str">
        <f t="shared" ca="1" si="225"/>
        <v/>
      </c>
      <c r="Z473" s="315" t="str">
        <f t="shared" ca="1" si="226"/>
        <v/>
      </c>
      <c r="AA473" s="316" t="str">
        <f t="shared" ca="1" si="227"/>
        <v/>
      </c>
      <c r="AC473" s="310" t="e">
        <f t="shared" ca="1" si="228"/>
        <v>#N/A</v>
      </c>
      <c r="AD473" s="323" t="e">
        <f t="shared" ca="1" si="229"/>
        <v>#N/A</v>
      </c>
      <c r="AE473" s="324" t="e">
        <f t="shared" ca="1" si="208"/>
        <v>#N/A</v>
      </c>
      <c r="AG473" s="306">
        <f t="shared" ca="1" si="230"/>
        <v>4.3494083445772453</v>
      </c>
      <c r="AH473" s="304">
        <f t="shared" ca="1" si="231"/>
        <v>-5.3510490417212715</v>
      </c>
    </row>
    <row r="474" spans="1:34" x14ac:dyDescent="0.2">
      <c r="A474" s="347">
        <f t="shared" ca="1" si="209"/>
        <v>0.1</v>
      </c>
      <c r="B474" s="304">
        <f t="shared" ca="1" si="210"/>
        <v>29.000000000000146</v>
      </c>
      <c r="D474" s="306">
        <f t="shared" ca="1" si="211"/>
        <v>-0.79745320597818625</v>
      </c>
      <c r="E474" s="307">
        <f t="shared" ca="1" si="212"/>
        <v>-4.4672271759662543</v>
      </c>
      <c r="F474" s="304">
        <f t="shared" ca="1" si="213"/>
        <v>4.5378464338732671</v>
      </c>
      <c r="G474" s="306">
        <f t="shared" ca="1" si="214"/>
        <v>15.153790891405475</v>
      </c>
      <c r="H474" s="307">
        <f t="shared" ca="1" si="215"/>
        <v>-102.50828906065236</v>
      </c>
      <c r="I474" s="304">
        <f t="shared" ca="1" si="216"/>
        <v>103.6223272491151</v>
      </c>
      <c r="J474" s="306">
        <f t="shared" ca="1" si="217"/>
        <v>698.99945132921175</v>
      </c>
      <c r="K474" s="307">
        <f t="shared" ca="1" si="218"/>
        <v>608.64408950474251</v>
      </c>
      <c r="L474" s="304">
        <f t="shared" ca="1" si="203"/>
        <v>926.84834824667837</v>
      </c>
      <c r="M474" s="306">
        <f t="shared" ca="1" si="219"/>
        <v>-1.4240293916980822</v>
      </c>
      <c r="N474" s="304">
        <f t="shared" ca="1" si="220"/>
        <v>-81.590874046882064</v>
      </c>
      <c r="P474" s="310">
        <f t="shared" ca="1" si="221"/>
        <v>23</v>
      </c>
      <c r="Q474" s="304">
        <f t="shared" ca="1" si="222"/>
        <v>0</v>
      </c>
      <c r="R474" s="306">
        <f t="shared" ca="1" si="223"/>
        <v>0</v>
      </c>
      <c r="S474" s="307">
        <f t="shared" ca="1" si="224"/>
        <v>7.4499999999999984</v>
      </c>
      <c r="T474" s="304">
        <f t="shared" ca="1" si="204"/>
        <v>73.084499999999991</v>
      </c>
      <c r="U474" s="311">
        <f t="shared" ca="1" si="205"/>
        <v>0</v>
      </c>
      <c r="V474" s="306">
        <f t="shared" ca="1" si="206"/>
        <v>1.1526430796315212</v>
      </c>
      <c r="W474" s="304">
        <f t="shared" ca="1" si="207"/>
        <v>40.622376487485738</v>
      </c>
      <c r="Y474" s="314" t="str">
        <f t="shared" ca="1" si="225"/>
        <v/>
      </c>
      <c r="Z474" s="315" t="str">
        <f t="shared" ca="1" si="226"/>
        <v/>
      </c>
      <c r="AA474" s="316" t="str">
        <f t="shared" ca="1" si="227"/>
        <v/>
      </c>
      <c r="AC474" s="310">
        <f t="shared" ca="1" si="228"/>
        <v>29.000000000000146</v>
      </c>
      <c r="AD474" s="323">
        <f t="shared" ca="1" si="229"/>
        <v>698.99945132921175</v>
      </c>
      <c r="AE474" s="324" t="e">
        <f t="shared" ca="1" si="208"/>
        <v>#N/A</v>
      </c>
      <c r="AG474" s="306">
        <f t="shared" ca="1" si="230"/>
        <v>4.3005605026620985</v>
      </c>
      <c r="AH474" s="304">
        <f t="shared" ca="1" si="231"/>
        <v>-5.4019582620526068</v>
      </c>
    </row>
    <row r="475" spans="1:34" x14ac:dyDescent="0.2">
      <c r="A475" s="347">
        <f t="shared" ca="1" si="209"/>
        <v>0.1</v>
      </c>
      <c r="B475" s="304">
        <f t="shared" ca="1" si="210"/>
        <v>29.100000000000147</v>
      </c>
      <c r="D475" s="306">
        <f t="shared" ca="1" si="211"/>
        <v>-0.79740141566934619</v>
      </c>
      <c r="E475" s="307">
        <f t="shared" ca="1" si="212"/>
        <v>-4.4159533617316802</v>
      </c>
      <c r="F475" s="304">
        <f t="shared" ca="1" si="213"/>
        <v>4.4873704004350703</v>
      </c>
      <c r="G475" s="306">
        <f t="shared" ca="1" si="214"/>
        <v>15.074050749838539</v>
      </c>
      <c r="H475" s="307">
        <f t="shared" ca="1" si="215"/>
        <v>-102.94988439682552</v>
      </c>
      <c r="I475" s="304">
        <f t="shared" ca="1" si="216"/>
        <v>104.0476126748156</v>
      </c>
      <c r="J475" s="306">
        <f t="shared" ca="1" si="217"/>
        <v>700.51084341127398</v>
      </c>
      <c r="K475" s="307">
        <f t="shared" ca="1" si="218"/>
        <v>598.37118083186863</v>
      </c>
      <c r="L475" s="304">
        <f t="shared" ca="1" si="203"/>
        <v>921.2836217945586</v>
      </c>
      <c r="M475" s="306">
        <f t="shared" ca="1" si="219"/>
        <v>-1.4254082034401552</v>
      </c>
      <c r="N475" s="304">
        <f t="shared" ca="1" si="220"/>
        <v>-81.669874140445927</v>
      </c>
      <c r="P475" s="310">
        <f t="shared" ca="1" si="221"/>
        <v>23</v>
      </c>
      <c r="Q475" s="304">
        <f t="shared" ca="1" si="222"/>
        <v>0</v>
      </c>
      <c r="R475" s="306">
        <f t="shared" ca="1" si="223"/>
        <v>0</v>
      </c>
      <c r="S475" s="307">
        <f t="shared" ca="1" si="224"/>
        <v>7.4499999999999984</v>
      </c>
      <c r="T475" s="304">
        <f t="shared" ca="1" si="204"/>
        <v>73.084499999999991</v>
      </c>
      <c r="U475" s="311">
        <f t="shared" ca="1" si="205"/>
        <v>0</v>
      </c>
      <c r="V475" s="306">
        <f t="shared" ca="1" si="206"/>
        <v>1.153828868061068</v>
      </c>
      <c r="W475" s="304">
        <f t="shared" ca="1" si="207"/>
        <v>40.998638665367487</v>
      </c>
      <c r="Y475" s="314" t="str">
        <f t="shared" ca="1" si="225"/>
        <v/>
      </c>
      <c r="Z475" s="315" t="str">
        <f t="shared" ca="1" si="226"/>
        <v/>
      </c>
      <c r="AA475" s="316" t="str">
        <f t="shared" ca="1" si="227"/>
        <v/>
      </c>
      <c r="AC475" s="310" t="e">
        <f t="shared" ca="1" si="228"/>
        <v>#N/A</v>
      </c>
      <c r="AD475" s="323" t="e">
        <f t="shared" ca="1" si="229"/>
        <v>#N/A</v>
      </c>
      <c r="AE475" s="324" t="e">
        <f t="shared" ca="1" si="208"/>
        <v>#N/A</v>
      </c>
      <c r="AG475" s="306">
        <f t="shared" ca="1" si="230"/>
        <v>4.2518652212276882</v>
      </c>
      <c r="AH475" s="304">
        <f t="shared" ca="1" si="231"/>
        <v>-5.452667984897416</v>
      </c>
    </row>
    <row r="476" spans="1:34" x14ac:dyDescent="0.2">
      <c r="A476" s="347">
        <f t="shared" ca="1" si="209"/>
        <v>0.1</v>
      </c>
      <c r="B476" s="304">
        <f t="shared" ca="1" si="210"/>
        <v>29.200000000000149</v>
      </c>
      <c r="D476" s="306">
        <f t="shared" ca="1" si="211"/>
        <v>-0.79728026987823164</v>
      </c>
      <c r="E476" s="307">
        <f t="shared" ca="1" si="212"/>
        <v>-4.36488687294535</v>
      </c>
      <c r="F476" s="304">
        <f t="shared" ca="1" si="213"/>
        <v>4.4371041504958777</v>
      </c>
      <c r="G476" s="306">
        <f t="shared" ca="1" si="214"/>
        <v>14.994322722850717</v>
      </c>
      <c r="H476" s="307">
        <f t="shared" ca="1" si="215"/>
        <v>-103.38637308412007</v>
      </c>
      <c r="I476" s="304">
        <f t="shared" ca="1" si="216"/>
        <v>104.46804225889305</v>
      </c>
      <c r="J476" s="306">
        <f t="shared" ca="1" si="217"/>
        <v>702.01426208490841</v>
      </c>
      <c r="K476" s="307">
        <f t="shared" ca="1" si="218"/>
        <v>588.05436795782134</v>
      </c>
      <c r="L476" s="304">
        <f t="shared" ca="1" si="203"/>
        <v>915.7685099657507</v>
      </c>
      <c r="M476" s="306">
        <f t="shared" ca="1" si="219"/>
        <v>-1.4267686564267656</v>
      </c>
      <c r="N476" s="304">
        <f t="shared" ca="1" si="220"/>
        <v>-81.747822354804669</v>
      </c>
      <c r="P476" s="310">
        <f t="shared" ca="1" si="221"/>
        <v>23</v>
      </c>
      <c r="Q476" s="304">
        <f t="shared" ca="1" si="222"/>
        <v>0</v>
      </c>
      <c r="R476" s="306">
        <f t="shared" ca="1" si="223"/>
        <v>0</v>
      </c>
      <c r="S476" s="307">
        <f t="shared" ca="1" si="224"/>
        <v>7.4499999999999984</v>
      </c>
      <c r="T476" s="304">
        <f t="shared" ca="1" si="204"/>
        <v>73.084499999999991</v>
      </c>
      <c r="U476" s="311">
        <f t="shared" ca="1" si="205"/>
        <v>0</v>
      </c>
      <c r="V476" s="306">
        <f t="shared" ca="1" si="206"/>
        <v>1.1550209152478759</v>
      </c>
      <c r="W476" s="304">
        <f t="shared" ca="1" si="207"/>
        <v>41.373337571454115</v>
      </c>
      <c r="Y476" s="314" t="str">
        <f t="shared" ca="1" si="225"/>
        <v/>
      </c>
      <c r="Z476" s="315" t="str">
        <f t="shared" ca="1" si="226"/>
        <v/>
      </c>
      <c r="AA476" s="316" t="str">
        <f t="shared" ca="1" si="227"/>
        <v/>
      </c>
      <c r="AC476" s="310" t="e">
        <f t="shared" ca="1" si="228"/>
        <v>#N/A</v>
      </c>
      <c r="AD476" s="323" t="e">
        <f t="shared" ca="1" si="229"/>
        <v>#N/A</v>
      </c>
      <c r="AE476" s="324" t="e">
        <f t="shared" ca="1" si="208"/>
        <v>#N/A</v>
      </c>
      <c r="AG476" s="306">
        <f t="shared" ca="1" si="230"/>
        <v>4.2033290767738496</v>
      </c>
      <c r="AH476" s="304">
        <f t="shared" ca="1" si="231"/>
        <v>-5.5031729752171135</v>
      </c>
    </row>
    <row r="477" spans="1:34" x14ac:dyDescent="0.2">
      <c r="A477" s="347">
        <f t="shared" ca="1" si="209"/>
        <v>0.1</v>
      </c>
      <c r="B477" s="304">
        <f t="shared" ca="1" si="210"/>
        <v>29.30000000000015</v>
      </c>
      <c r="D477" s="306">
        <f t="shared" ca="1" si="211"/>
        <v>-0.79709058940600008</v>
      </c>
      <c r="E477" s="307">
        <f t="shared" ca="1" si="212"/>
        <v>-4.3140328542093442</v>
      </c>
      <c r="F477" s="304">
        <f t="shared" ca="1" si="213"/>
        <v>4.3870528689448482</v>
      </c>
      <c r="G477" s="306">
        <f t="shared" ca="1" si="214"/>
        <v>14.914613663910117</v>
      </c>
      <c r="H477" s="307">
        <f t="shared" ca="1" si="215"/>
        <v>-103.81777636954101</v>
      </c>
      <c r="I477" s="304">
        <f t="shared" ca="1" si="216"/>
        <v>104.8836326175811</v>
      </c>
      <c r="J477" s="306">
        <f t="shared" ca="1" si="217"/>
        <v>703.50970890424639</v>
      </c>
      <c r="K477" s="307">
        <f t="shared" ca="1" si="218"/>
        <v>577.69416048513824</v>
      </c>
      <c r="L477" s="304">
        <f t="shared" ca="1" si="203"/>
        <v>910.30569238095302</v>
      </c>
      <c r="M477" s="306">
        <f t="shared" ca="1" si="219"/>
        <v>-1.4281111271245048</v>
      </c>
      <c r="N477" s="304">
        <f t="shared" ca="1" si="220"/>
        <v>-81.824740259905113</v>
      </c>
      <c r="P477" s="310">
        <f t="shared" ca="1" si="221"/>
        <v>23</v>
      </c>
      <c r="Q477" s="304">
        <f t="shared" ca="1" si="222"/>
        <v>0</v>
      </c>
      <c r="R477" s="306">
        <f t="shared" ca="1" si="223"/>
        <v>0</v>
      </c>
      <c r="S477" s="307">
        <f t="shared" ca="1" si="224"/>
        <v>7.4499999999999984</v>
      </c>
      <c r="T477" s="304">
        <f t="shared" ca="1" si="204"/>
        <v>73.084499999999991</v>
      </c>
      <c r="U477" s="311">
        <f t="shared" ca="1" si="205"/>
        <v>0</v>
      </c>
      <c r="V477" s="306">
        <f t="shared" ca="1" si="206"/>
        <v>1.156219179265165</v>
      </c>
      <c r="W477" s="304">
        <f t="shared" ca="1" si="207"/>
        <v>41.746436174077047</v>
      </c>
      <c r="Y477" s="314" t="str">
        <f t="shared" ca="1" si="225"/>
        <v/>
      </c>
      <c r="Z477" s="315" t="str">
        <f t="shared" ca="1" si="226"/>
        <v/>
      </c>
      <c r="AA477" s="316" t="str">
        <f t="shared" ca="1" si="227"/>
        <v/>
      </c>
      <c r="AC477" s="310" t="e">
        <f t="shared" ca="1" si="228"/>
        <v>#N/A</v>
      </c>
      <c r="AD477" s="323" t="e">
        <f t="shared" ca="1" si="229"/>
        <v>#N/A</v>
      </c>
      <c r="AE477" s="324" t="e">
        <f t="shared" ca="1" si="208"/>
        <v>#N/A</v>
      </c>
      <c r="AG477" s="306">
        <f t="shared" ca="1" si="230"/>
        <v>4.154958466148412</v>
      </c>
      <c r="AH477" s="304">
        <f t="shared" ca="1" si="231"/>
        <v>-5.553468130396527</v>
      </c>
    </row>
    <row r="478" spans="1:34" x14ac:dyDescent="0.2">
      <c r="A478" s="347">
        <f t="shared" ca="1" si="209"/>
        <v>0.1</v>
      </c>
      <c r="B478" s="304">
        <f t="shared" ca="1" si="210"/>
        <v>29.400000000000151</v>
      </c>
      <c r="D478" s="306">
        <f t="shared" ca="1" si="211"/>
        <v>-0.79683320110646072</v>
      </c>
      <c r="E478" s="307">
        <f t="shared" ca="1" si="212"/>
        <v>-4.2633963171656077</v>
      </c>
      <c r="F478" s="304">
        <f t="shared" ca="1" si="213"/>
        <v>4.3372216115396771</v>
      </c>
      <c r="G478" s="306">
        <f t="shared" ca="1" si="214"/>
        <v>14.834930343799471</v>
      </c>
      <c r="H478" s="307">
        <f t="shared" ca="1" si="215"/>
        <v>-104.24411600125757</v>
      </c>
      <c r="I478" s="304">
        <f t="shared" ca="1" si="216"/>
        <v>105.29440098689496</v>
      </c>
      <c r="J478" s="306">
        <f t="shared" ca="1" si="217"/>
        <v>704.99718610463185</v>
      </c>
      <c r="K478" s="307">
        <f t="shared" ca="1" si="218"/>
        <v>567.29106586659827</v>
      </c>
      <c r="L478" s="304">
        <f t="shared" ca="1" si="203"/>
        <v>904.89788696156768</v>
      </c>
      <c r="M478" s="306">
        <f t="shared" ca="1" si="219"/>
        <v>-1.429435981498139</v>
      </c>
      <c r="N478" s="304">
        <f t="shared" ca="1" si="220"/>
        <v>-81.900648823983801</v>
      </c>
      <c r="P478" s="310">
        <f t="shared" ca="1" si="221"/>
        <v>23</v>
      </c>
      <c r="Q478" s="304">
        <f t="shared" ca="1" si="222"/>
        <v>0</v>
      </c>
      <c r="R478" s="306">
        <f t="shared" ca="1" si="223"/>
        <v>0</v>
      </c>
      <c r="S478" s="307">
        <f t="shared" ca="1" si="224"/>
        <v>7.4499999999999984</v>
      </c>
      <c r="T478" s="304">
        <f t="shared" ca="1" si="204"/>
        <v>73.084499999999991</v>
      </c>
      <c r="U478" s="311">
        <f t="shared" ca="1" si="205"/>
        <v>0</v>
      </c>
      <c r="V478" s="306">
        <f t="shared" ca="1" si="206"/>
        <v>1.1574236183111264</v>
      </c>
      <c r="W478" s="304">
        <f t="shared" ca="1" si="207"/>
        <v>42.117898420227263</v>
      </c>
      <c r="Y478" s="314" t="str">
        <f t="shared" ca="1" si="225"/>
        <v/>
      </c>
      <c r="Z478" s="315" t="str">
        <f t="shared" ca="1" si="226"/>
        <v/>
      </c>
      <c r="AA478" s="316" t="str">
        <f t="shared" ca="1" si="227"/>
        <v/>
      </c>
      <c r="AC478" s="310" t="e">
        <f t="shared" ca="1" si="228"/>
        <v>#N/A</v>
      </c>
      <c r="AD478" s="323" t="e">
        <f t="shared" ca="1" si="229"/>
        <v>#N/A</v>
      </c>
      <c r="AE478" s="324" t="e">
        <f t="shared" ca="1" si="208"/>
        <v>#N/A</v>
      </c>
      <c r="AG478" s="306">
        <f t="shared" ca="1" si="230"/>
        <v>4.1067596090197114</v>
      </c>
      <c r="AH478" s="304">
        <f t="shared" ca="1" si="231"/>
        <v>-5.6035484797418871</v>
      </c>
    </row>
    <row r="479" spans="1:34" x14ac:dyDescent="0.2">
      <c r="A479" s="347">
        <f t="shared" ca="1" si="209"/>
        <v>0.1</v>
      </c>
      <c r="B479" s="304">
        <f t="shared" ca="1" si="210"/>
        <v>29.500000000000153</v>
      </c>
      <c r="D479" s="306">
        <f t="shared" ca="1" si="211"/>
        <v>-0.79650893744040596</v>
      </c>
      <c r="E479" s="307">
        <f t="shared" ca="1" si="212"/>
        <v>-4.2129821410465489</v>
      </c>
      <c r="F479" s="304">
        <f t="shared" ca="1" si="213"/>
        <v>4.2876153055281918</v>
      </c>
      <c r="G479" s="306">
        <f t="shared" ca="1" si="214"/>
        <v>14.755279450055429</v>
      </c>
      <c r="H479" s="307">
        <f t="shared" ca="1" si="215"/>
        <v>-104.66541421536222</v>
      </c>
      <c r="I479" s="304">
        <f t="shared" ca="1" si="216"/>
        <v>105.70036520524694</v>
      </c>
      <c r="J479" s="306">
        <f t="shared" ca="1" si="217"/>
        <v>706.47669659432461</v>
      </c>
      <c r="K479" s="307">
        <f t="shared" ca="1" si="218"/>
        <v>556.84558935576729</v>
      </c>
      <c r="L479" s="304">
        <f t="shared" ca="1" si="203"/>
        <v>899.54784931975746</v>
      </c>
      <c r="M479" s="306">
        <f t="shared" ca="1" si="219"/>
        <v>-1.4307435753698334</v>
      </c>
      <c r="N479" s="304">
        <f t="shared" ca="1" si="220"/>
        <v>-81.975568434149054</v>
      </c>
      <c r="P479" s="310">
        <f t="shared" ca="1" si="221"/>
        <v>23</v>
      </c>
      <c r="Q479" s="304">
        <f t="shared" ca="1" si="222"/>
        <v>0</v>
      </c>
      <c r="R479" s="306">
        <f t="shared" ca="1" si="223"/>
        <v>0</v>
      </c>
      <c r="S479" s="307">
        <f t="shared" ca="1" si="224"/>
        <v>7.4499999999999984</v>
      </c>
      <c r="T479" s="304">
        <f t="shared" ca="1" si="204"/>
        <v>73.084499999999991</v>
      </c>
      <c r="U479" s="311">
        <f t="shared" ca="1" si="205"/>
        <v>0</v>
      </c>
      <c r="V479" s="306">
        <f t="shared" ca="1" si="206"/>
        <v>1.1586341907131881</v>
      </c>
      <c r="W479" s="304">
        <f t="shared" ca="1" si="207"/>
        <v>42.487689230997347</v>
      </c>
      <c r="Y479" s="314" t="str">
        <f t="shared" ca="1" si="225"/>
        <v/>
      </c>
      <c r="Z479" s="315" t="str">
        <f t="shared" ca="1" si="226"/>
        <v/>
      </c>
      <c r="AA479" s="316" t="str">
        <f t="shared" ca="1" si="227"/>
        <v/>
      </c>
      <c r="AC479" s="310" t="e">
        <f t="shared" ca="1" si="228"/>
        <v>#N/A</v>
      </c>
      <c r="AD479" s="323" t="e">
        <f t="shared" ca="1" si="229"/>
        <v>#N/A</v>
      </c>
      <c r="AE479" s="324" t="e">
        <f t="shared" ca="1" si="208"/>
        <v>#N/A</v>
      </c>
      <c r="AG479" s="306">
        <f t="shared" ca="1" si="230"/>
        <v>4.0587385503102951</v>
      </c>
      <c r="AH479" s="304">
        <f t="shared" ca="1" si="231"/>
        <v>-5.6534091839231237</v>
      </c>
    </row>
    <row r="480" spans="1:34" x14ac:dyDescent="0.2">
      <c r="A480" s="347">
        <f t="shared" ca="1" si="209"/>
        <v>0.1</v>
      </c>
      <c r="B480" s="304">
        <f t="shared" ca="1" si="210"/>
        <v>29.600000000000154</v>
      </c>
      <c r="D480" s="306">
        <f t="shared" ca="1" si="211"/>
        <v>-0.79611863603784094</v>
      </c>
      <c r="E480" s="307">
        <f t="shared" ca="1" si="212"/>
        <v>-4.1627950732809165</v>
      </c>
      <c r="F480" s="304">
        <f t="shared" ca="1" si="213"/>
        <v>4.2382387503276195</v>
      </c>
      <c r="G480" s="306">
        <f t="shared" ca="1" si="214"/>
        <v>14.675667586451645</v>
      </c>
      <c r="H480" s="307">
        <f t="shared" ca="1" si="215"/>
        <v>-105.0816937226903</v>
      </c>
      <c r="I480" s="304">
        <f t="shared" ca="1" si="216"/>
        <v>106.10154369629745</v>
      </c>
      <c r="J480" s="306">
        <f t="shared" ca="1" si="217"/>
        <v>707.94824394615</v>
      </c>
      <c r="K480" s="307">
        <f t="shared" ca="1" si="218"/>
        <v>546.35823395886462</v>
      </c>
      <c r="L480" s="304">
        <f t="shared" ca="1" si="203"/>
        <v>894.25837201621266</v>
      </c>
      <c r="M480" s="306">
        <f t="shared" ca="1" si="219"/>
        <v>-1.4320342547639313</v>
      </c>
      <c r="N480" s="304">
        <f t="shared" ca="1" si="220"/>
        <v>-82.049518916135369</v>
      </c>
      <c r="P480" s="310">
        <f t="shared" ca="1" si="221"/>
        <v>23</v>
      </c>
      <c r="Q480" s="304">
        <f t="shared" ca="1" si="222"/>
        <v>0</v>
      </c>
      <c r="R480" s="306">
        <f t="shared" ca="1" si="223"/>
        <v>0</v>
      </c>
      <c r="S480" s="307">
        <f t="shared" ca="1" si="224"/>
        <v>7.4499999999999984</v>
      </c>
      <c r="T480" s="304">
        <f t="shared" ca="1" si="204"/>
        <v>73.084499999999991</v>
      </c>
      <c r="U480" s="311">
        <f t="shared" ca="1" si="205"/>
        <v>0</v>
      </c>
      <c r="V480" s="306">
        <f t="shared" ca="1" si="206"/>
        <v>1.1598508549321978</v>
      </c>
      <c r="W480" s="304">
        <f t="shared" ca="1" si="207"/>
        <v>42.855774496632804</v>
      </c>
      <c r="Y480" s="314" t="str">
        <f t="shared" ca="1" si="225"/>
        <v/>
      </c>
      <c r="Z480" s="315" t="str">
        <f t="shared" ca="1" si="226"/>
        <v/>
      </c>
      <c r="AA480" s="316" t="str">
        <f t="shared" ca="1" si="227"/>
        <v/>
      </c>
      <c r="AC480" s="310" t="e">
        <f t="shared" ca="1" si="228"/>
        <v>#N/A</v>
      </c>
      <c r="AD480" s="323" t="e">
        <f t="shared" ca="1" si="229"/>
        <v>#N/A</v>
      </c>
      <c r="AE480" s="324" t="e">
        <f t="shared" ca="1" si="208"/>
        <v>#N/A</v>
      </c>
      <c r="AG480" s="306">
        <f t="shared" ca="1" si="230"/>
        <v>4.0109011625953777</v>
      </c>
      <c r="AH480" s="304">
        <f t="shared" ca="1" si="231"/>
        <v>-5.7030455343620616</v>
      </c>
    </row>
    <row r="481" spans="1:34" x14ac:dyDescent="0.2">
      <c r="A481" s="347">
        <f t="shared" ca="1" si="209"/>
        <v>0.1</v>
      </c>
      <c r="B481" s="304">
        <f t="shared" ca="1" si="210"/>
        <v>29.700000000000156</v>
      </c>
      <c r="D481" s="306">
        <f t="shared" ca="1" si="211"/>
        <v>-0.79566313926814891</v>
      </c>
      <c r="E481" s="307">
        <f t="shared" ca="1" si="212"/>
        <v>-4.1128397301532651</v>
      </c>
      <c r="F481" s="304">
        <f t="shared" ca="1" si="213"/>
        <v>4.1890966182599838</v>
      </c>
      <c r="G481" s="306">
        <f t="shared" ca="1" si="214"/>
        <v>14.59610127252483</v>
      </c>
      <c r="H481" s="307">
        <f t="shared" ca="1" si="215"/>
        <v>-105.49297769570563</v>
      </c>
      <c r="I481" s="304">
        <f t="shared" ca="1" si="216"/>
        <v>106.49795545203884</v>
      </c>
      <c r="J481" s="306">
        <f t="shared" ca="1" si="217"/>
        <v>709.41183238909878</v>
      </c>
      <c r="K481" s="307">
        <f t="shared" ca="1" si="218"/>
        <v>535.82950038794479</v>
      </c>
      <c r="L481" s="304">
        <f t="shared" ca="1" si="203"/>
        <v>889.03228367683778</v>
      </c>
      <c r="M481" s="306">
        <f t="shared" ca="1" si="219"/>
        <v>-1.4333083562379558</v>
      </c>
      <c r="N481" s="304">
        <f t="shared" ca="1" si="220"/>
        <v>-82.122519553268376</v>
      </c>
      <c r="P481" s="310">
        <f t="shared" ca="1" si="221"/>
        <v>23</v>
      </c>
      <c r="Q481" s="304">
        <f t="shared" ca="1" si="222"/>
        <v>0</v>
      </c>
      <c r="R481" s="306">
        <f t="shared" ca="1" si="223"/>
        <v>0</v>
      </c>
      <c r="S481" s="307">
        <f t="shared" ca="1" si="224"/>
        <v>7.4499999999999984</v>
      </c>
      <c r="T481" s="304">
        <f t="shared" ca="1" si="204"/>
        <v>73.084499999999991</v>
      </c>
      <c r="U481" s="311">
        <f t="shared" ca="1" si="205"/>
        <v>0</v>
      </c>
      <c r="V481" s="306">
        <f t="shared" ca="1" si="206"/>
        <v>1.1610735695665146</v>
      </c>
      <c r="W481" s="304">
        <f t="shared" ca="1" si="207"/>
        <v>43.222121071205208</v>
      </c>
      <c r="Y481" s="314" t="str">
        <f t="shared" ca="1" si="225"/>
        <v/>
      </c>
      <c r="Z481" s="315" t="str">
        <f t="shared" ca="1" si="226"/>
        <v/>
      </c>
      <c r="AA481" s="316" t="str">
        <f t="shared" ca="1" si="227"/>
        <v/>
      </c>
      <c r="AC481" s="310" t="e">
        <f t="shared" ca="1" si="228"/>
        <v>#N/A</v>
      </c>
      <c r="AD481" s="323" t="e">
        <f t="shared" ca="1" si="229"/>
        <v>#N/A</v>
      </c>
      <c r="AE481" s="324" t="e">
        <f t="shared" ca="1" si="208"/>
        <v>#N/A</v>
      </c>
      <c r="AG481" s="306">
        <f t="shared" ca="1" si="230"/>
        <v>3.9632531484691267</v>
      </c>
      <c r="AH481" s="304">
        <f t="shared" ca="1" si="231"/>
        <v>-5.7524529525681629</v>
      </c>
    </row>
    <row r="482" spans="1:34" x14ac:dyDescent="0.2">
      <c r="A482" s="347">
        <f t="shared" ca="1" si="209"/>
        <v>0.1</v>
      </c>
      <c r="B482" s="304">
        <f t="shared" ca="1" si="210"/>
        <v>29.800000000000157</v>
      </c>
      <c r="D482" s="306">
        <f t="shared" ca="1" si="211"/>
        <v>-0.79514329381820825</v>
      </c>
      <c r="E482" s="307">
        <f t="shared" ca="1" si="212"/>
        <v>-4.0631205975152636</v>
      </c>
      <c r="F482" s="304">
        <f t="shared" ca="1" si="213"/>
        <v>4.1401934553420157</v>
      </c>
      <c r="G482" s="306">
        <f t="shared" ca="1" si="214"/>
        <v>14.516586943143009</v>
      </c>
      <c r="H482" s="307">
        <f t="shared" ca="1" si="215"/>
        <v>-105.89928975545716</v>
      </c>
      <c r="I482" s="304">
        <f t="shared" ca="1" si="216"/>
        <v>106.88962001610869</v>
      </c>
      <c r="J482" s="306">
        <f t="shared" ca="1" si="217"/>
        <v>710.86746679988221</v>
      </c>
      <c r="K482" s="307">
        <f t="shared" ca="1" si="218"/>
        <v>525.25988701538665</v>
      </c>
      <c r="L482" s="304">
        <f t="shared" ca="1" si="203"/>
        <v>883.87244795948834</v>
      </c>
      <c r="M482" s="306">
        <f t="shared" ca="1" si="219"/>
        <v>-1.434566207200461</v>
      </c>
      <c r="N482" s="304">
        <f t="shared" ca="1" si="220"/>
        <v>-82.194589104676382</v>
      </c>
      <c r="P482" s="310">
        <f t="shared" ca="1" si="221"/>
        <v>23</v>
      </c>
      <c r="Q482" s="304">
        <f t="shared" ca="1" si="222"/>
        <v>0</v>
      </c>
      <c r="R482" s="306">
        <f t="shared" ca="1" si="223"/>
        <v>0</v>
      </c>
      <c r="S482" s="307">
        <f t="shared" ca="1" si="224"/>
        <v>7.4499999999999984</v>
      </c>
      <c r="T482" s="304">
        <f t="shared" ca="1" si="204"/>
        <v>73.084499999999991</v>
      </c>
      <c r="U482" s="311">
        <f t="shared" ca="1" si="205"/>
        <v>0</v>
      </c>
      <c r="V482" s="306">
        <f t="shared" ca="1" si="206"/>
        <v>1.1623022933560128</v>
      </c>
      <c r="W482" s="304">
        <f t="shared" ca="1" si="207"/>
        <v>43.586696766918891</v>
      </c>
      <c r="Y482" s="314" t="str">
        <f t="shared" ca="1" si="225"/>
        <v/>
      </c>
      <c r="Z482" s="315" t="str">
        <f t="shared" ca="1" si="226"/>
        <v/>
      </c>
      <c r="AA482" s="316" t="str">
        <f t="shared" ca="1" si="227"/>
        <v/>
      </c>
      <c r="AC482" s="310" t="e">
        <f t="shared" ca="1" si="228"/>
        <v>#N/A</v>
      </c>
      <c r="AD482" s="323" t="e">
        <f t="shared" ca="1" si="229"/>
        <v>#N/A</v>
      </c>
      <c r="AE482" s="324" t="e">
        <f t="shared" ca="1" si="208"/>
        <v>#N/A</v>
      </c>
      <c r="AG482" s="306">
        <f t="shared" ca="1" si="230"/>
        <v>3.915800042881636</v>
      </c>
      <c r="AH482" s="304">
        <f t="shared" ca="1" si="231"/>
        <v>-5.8016269894235188</v>
      </c>
    </row>
    <row r="483" spans="1:34" x14ac:dyDescent="0.2">
      <c r="A483" s="347">
        <f t="shared" ca="1" si="209"/>
        <v>0.1</v>
      </c>
      <c r="B483" s="304">
        <f t="shared" ca="1" si="210"/>
        <v>29.900000000000158</v>
      </c>
      <c r="D483" s="306">
        <f t="shared" ca="1" si="211"/>
        <v>-0.79455995027849968</v>
      </c>
      <c r="E483" s="307">
        <f t="shared" ca="1" si="212"/>
        <v>-4.013642031547227</v>
      </c>
      <c r="F483" s="304">
        <f t="shared" ca="1" si="213"/>
        <v>4.0915336821281478</v>
      </c>
      <c r="G483" s="306">
        <f t="shared" ca="1" si="214"/>
        <v>14.43713094811516</v>
      </c>
      <c r="H483" s="307">
        <f t="shared" ca="1" si="215"/>
        <v>-106.30065395861189</v>
      </c>
      <c r="I483" s="304">
        <f t="shared" ca="1" si="216"/>
        <v>107.27655746733102</v>
      </c>
      <c r="J483" s="306">
        <f t="shared" ca="1" si="217"/>
        <v>712.31515269444515</v>
      </c>
      <c r="K483" s="307">
        <f t="shared" ca="1" si="218"/>
        <v>514.64988982968316</v>
      </c>
      <c r="L483" s="304">
        <f t="shared" ca="1" si="203"/>
        <v>878.78176236185948</v>
      </c>
      <c r="M483" s="306">
        <f t="shared" ca="1" si="219"/>
        <v>-1.4358081262163389</v>
      </c>
      <c r="N483" s="304">
        <f t="shared" ca="1" si="220"/>
        <v>-82.265745822783231</v>
      </c>
      <c r="P483" s="310">
        <f t="shared" ca="1" si="221"/>
        <v>23</v>
      </c>
      <c r="Q483" s="304">
        <f t="shared" ca="1" si="222"/>
        <v>0</v>
      </c>
      <c r="R483" s="306">
        <f t="shared" ca="1" si="223"/>
        <v>0</v>
      </c>
      <c r="S483" s="307">
        <f t="shared" ca="1" si="224"/>
        <v>7.4499999999999984</v>
      </c>
      <c r="T483" s="304">
        <f t="shared" ca="1" si="204"/>
        <v>73.084499999999991</v>
      </c>
      <c r="U483" s="311">
        <f t="shared" ca="1" si="205"/>
        <v>0</v>
      </c>
      <c r="V483" s="306">
        <f t="shared" ca="1" si="206"/>
        <v>1.1635369851859951</v>
      </c>
      <c r="W483" s="304">
        <f t="shared" ca="1" si="207"/>
        <v>43.94947034806399</v>
      </c>
      <c r="Y483" s="314" t="str">
        <f t="shared" ca="1" si="225"/>
        <v/>
      </c>
      <c r="Z483" s="315" t="str">
        <f t="shared" ca="1" si="226"/>
        <v/>
      </c>
      <c r="AA483" s="316" t="str">
        <f t="shared" ca="1" si="227"/>
        <v/>
      </c>
      <c r="AC483" s="310" t="e">
        <f t="shared" ca="1" si="228"/>
        <v>#N/A</v>
      </c>
      <c r="AD483" s="323" t="e">
        <f t="shared" ca="1" si="229"/>
        <v>#N/A</v>
      </c>
      <c r="AE483" s="324" t="e">
        <f t="shared" ca="1" si="208"/>
        <v>#N/A</v>
      </c>
      <c r="AG483" s="306">
        <f t="shared" ca="1" si="230"/>
        <v>3.8685472154492384</v>
      </c>
      <c r="AH483" s="304">
        <f t="shared" ca="1" si="231"/>
        <v>-5.8505633244186441</v>
      </c>
    </row>
    <row r="484" spans="1:34" x14ac:dyDescent="0.2">
      <c r="A484" s="347">
        <f t="shared" ca="1" si="209"/>
        <v>0.1</v>
      </c>
      <c r="B484" s="304">
        <f t="shared" ca="1" si="210"/>
        <v>30.00000000000016</v>
      </c>
      <c r="D484" s="306">
        <f t="shared" ca="1" si="211"/>
        <v>-0.79391396273718196</v>
      </c>
      <c r="E484" s="307">
        <f t="shared" ca="1" si="212"/>
        <v>-3.9644082595681152</v>
      </c>
      <c r="F484" s="304">
        <f t="shared" ca="1" si="213"/>
        <v>4.0431215946049592</v>
      </c>
      <c r="G484" s="306">
        <f t="shared" ca="1" si="214"/>
        <v>14.357739551841441</v>
      </c>
      <c r="H484" s="307">
        <f t="shared" ca="1" si="215"/>
        <v>-106.6970947845687</v>
      </c>
      <c r="I484" s="304">
        <f t="shared" ca="1" si="216"/>
        <v>107.65878840348219</v>
      </c>
      <c r="J484" s="306">
        <f t="shared" ca="1" si="217"/>
        <v>713.75489621944303</v>
      </c>
      <c r="K484" s="307">
        <f t="shared" ca="1" si="218"/>
        <v>504.00000239252415</v>
      </c>
      <c r="L484" s="304">
        <f t="shared" ca="1" si="203"/>
        <v>873.76315686168198</v>
      </c>
      <c r="M484" s="306">
        <f t="shared" ca="1" si="219"/>
        <v>-1.4370344233001415</v>
      </c>
      <c r="N484" s="304">
        <f t="shared" ca="1" si="220"/>
        <v>-82.336007470114325</v>
      </c>
      <c r="P484" s="310">
        <f t="shared" ca="1" si="221"/>
        <v>23</v>
      </c>
      <c r="Q484" s="304">
        <f t="shared" ca="1" si="222"/>
        <v>0</v>
      </c>
      <c r="R484" s="306">
        <f t="shared" ca="1" si="223"/>
        <v>0</v>
      </c>
      <c r="S484" s="307">
        <f t="shared" ca="1" si="224"/>
        <v>7.4499999999999984</v>
      </c>
      <c r="T484" s="304">
        <f t="shared" ca="1" si="204"/>
        <v>73.084499999999991</v>
      </c>
      <c r="U484" s="311">
        <f t="shared" ca="1" si="205"/>
        <v>0</v>
      </c>
      <c r="V484" s="306">
        <f t="shared" ca="1" si="206"/>
        <v>1.1647776040910263</v>
      </c>
      <c r="W484" s="304">
        <f t="shared" ca="1" si="207"/>
        <v>44.310411524627874</v>
      </c>
      <c r="Y484" s="314" t="str">
        <f t="shared" ca="1" si="225"/>
        <v/>
      </c>
      <c r="Z484" s="315" t="str">
        <f t="shared" ca="1" si="226"/>
        <v/>
      </c>
      <c r="AA484" s="316" t="str">
        <f t="shared" ca="1" si="227"/>
        <v/>
      </c>
      <c r="AC484" s="310">
        <f t="shared" ca="1" si="228"/>
        <v>30.00000000000016</v>
      </c>
      <c r="AD484" s="323">
        <f t="shared" ca="1" si="229"/>
        <v>713.75489621944303</v>
      </c>
      <c r="AE484" s="324" t="e">
        <f t="shared" ca="1" si="208"/>
        <v>#N/A</v>
      </c>
      <c r="AG484" s="306">
        <f t="shared" ca="1" si="230"/>
        <v>3.8214998727404526</v>
      </c>
      <c r="AH484" s="304">
        <f t="shared" ca="1" si="231"/>
        <v>-5.8992577648408053</v>
      </c>
    </row>
    <row r="485" spans="1:34" x14ac:dyDescent="0.2">
      <c r="A485" s="347">
        <f t="shared" ca="1" si="209"/>
        <v>0.1</v>
      </c>
      <c r="B485" s="304">
        <f t="shared" ca="1" si="210"/>
        <v>30.100000000000161</v>
      </c>
      <c r="D485" s="306">
        <f t="shared" ca="1" si="211"/>
        <v>-0.79320618838219947</v>
      </c>
      <c r="E485" s="307">
        <f t="shared" ca="1" si="212"/>
        <v>-3.9154233808923271</v>
      </c>
      <c r="F485" s="304">
        <f t="shared" ca="1" si="213"/>
        <v>3.9949613651356026</v>
      </c>
      <c r="G485" s="306">
        <f t="shared" ca="1" si="214"/>
        <v>14.27841893300322</v>
      </c>
      <c r="H485" s="307">
        <f t="shared" ca="1" si="215"/>
        <v>-107.08863712265794</v>
      </c>
      <c r="I485" s="304">
        <f t="shared" ca="1" si="216"/>
        <v>108.03633392528025</v>
      </c>
      <c r="J485" s="306">
        <f t="shared" ca="1" si="217"/>
        <v>715.18670414368523</v>
      </c>
      <c r="K485" s="307">
        <f t="shared" ca="1" si="218"/>
        <v>493.3107157971628</v>
      </c>
      <c r="L485" s="304">
        <f t="shared" ca="1" si="203"/>
        <v>868.81959238049899</v>
      </c>
      <c r="M485" s="306">
        <f t="shared" ca="1" si="219"/>
        <v>-1.4382454001979648</v>
      </c>
      <c r="N485" s="304">
        <f t="shared" ca="1" si="220"/>
        <v>-82.405391335447433</v>
      </c>
      <c r="P485" s="310">
        <f t="shared" ca="1" si="221"/>
        <v>23</v>
      </c>
      <c r="Q485" s="304">
        <f t="shared" ca="1" si="222"/>
        <v>0</v>
      </c>
      <c r="R485" s="306">
        <f t="shared" ca="1" si="223"/>
        <v>0</v>
      </c>
      <c r="S485" s="307">
        <f t="shared" ca="1" si="224"/>
        <v>7.4499999999999984</v>
      </c>
      <c r="T485" s="304">
        <f t="shared" ca="1" si="204"/>
        <v>73.084499999999991</v>
      </c>
      <c r="U485" s="311">
        <f t="shared" ca="1" si="205"/>
        <v>0</v>
      </c>
      <c r="V485" s="306">
        <f t="shared" ca="1" si="206"/>
        <v>1.1660241092586665</v>
      </c>
      <c r="W485" s="304">
        <f t="shared" ca="1" si="207"/>
        <v>44.669490945576904</v>
      </c>
      <c r="Y485" s="314" t="str">
        <f t="shared" ca="1" si="225"/>
        <v/>
      </c>
      <c r="Z485" s="315" t="str">
        <f t="shared" ca="1" si="226"/>
        <v/>
      </c>
      <c r="AA485" s="316" t="str">
        <f t="shared" ca="1" si="227"/>
        <v/>
      </c>
      <c r="AC485" s="310" t="e">
        <f t="shared" ca="1" si="228"/>
        <v>#N/A</v>
      </c>
      <c r="AD485" s="323" t="e">
        <f t="shared" ca="1" si="229"/>
        <v>#N/A</v>
      </c>
      <c r="AE485" s="324" t="e">
        <f t="shared" ca="1" si="208"/>
        <v>#N/A</v>
      </c>
      <c r="AG485" s="306">
        <f t="shared" ca="1" si="230"/>
        <v>3.7746630605397051</v>
      </c>
      <c r="AH485" s="304">
        <f t="shared" ca="1" si="231"/>
        <v>-5.9477062449164944</v>
      </c>
    </row>
    <row r="486" spans="1:34" x14ac:dyDescent="0.2">
      <c r="A486" s="347">
        <f t="shared" ca="1" si="209"/>
        <v>0.1</v>
      </c>
      <c r="B486" s="304">
        <f t="shared" ca="1" si="210"/>
        <v>30.200000000000163</v>
      </c>
      <c r="D486" s="306">
        <f t="shared" ca="1" si="211"/>
        <v>-0.79243748711138251</v>
      </c>
      <c r="E486" s="307">
        <f t="shared" ca="1" si="212"/>
        <v>-3.8666913677316535</v>
      </c>
      <c r="F486" s="304">
        <f t="shared" ca="1" si="213"/>
        <v>3.9470570434527401</v>
      </c>
      <c r="G486" s="306">
        <f t="shared" ca="1" si="214"/>
        <v>14.199175184292082</v>
      </c>
      <c r="H486" s="307">
        <f t="shared" ca="1" si="215"/>
        <v>-107.47530625943111</v>
      </c>
      <c r="I486" s="304">
        <f t="shared" ca="1" si="216"/>
        <v>108.40921562059532</v>
      </c>
      <c r="J486" s="306">
        <f t="shared" ca="1" si="217"/>
        <v>716.61058384955004</v>
      </c>
      <c r="K486" s="307">
        <f t="shared" ca="1" si="218"/>
        <v>482.58251862805832</v>
      </c>
      <c r="L486" s="304">
        <f t="shared" ca="1" si="203"/>
        <v>863.95405906251369</v>
      </c>
      <c r="M486" s="306">
        <f t="shared" ca="1" si="219"/>
        <v>-1.4394413506584007</v>
      </c>
      <c r="N486" s="304">
        <f t="shared" ca="1" si="220"/>
        <v>-82.473914249337142</v>
      </c>
      <c r="P486" s="310">
        <f t="shared" ca="1" si="221"/>
        <v>23</v>
      </c>
      <c r="Q486" s="304">
        <f t="shared" ca="1" si="222"/>
        <v>0</v>
      </c>
      <c r="R486" s="306">
        <f t="shared" ca="1" si="223"/>
        <v>0</v>
      </c>
      <c r="S486" s="307">
        <f t="shared" ca="1" si="224"/>
        <v>7.4499999999999984</v>
      </c>
      <c r="T486" s="304">
        <f t="shared" ca="1" si="204"/>
        <v>73.084499999999991</v>
      </c>
      <c r="U486" s="311">
        <f t="shared" ca="1" si="205"/>
        <v>0</v>
      </c>
      <c r="V486" s="306">
        <f t="shared" ca="1" si="206"/>
        <v>1.1672764600331296</v>
      </c>
      <c r="W486" s="304">
        <f t="shared" ca="1" si="207"/>
        <v>45.026680191821001</v>
      </c>
      <c r="Y486" s="314" t="str">
        <f t="shared" ca="1" si="225"/>
        <v/>
      </c>
      <c r="Z486" s="315" t="str">
        <f t="shared" ca="1" si="226"/>
        <v/>
      </c>
      <c r="AA486" s="316" t="str">
        <f t="shared" ca="1" si="227"/>
        <v/>
      </c>
      <c r="AC486" s="310" t="e">
        <f t="shared" ca="1" si="228"/>
        <v>#N/A</v>
      </c>
      <c r="AD486" s="323" t="e">
        <f t="shared" ca="1" si="229"/>
        <v>#N/A</v>
      </c>
      <c r="AE486" s="324" t="e">
        <f t="shared" ca="1" si="208"/>
        <v>#N/A</v>
      </c>
      <c r="AG486" s="306">
        <f t="shared" ca="1" si="230"/>
        <v>3.7280416660907321</v>
      </c>
      <c r="AH486" s="304">
        <f t="shared" ca="1" si="231"/>
        <v>-5.9959048249096529</v>
      </c>
    </row>
    <row r="487" spans="1:34" x14ac:dyDescent="0.2">
      <c r="A487" s="347">
        <f t="shared" ca="1" si="209"/>
        <v>0.1</v>
      </c>
      <c r="B487" s="304">
        <f t="shared" ca="1" si="210"/>
        <v>30.300000000000164</v>
      </c>
      <c r="D487" s="306">
        <f t="shared" ca="1" si="211"/>
        <v>-0.79160872115058145</v>
      </c>
      <c r="E487" s="307">
        <f t="shared" ca="1" si="212"/>
        <v>-3.8182160661406703</v>
      </c>
      <c r="F487" s="304">
        <f t="shared" ca="1" si="213"/>
        <v>3.8994125576984535</v>
      </c>
      <c r="G487" s="306">
        <f t="shared" ca="1" si="214"/>
        <v>14.120014312177025</v>
      </c>
      <c r="H487" s="307">
        <f t="shared" ca="1" si="215"/>
        <v>-107.85712786604518</v>
      </c>
      <c r="I487" s="304">
        <f t="shared" ca="1" si="216"/>
        <v>108.77745554887971</v>
      </c>
      <c r="J487" s="306">
        <f t="shared" ca="1" si="217"/>
        <v>718.02654332437351</v>
      </c>
      <c r="K487" s="307">
        <f t="shared" ca="1" si="218"/>
        <v>471.81589692178449</v>
      </c>
      <c r="L487" s="304">
        <f t="shared" ca="1" si="203"/>
        <v>859.16957436029838</v>
      </c>
      <c r="M487" s="306">
        <f t="shared" ca="1" si="219"/>
        <v>-1.4406225606930483</v>
      </c>
      <c r="N487" s="304">
        <f t="shared" ca="1" si="220"/>
        <v>-82.541592599040953</v>
      </c>
      <c r="P487" s="310">
        <f t="shared" ca="1" si="221"/>
        <v>23</v>
      </c>
      <c r="Q487" s="304">
        <f t="shared" ca="1" si="222"/>
        <v>0</v>
      </c>
      <c r="R487" s="306">
        <f t="shared" ca="1" si="223"/>
        <v>0</v>
      </c>
      <c r="S487" s="307">
        <f t="shared" ca="1" si="224"/>
        <v>7.4499999999999984</v>
      </c>
      <c r="T487" s="304">
        <f t="shared" ca="1" si="204"/>
        <v>73.084499999999991</v>
      </c>
      <c r="U487" s="311">
        <f t="shared" ca="1" si="205"/>
        <v>0</v>
      </c>
      <c r="V487" s="306">
        <f t="shared" ca="1" si="206"/>
        <v>1.1685346159188457</v>
      </c>
      <c r="W487" s="304">
        <f t="shared" ca="1" si="207"/>
        <v>45.381951768872987</v>
      </c>
      <c r="Y487" s="314" t="str">
        <f t="shared" ca="1" si="225"/>
        <v/>
      </c>
      <c r="Z487" s="315" t="str">
        <f t="shared" ca="1" si="226"/>
        <v/>
      </c>
      <c r="AA487" s="316" t="str">
        <f t="shared" ca="1" si="227"/>
        <v/>
      </c>
      <c r="AC487" s="310" t="e">
        <f t="shared" ca="1" si="228"/>
        <v>#N/A</v>
      </c>
      <c r="AD487" s="323" t="e">
        <f t="shared" ca="1" si="229"/>
        <v>#N/A</v>
      </c>
      <c r="AE487" s="324" t="e">
        <f t="shared" ca="1" si="208"/>
        <v>#N/A</v>
      </c>
      <c r="AG487" s="306">
        <f t="shared" ca="1" si="230"/>
        <v>3.6816404203213677</v>
      </c>
      <c r="AH487" s="304">
        <f t="shared" ca="1" si="231"/>
        <v>-6.0438496901773169</v>
      </c>
    </row>
    <row r="488" spans="1:34" x14ac:dyDescent="0.2">
      <c r="A488" s="347">
        <f t="shared" ca="1" si="209"/>
        <v>0.1</v>
      </c>
      <c r="B488" s="304">
        <f t="shared" ca="1" si="210"/>
        <v>30.400000000000166</v>
      </c>
      <c r="D488" s="306">
        <f t="shared" ca="1" si="211"/>
        <v>-0.7907207546798154</v>
      </c>
      <c r="E488" s="307">
        <f t="shared" ca="1" si="212"/>
        <v>-3.7700011970039284</v>
      </c>
      <c r="F488" s="304">
        <f t="shared" ca="1" si="213"/>
        <v>3.8520317155096828</v>
      </c>
      <c r="G488" s="306">
        <f t="shared" ca="1" si="214"/>
        <v>14.040942236709043</v>
      </c>
      <c r="H488" s="307">
        <f t="shared" ca="1" si="215"/>
        <v>-108.23412798574557</v>
      </c>
      <c r="I488" s="304">
        <f t="shared" ca="1" si="216"/>
        <v>109.14107622581588</v>
      </c>
      <c r="J488" s="306">
        <f t="shared" ca="1" si="217"/>
        <v>719.43459115181781</v>
      </c>
      <c r="K488" s="307">
        <f t="shared" ca="1" si="218"/>
        <v>461.01133412919495</v>
      </c>
      <c r="L488" s="304">
        <f t="shared" ca="1" si="203"/>
        <v>854.4691809195715</v>
      </c>
      <c r="M488" s="306">
        <f t="shared" ca="1" si="219"/>
        <v>-1.4417893088270413</v>
      </c>
      <c r="N488" s="304">
        <f t="shared" ca="1" si="220"/>
        <v>-82.608442342873516</v>
      </c>
      <c r="P488" s="310">
        <f t="shared" ca="1" si="221"/>
        <v>23</v>
      </c>
      <c r="Q488" s="304">
        <f t="shared" ca="1" si="222"/>
        <v>0</v>
      </c>
      <c r="R488" s="306">
        <f t="shared" ca="1" si="223"/>
        <v>0</v>
      </c>
      <c r="S488" s="307">
        <f t="shared" ca="1" si="224"/>
        <v>7.4499999999999984</v>
      </c>
      <c r="T488" s="304">
        <f t="shared" ca="1" si="204"/>
        <v>73.084499999999991</v>
      </c>
      <c r="U488" s="311">
        <f t="shared" ca="1" si="205"/>
        <v>0</v>
      </c>
      <c r="V488" s="306">
        <f t="shared" ca="1" si="206"/>
        <v>1.1697985365839398</v>
      </c>
      <c r="W488" s="304">
        <f t="shared" ca="1" si="207"/>
        <v>45.735279099214473</v>
      </c>
      <c r="Y488" s="314" t="str">
        <f t="shared" ca="1" si="225"/>
        <v/>
      </c>
      <c r="Z488" s="315" t="str">
        <f t="shared" ca="1" si="226"/>
        <v/>
      </c>
      <c r="AA488" s="316" t="str">
        <f t="shared" ca="1" si="227"/>
        <v/>
      </c>
      <c r="AC488" s="310" t="e">
        <f t="shared" ca="1" si="228"/>
        <v>#N/A</v>
      </c>
      <c r="AD488" s="323" t="e">
        <f t="shared" ca="1" si="229"/>
        <v>#N/A</v>
      </c>
      <c r="AE488" s="324" t="e">
        <f t="shared" ca="1" si="208"/>
        <v>#N/A</v>
      </c>
      <c r="AG488" s="306">
        <f t="shared" ca="1" si="230"/>
        <v>3.6354639000512501</v>
      </c>
      <c r="AH488" s="304">
        <f t="shared" ca="1" si="231"/>
        <v>-6.091537150184295</v>
      </c>
    </row>
    <row r="489" spans="1:34" x14ac:dyDescent="0.2">
      <c r="A489" s="347">
        <f t="shared" ca="1" si="209"/>
        <v>0.1</v>
      </c>
      <c r="B489" s="304">
        <f t="shared" ca="1" si="210"/>
        <v>30.500000000000167</v>
      </c>
      <c r="D489" s="306">
        <f t="shared" ca="1" si="211"/>
        <v>-0.78977445346744246</v>
      </c>
      <c r="E489" s="307">
        <f t="shared" ca="1" si="212"/>
        <v>-3.722050357063317</v>
      </c>
      <c r="F489" s="304">
        <f t="shared" ca="1" si="213"/>
        <v>3.8049182051477746</v>
      </c>
      <c r="G489" s="306">
        <f t="shared" ca="1" si="214"/>
        <v>13.961964791362298</v>
      </c>
      <c r="H489" s="307">
        <f t="shared" ca="1" si="215"/>
        <v>-108.6063330214519</v>
      </c>
      <c r="I489" s="304">
        <f t="shared" ca="1" si="216"/>
        <v>109.50010060818097</v>
      </c>
      <c r="J489" s="306">
        <f t="shared" ca="1" si="217"/>
        <v>720.83473650322139</v>
      </c>
      <c r="K489" s="307">
        <f t="shared" ca="1" si="218"/>
        <v>450.16931107883505</v>
      </c>
      <c r="L489" s="304">
        <f t="shared" ca="1" si="203"/>
        <v>849.8559442557671</v>
      </c>
      <c r="M489" s="306">
        <f t="shared" ca="1" si="219"/>
        <v>-1.4429418663400353</v>
      </c>
      <c r="N489" s="304">
        <f t="shared" ca="1" si="220"/>
        <v>-82.674479024014161</v>
      </c>
      <c r="P489" s="310">
        <f t="shared" ca="1" si="221"/>
        <v>23</v>
      </c>
      <c r="Q489" s="304">
        <f t="shared" ca="1" si="222"/>
        <v>0</v>
      </c>
      <c r="R489" s="306">
        <f t="shared" ca="1" si="223"/>
        <v>0</v>
      </c>
      <c r="S489" s="307">
        <f t="shared" ca="1" si="224"/>
        <v>7.4499999999999984</v>
      </c>
      <c r="T489" s="304">
        <f t="shared" ca="1" si="204"/>
        <v>73.084499999999991</v>
      </c>
      <c r="U489" s="311">
        <f t="shared" ca="1" si="205"/>
        <v>0</v>
      </c>
      <c r="V489" s="306">
        <f t="shared" ca="1" si="206"/>
        <v>1.1710681818636268</v>
      </c>
      <c r="W489" s="304">
        <f t="shared" ca="1" si="207"/>
        <v>46.086636514380615</v>
      </c>
      <c r="Y489" s="314" t="str">
        <f t="shared" ca="1" si="225"/>
        <v/>
      </c>
      <c r="Z489" s="315" t="str">
        <f t="shared" ca="1" si="226"/>
        <v/>
      </c>
      <c r="AA489" s="316" t="str">
        <f t="shared" ca="1" si="227"/>
        <v/>
      </c>
      <c r="AC489" s="310" t="e">
        <f t="shared" ca="1" si="228"/>
        <v>#N/A</v>
      </c>
      <c r="AD489" s="323" t="e">
        <f t="shared" ca="1" si="229"/>
        <v>#N/A</v>
      </c>
      <c r="AE489" s="324" t="e">
        <f t="shared" ca="1" si="208"/>
        <v>#N/A</v>
      </c>
      <c r="AG489" s="306">
        <f t="shared" ca="1" si="230"/>
        <v>3.5895165301838006</v>
      </c>
      <c r="AH489" s="304">
        <f t="shared" ca="1" si="231"/>
        <v>-6.1389636374784544</v>
      </c>
    </row>
    <row r="490" spans="1:34" x14ac:dyDescent="0.2">
      <c r="A490" s="347">
        <f t="shared" ca="1" si="209"/>
        <v>0.1</v>
      </c>
      <c r="B490" s="304">
        <f t="shared" ca="1" si="210"/>
        <v>30.600000000000168</v>
      </c>
      <c r="D490" s="306">
        <f t="shared" ca="1" si="211"/>
        <v>-0.78877068451234178</v>
      </c>
      <c r="E490" s="307">
        <f t="shared" ca="1" si="212"/>
        <v>-3.6743670199839151</v>
      </c>
      <c r="F490" s="304">
        <f t="shared" ca="1" si="213"/>
        <v>3.7580755966706612</v>
      </c>
      <c r="G490" s="306">
        <f t="shared" ca="1" si="214"/>
        <v>13.883087722911064</v>
      </c>
      <c r="H490" s="307">
        <f t="shared" ca="1" si="215"/>
        <v>-108.97376972345029</v>
      </c>
      <c r="I490" s="304">
        <f t="shared" ca="1" si="216"/>
        <v>109.85455207892669</v>
      </c>
      <c r="J490" s="306">
        <f t="shared" ca="1" si="217"/>
        <v>722.22698912893509</v>
      </c>
      <c r="K490" s="307">
        <f t="shared" ca="1" si="218"/>
        <v>439.29030594158996</v>
      </c>
      <c r="L490" s="304">
        <f t="shared" ca="1" si="203"/>
        <v>845.33295021577305</v>
      </c>
      <c r="M490" s="306">
        <f t="shared" ca="1" si="219"/>
        <v>-1.444080497498069</v>
      </c>
      <c r="N490" s="304">
        <f t="shared" ca="1" si="220"/>
        <v>-82.73971778379159</v>
      </c>
      <c r="P490" s="310">
        <f t="shared" ca="1" si="221"/>
        <v>23</v>
      </c>
      <c r="Q490" s="304">
        <f t="shared" ca="1" si="222"/>
        <v>0</v>
      </c>
      <c r="R490" s="306">
        <f t="shared" ca="1" si="223"/>
        <v>0</v>
      </c>
      <c r="S490" s="307">
        <f t="shared" ca="1" si="224"/>
        <v>7.4499999999999984</v>
      </c>
      <c r="T490" s="304">
        <f t="shared" ca="1" si="204"/>
        <v>73.084499999999991</v>
      </c>
      <c r="U490" s="311">
        <f t="shared" ca="1" si="205"/>
        <v>0</v>
      </c>
      <c r="V490" s="306">
        <f t="shared" ca="1" si="206"/>
        <v>1.1723435117635159</v>
      </c>
      <c r="W490" s="304">
        <f t="shared" ca="1" si="207"/>
        <v>46.43599924677514</v>
      </c>
      <c r="Y490" s="314" t="str">
        <f t="shared" ca="1" si="225"/>
        <v/>
      </c>
      <c r="Z490" s="315" t="str">
        <f t="shared" ca="1" si="226"/>
        <v/>
      </c>
      <c r="AA490" s="316" t="str">
        <f t="shared" ca="1" si="227"/>
        <v/>
      </c>
      <c r="AC490" s="310" t="e">
        <f t="shared" ca="1" si="228"/>
        <v>#N/A</v>
      </c>
      <c r="AD490" s="323" t="e">
        <f t="shared" ca="1" si="229"/>
        <v>#N/A</v>
      </c>
      <c r="AE490" s="324" t="e">
        <f t="shared" ca="1" si="208"/>
        <v>#N/A</v>
      </c>
      <c r="AG490" s="306">
        <f t="shared" ca="1" si="230"/>
        <v>3.5438025858836619</v>
      </c>
      <c r="AH490" s="304">
        <f t="shared" ca="1" si="231"/>
        <v>-6.186125706628272</v>
      </c>
    </row>
    <row r="491" spans="1:34" x14ac:dyDescent="0.2">
      <c r="A491" s="347">
        <f t="shared" ca="1" si="209"/>
        <v>0.1</v>
      </c>
      <c r="B491" s="304">
        <f t="shared" ca="1" si="210"/>
        <v>30.70000000000017</v>
      </c>
      <c r="D491" s="306">
        <f t="shared" ca="1" si="211"/>
        <v>-0.78771031569409777</v>
      </c>
      <c r="E491" s="307">
        <f t="shared" ca="1" si="212"/>
        <v>-3.6269545374567667</v>
      </c>
      <c r="F491" s="304">
        <f t="shared" ca="1" si="213"/>
        <v>3.7115073431463292</v>
      </c>
      <c r="G491" s="306">
        <f t="shared" ca="1" si="214"/>
        <v>13.804316691341654</v>
      </c>
      <c r="H491" s="307">
        <f t="shared" ca="1" si="215"/>
        <v>-109.33646517719596</v>
      </c>
      <c r="I491" s="304">
        <f t="shared" ca="1" si="216"/>
        <v>110.2044544324731</v>
      </c>
      <c r="J491" s="306">
        <f t="shared" ca="1" si="217"/>
        <v>723.61135934964773</v>
      </c>
      <c r="K491" s="307">
        <f t="shared" ca="1" si="218"/>
        <v>428.37479419655767</v>
      </c>
      <c r="L491" s="304">
        <f t="shared" ca="1" si="203"/>
        <v>840.90330221898171</v>
      </c>
      <c r="M491" s="306">
        <f t="shared" ca="1" si="219"/>
        <v>-1.4452054597766966</v>
      </c>
      <c r="N491" s="304">
        <f t="shared" ca="1" si="220"/>
        <v>-82.804173374468377</v>
      </c>
      <c r="P491" s="310">
        <f t="shared" ca="1" si="221"/>
        <v>23</v>
      </c>
      <c r="Q491" s="304">
        <f t="shared" ca="1" si="222"/>
        <v>0</v>
      </c>
      <c r="R491" s="306">
        <f t="shared" ca="1" si="223"/>
        <v>0</v>
      </c>
      <c r="S491" s="307">
        <f t="shared" ca="1" si="224"/>
        <v>7.4499999999999984</v>
      </c>
      <c r="T491" s="304">
        <f t="shared" ca="1" si="204"/>
        <v>73.084499999999991</v>
      </c>
      <c r="U491" s="311">
        <f t="shared" ca="1" si="205"/>
        <v>0</v>
      </c>
      <c r="V491" s="306">
        <f t="shared" ca="1" si="206"/>
        <v>1.1736244864628329</v>
      </c>
      <c r="W491" s="304">
        <f t="shared" ca="1" si="207"/>
        <v>46.783343421227713</v>
      </c>
      <c r="Y491" s="314" t="str">
        <f t="shared" ca="1" si="225"/>
        <v/>
      </c>
      <c r="Z491" s="315" t="str">
        <f t="shared" ca="1" si="226"/>
        <v/>
      </c>
      <c r="AA491" s="316" t="str">
        <f t="shared" ca="1" si="227"/>
        <v/>
      </c>
      <c r="AC491" s="310" t="e">
        <f t="shared" ca="1" si="228"/>
        <v>#N/A</v>
      </c>
      <c r="AD491" s="323" t="e">
        <f t="shared" ca="1" si="229"/>
        <v>#N/A</v>
      </c>
      <c r="AE491" s="324" t="e">
        <f t="shared" ca="1" si="208"/>
        <v>#N/A</v>
      </c>
      <c r="AG491" s="306">
        <f t="shared" ca="1" si="230"/>
        <v>3.4983261947406818</v>
      </c>
      <c r="AH491" s="304">
        <f t="shared" ca="1" si="231"/>
        <v>-6.2330200331241814</v>
      </c>
    </row>
    <row r="492" spans="1:34" x14ac:dyDescent="0.2">
      <c r="A492" s="347">
        <f t="shared" ca="1" si="209"/>
        <v>0.1</v>
      </c>
      <c r="B492" s="304">
        <f t="shared" ca="1" si="210"/>
        <v>30.800000000000171</v>
      </c>
      <c r="D492" s="306">
        <f t="shared" ca="1" si="211"/>
        <v>-0.78659421543117558</v>
      </c>
      <c r="E492" s="307">
        <f t="shared" ca="1" si="212"/>
        <v>-3.5798161403369164</v>
      </c>
      <c r="F492" s="304">
        <f t="shared" ca="1" si="213"/>
        <v>3.6652167819061514</v>
      </c>
      <c r="G492" s="306">
        <f t="shared" ca="1" si="214"/>
        <v>13.725657269798537</v>
      </c>
      <c r="H492" s="307">
        <f t="shared" ca="1" si="215"/>
        <v>-109.69444679122965</v>
      </c>
      <c r="I492" s="304">
        <f t="shared" ca="1" si="216"/>
        <v>110.54983186021536</v>
      </c>
      <c r="J492" s="306">
        <f t="shared" ca="1" si="217"/>
        <v>724.98785804770478</v>
      </c>
      <c r="K492" s="307">
        <f t="shared" ca="1" si="218"/>
        <v>417.42324859813641</v>
      </c>
      <c r="L492" s="304">
        <f t="shared" ca="1" si="203"/>
        <v>836.57011827271265</v>
      </c>
      <c r="M492" s="306">
        <f t="shared" ca="1" si="219"/>
        <v>-1.4463170040757705</v>
      </c>
      <c r="N492" s="304">
        <f t="shared" ca="1" si="220"/>
        <v>-82.867860171547136</v>
      </c>
      <c r="P492" s="310">
        <f t="shared" ca="1" si="221"/>
        <v>23</v>
      </c>
      <c r="Q492" s="304">
        <f t="shared" ca="1" si="222"/>
        <v>0</v>
      </c>
      <c r="R492" s="306">
        <f t="shared" ca="1" si="223"/>
        <v>0</v>
      </c>
      <c r="S492" s="307">
        <f t="shared" ca="1" si="224"/>
        <v>7.4499999999999984</v>
      </c>
      <c r="T492" s="304">
        <f t="shared" ca="1" si="204"/>
        <v>73.084499999999991</v>
      </c>
      <c r="U492" s="311">
        <f t="shared" ca="1" si="205"/>
        <v>0</v>
      </c>
      <c r="V492" s="306">
        <f t="shared" ca="1" si="206"/>
        <v>1.1749110663175555</v>
      </c>
      <c r="W492" s="304">
        <f t="shared" ca="1" si="207"/>
        <v>47.128646046305001</v>
      </c>
      <c r="Y492" s="314" t="str">
        <f t="shared" ca="1" si="225"/>
        <v/>
      </c>
      <c r="Z492" s="315" t="str">
        <f t="shared" ca="1" si="226"/>
        <v/>
      </c>
      <c r="AA492" s="316" t="str">
        <f t="shared" ca="1" si="227"/>
        <v/>
      </c>
      <c r="AC492" s="310" t="e">
        <f t="shared" ca="1" si="228"/>
        <v>#N/A</v>
      </c>
      <c r="AD492" s="323" t="e">
        <f t="shared" ca="1" si="229"/>
        <v>#N/A</v>
      </c>
      <c r="AE492" s="324" t="e">
        <f t="shared" ca="1" si="208"/>
        <v>#N/A</v>
      </c>
      <c r="AG492" s="306">
        <f t="shared" ca="1" si="230"/>
        <v>3.4530913389213191</v>
      </c>
      <c r="AH492" s="304">
        <f t="shared" ca="1" si="231"/>
        <v>-6.2796434122453322</v>
      </c>
    </row>
    <row r="493" spans="1:34" x14ac:dyDescent="0.2">
      <c r="A493" s="347">
        <f t="shared" ca="1" si="209"/>
        <v>0.1</v>
      </c>
      <c r="B493" s="304">
        <f t="shared" ca="1" si="210"/>
        <v>30.900000000000173</v>
      </c>
      <c r="D493" s="306">
        <f t="shared" ca="1" si="211"/>
        <v>-0.78542325234706012</v>
      </c>
      <c r="E493" s="307">
        <f t="shared" ca="1" si="212"/>
        <v>-3.5329549398151592</v>
      </c>
      <c r="F493" s="304">
        <f t="shared" ca="1" si="213"/>
        <v>3.6192071358367666</v>
      </c>
      <c r="G493" s="306">
        <f t="shared" ca="1" si="214"/>
        <v>13.647114944563832</v>
      </c>
      <c r="H493" s="307">
        <f t="shared" ca="1" si="215"/>
        <v>-110.04774228521117</v>
      </c>
      <c r="I493" s="304">
        <f t="shared" ca="1" si="216"/>
        <v>110.89070893624223</v>
      </c>
      <c r="J493" s="306">
        <f t="shared" ca="1" si="217"/>
        <v>726.35649665842288</v>
      </c>
      <c r="K493" s="307">
        <f t="shared" ca="1" si="218"/>
        <v>406.43613914431438</v>
      </c>
      <c r="L493" s="304">
        <f t="shared" ca="1" si="203"/>
        <v>832.33652775811424</v>
      </c>
      <c r="M493" s="306">
        <f t="shared" ca="1" si="219"/>
        <v>-1.4474153749262313</v>
      </c>
      <c r="N493" s="304">
        <f t="shared" ca="1" si="220"/>
        <v>-82.930792185618728</v>
      </c>
      <c r="P493" s="310">
        <f t="shared" ca="1" si="221"/>
        <v>23</v>
      </c>
      <c r="Q493" s="304">
        <f t="shared" ca="1" si="222"/>
        <v>0</v>
      </c>
      <c r="R493" s="306">
        <f t="shared" ca="1" si="223"/>
        <v>0</v>
      </c>
      <c r="S493" s="307">
        <f t="shared" ca="1" si="224"/>
        <v>7.4499999999999984</v>
      </c>
      <c r="T493" s="304">
        <f t="shared" ca="1" si="204"/>
        <v>73.084499999999991</v>
      </c>
      <c r="U493" s="311">
        <f t="shared" ca="1" si="205"/>
        <v>0</v>
      </c>
      <c r="V493" s="306">
        <f t="shared" ca="1" si="206"/>
        <v>1.1762032118634647</v>
      </c>
      <c r="W493" s="304">
        <f t="shared" ca="1" si="207"/>
        <v>47.471885005387058</v>
      </c>
      <c r="Y493" s="314" t="str">
        <f t="shared" ca="1" si="225"/>
        <v/>
      </c>
      <c r="Z493" s="315" t="str">
        <f t="shared" ca="1" si="226"/>
        <v/>
      </c>
      <c r="AA493" s="316" t="str">
        <f t="shared" ca="1" si="227"/>
        <v/>
      </c>
      <c r="AC493" s="310" t="e">
        <f t="shared" ca="1" si="228"/>
        <v>#N/A</v>
      </c>
      <c r="AD493" s="323" t="e">
        <f t="shared" ca="1" si="229"/>
        <v>#N/A</v>
      </c>
      <c r="AE493" s="324" t="e">
        <f t="shared" ca="1" si="208"/>
        <v>#N/A</v>
      </c>
      <c r="AG493" s="306">
        <f t="shared" ca="1" si="230"/>
        <v>3.4081018573082948</v>
      </c>
      <c r="AH493" s="304">
        <f t="shared" ca="1" si="231"/>
        <v>-6.3259927578932897</v>
      </c>
    </row>
    <row r="494" spans="1:34" x14ac:dyDescent="0.2">
      <c r="A494" s="347">
        <f t="shared" ca="1" si="209"/>
        <v>0.1</v>
      </c>
      <c r="B494" s="304">
        <f t="shared" ca="1" si="210"/>
        <v>31.000000000000174</v>
      </c>
      <c r="D494" s="306">
        <f t="shared" ca="1" si="211"/>
        <v>-0.78419829494434579</v>
      </c>
      <c r="E494" s="307">
        <f t="shared" ca="1" si="212"/>
        <v>-3.4863739286219078</v>
      </c>
      <c r="F494" s="304">
        <f t="shared" ca="1" si="213"/>
        <v>3.5734815147091741</v>
      </c>
      <c r="G494" s="306">
        <f t="shared" ca="1" si="214"/>
        <v>13.568695115069398</v>
      </c>
      <c r="H494" s="307">
        <f t="shared" ca="1" si="215"/>
        <v>-110.39637967807336</v>
      </c>
      <c r="I494" s="304">
        <f t="shared" ca="1" si="216"/>
        <v>111.22711060326542</v>
      </c>
      <c r="J494" s="306">
        <f t="shared" ca="1" si="217"/>
        <v>727.71728716140456</v>
      </c>
      <c r="K494" s="307">
        <f t="shared" ca="1" si="218"/>
        <v>395.41393304615013</v>
      </c>
      <c r="L494" s="304">
        <f t="shared" ca="1" si="203"/>
        <v>828.20566798385255</v>
      </c>
      <c r="M494" s="306">
        <f t="shared" ca="1" si="219"/>
        <v>-1.4485008106892465</v>
      </c>
      <c r="N494" s="304">
        <f t="shared" ca="1" si="220"/>
        <v>-82.992983073772066</v>
      </c>
      <c r="P494" s="310">
        <f t="shared" ca="1" si="221"/>
        <v>23</v>
      </c>
      <c r="Q494" s="304">
        <f t="shared" ca="1" si="222"/>
        <v>0</v>
      </c>
      <c r="R494" s="306">
        <f t="shared" ca="1" si="223"/>
        <v>0</v>
      </c>
      <c r="S494" s="307">
        <f t="shared" ca="1" si="224"/>
        <v>7.4499999999999984</v>
      </c>
      <c r="T494" s="304">
        <f t="shared" ca="1" si="204"/>
        <v>73.084499999999991</v>
      </c>
      <c r="U494" s="311">
        <f t="shared" ca="1" si="205"/>
        <v>0</v>
      </c>
      <c r="V494" s="306">
        <f t="shared" ca="1" si="206"/>
        <v>1.1775008838191117</v>
      </c>
      <c r="W494" s="304">
        <f t="shared" ca="1" si="207"/>
        <v>47.813039047520334</v>
      </c>
      <c r="Y494" s="314" t="str">
        <f t="shared" ca="1" si="225"/>
        <v/>
      </c>
      <c r="Z494" s="315" t="str">
        <f t="shared" ca="1" si="226"/>
        <v/>
      </c>
      <c r="AA494" s="316" t="str">
        <f t="shared" ca="1" si="227"/>
        <v/>
      </c>
      <c r="AC494" s="310">
        <f t="shared" ca="1" si="228"/>
        <v>31.000000000000174</v>
      </c>
      <c r="AD494" s="323">
        <f t="shared" ca="1" si="229"/>
        <v>727.71728716140456</v>
      </c>
      <c r="AE494" s="324" t="e">
        <f t="shared" ca="1" si="208"/>
        <v>#N/A</v>
      </c>
      <c r="AG494" s="306">
        <f t="shared" ca="1" si="230"/>
        <v>3.3633614476291873</v>
      </c>
      <c r="AH494" s="304">
        <f t="shared" ca="1" si="231"/>
        <v>-6.3720651013942371</v>
      </c>
    </row>
    <row r="495" spans="1:34" x14ac:dyDescent="0.2">
      <c r="A495" s="347">
        <f t="shared" ca="1" si="209"/>
        <v>0.1</v>
      </c>
      <c r="B495" s="304">
        <f t="shared" ca="1" si="210"/>
        <v>31.100000000000176</v>
      </c>
      <c r="D495" s="306">
        <f t="shared" ca="1" si="211"/>
        <v>-0.78292021128675426</v>
      </c>
      <c r="E495" s="307">
        <f t="shared" ca="1" si="212"/>
        <v>-3.440075982261626</v>
      </c>
      <c r="F495" s="304">
        <f t="shared" ca="1" si="213"/>
        <v>3.5280429165437579</v>
      </c>
      <c r="G495" s="306">
        <f t="shared" ca="1" si="214"/>
        <v>13.490403093940722</v>
      </c>
      <c r="H495" s="307">
        <f t="shared" ca="1" si="215"/>
        <v>-110.74038727629951</v>
      </c>
      <c r="I495" s="304">
        <f t="shared" ca="1" si="216"/>
        <v>111.55906215875878</v>
      </c>
      <c r="J495" s="306">
        <f t="shared" ca="1" si="217"/>
        <v>729.07024207185509</v>
      </c>
      <c r="K495" s="307">
        <f t="shared" ca="1" si="218"/>
        <v>384.35709469843147</v>
      </c>
      <c r="L495" s="304">
        <f t="shared" ca="1" si="203"/>
        <v>824.1806805062422</v>
      </c>
      <c r="M495" s="306">
        <f t="shared" ca="1" si="219"/>
        <v>-1.4495735437480266</v>
      </c>
      <c r="N495" s="304">
        <f t="shared" ca="1" si="220"/>
        <v>-83.054446150584326</v>
      </c>
      <c r="P495" s="310">
        <f t="shared" ca="1" si="221"/>
        <v>23</v>
      </c>
      <c r="Q495" s="304">
        <f t="shared" ca="1" si="222"/>
        <v>0</v>
      </c>
      <c r="R495" s="306">
        <f t="shared" ca="1" si="223"/>
        <v>0</v>
      </c>
      <c r="S495" s="307">
        <f t="shared" ca="1" si="224"/>
        <v>7.4499999999999984</v>
      </c>
      <c r="T495" s="304">
        <f t="shared" ca="1" si="204"/>
        <v>73.084499999999991</v>
      </c>
      <c r="U495" s="311">
        <f t="shared" ca="1" si="205"/>
        <v>0</v>
      </c>
      <c r="V495" s="306">
        <f t="shared" ca="1" si="206"/>
        <v>1.1788040430887041</v>
      </c>
      <c r="W495" s="304">
        <f t="shared" ca="1" si="207"/>
        <v>48.152087778058672</v>
      </c>
      <c r="Y495" s="314" t="str">
        <f t="shared" ca="1" si="225"/>
        <v/>
      </c>
      <c r="Z495" s="315" t="str">
        <f t="shared" ca="1" si="226"/>
        <v/>
      </c>
      <c r="AA495" s="316" t="str">
        <f t="shared" ca="1" si="227"/>
        <v/>
      </c>
      <c r="AC495" s="310" t="e">
        <f t="shared" ca="1" si="228"/>
        <v>#N/A</v>
      </c>
      <c r="AD495" s="323" t="e">
        <f t="shared" ca="1" si="229"/>
        <v>#N/A</v>
      </c>
      <c r="AE495" s="324" t="e">
        <f t="shared" ca="1" si="208"/>
        <v>#N/A</v>
      </c>
      <c r="AG495" s="306">
        <f t="shared" ca="1" si="230"/>
        <v>3.3188736685744908</v>
      </c>
      <c r="AH495" s="304">
        <f t="shared" ca="1" si="231"/>
        <v>-6.4178575902711872</v>
      </c>
    </row>
    <row r="496" spans="1:34" x14ac:dyDescent="0.2">
      <c r="A496" s="347">
        <f t="shared" ca="1" si="209"/>
        <v>0.1</v>
      </c>
      <c r="B496" s="304">
        <f t="shared" ca="1" si="210"/>
        <v>31.200000000000177</v>
      </c>
      <c r="D496" s="306">
        <f t="shared" ca="1" si="211"/>
        <v>-0.78158986868902713</v>
      </c>
      <c r="E496" s="307">
        <f t="shared" ca="1" si="212"/>
        <v>-3.3940638602762796</v>
      </c>
      <c r="F496" s="304">
        <f t="shared" ca="1" si="213"/>
        <v>3.4828942290099554</v>
      </c>
      <c r="G496" s="306">
        <f t="shared" ca="1" si="214"/>
        <v>13.412244107071819</v>
      </c>
      <c r="H496" s="307">
        <f t="shared" ca="1" si="215"/>
        <v>-111.07979366232715</v>
      </c>
      <c r="I496" s="304">
        <f t="shared" ca="1" si="216"/>
        <v>111.88658924130657</v>
      </c>
      <c r="J496" s="306">
        <f t="shared" ca="1" si="217"/>
        <v>730.41537443190578</v>
      </c>
      <c r="K496" s="307">
        <f t="shared" ca="1" si="218"/>
        <v>373.26608565150013</v>
      </c>
      <c r="L496" s="304">
        <f t="shared" ca="1" si="203"/>
        <v>820.26470721596581</v>
      </c>
      <c r="M496" s="306">
        <f t="shared" ca="1" si="219"/>
        <v>-1.450633800692622</v>
      </c>
      <c r="N496" s="304">
        <f t="shared" ca="1" si="220"/>
        <v>-83.115194398709079</v>
      </c>
      <c r="P496" s="310">
        <f t="shared" ca="1" si="221"/>
        <v>23</v>
      </c>
      <c r="Q496" s="304">
        <f t="shared" ca="1" si="222"/>
        <v>0</v>
      </c>
      <c r="R496" s="306">
        <f t="shared" ca="1" si="223"/>
        <v>0</v>
      </c>
      <c r="S496" s="307">
        <f t="shared" ca="1" si="224"/>
        <v>7.4499999999999984</v>
      </c>
      <c r="T496" s="304">
        <f t="shared" ca="1" si="204"/>
        <v>73.084499999999991</v>
      </c>
      <c r="U496" s="311">
        <f t="shared" ca="1" si="205"/>
        <v>0</v>
      </c>
      <c r="V496" s="306">
        <f t="shared" ca="1" si="206"/>
        <v>1.1801126507649042</v>
      </c>
      <c r="W496" s="304">
        <f t="shared" ca="1" si="207"/>
        <v>48.489011649103212</v>
      </c>
      <c r="Y496" s="314" t="str">
        <f t="shared" ca="1" si="225"/>
        <v/>
      </c>
      <c r="Z496" s="315" t="str">
        <f t="shared" ca="1" si="226"/>
        <v/>
      </c>
      <c r="AA496" s="316" t="str">
        <f t="shared" ca="1" si="227"/>
        <v/>
      </c>
      <c r="AC496" s="310" t="e">
        <f t="shared" ca="1" si="228"/>
        <v>#N/A</v>
      </c>
      <c r="AD496" s="323" t="e">
        <f t="shared" ca="1" si="229"/>
        <v>#N/A</v>
      </c>
      <c r="AE496" s="324" t="e">
        <f t="shared" ca="1" si="208"/>
        <v>#N/A</v>
      </c>
      <c r="AG496" s="306">
        <f t="shared" ca="1" si="230"/>
        <v>3.2746419419056618</v>
      </c>
      <c r="AH496" s="304">
        <f t="shared" ca="1" si="231"/>
        <v>-6.4633674869877424</v>
      </c>
    </row>
    <row r="497" spans="1:34" x14ac:dyDescent="0.2">
      <c r="A497" s="347">
        <f t="shared" ca="1" si="209"/>
        <v>0.1</v>
      </c>
      <c r="B497" s="304">
        <f t="shared" ca="1" si="210"/>
        <v>31.300000000000178</v>
      </c>
      <c r="D497" s="306">
        <f t="shared" ca="1" si="211"/>
        <v>-0.78020813341469808</v>
      </c>
      <c r="E497" s="307">
        <f t="shared" ca="1" si="212"/>
        <v>-3.3483402075363076</v>
      </c>
      <c r="F497" s="304">
        <f t="shared" ca="1" si="213"/>
        <v>3.4380382308593851</v>
      </c>
      <c r="G497" s="306">
        <f t="shared" ca="1" si="214"/>
        <v>13.33422329373035</v>
      </c>
      <c r="H497" s="307">
        <f t="shared" ca="1" si="215"/>
        <v>-111.41462768308078</v>
      </c>
      <c r="I497" s="304">
        <f t="shared" ca="1" si="216"/>
        <v>112.20971781715954</v>
      </c>
      <c r="J497" s="306">
        <f t="shared" ca="1" si="217"/>
        <v>731.75269780194583</v>
      </c>
      <c r="K497" s="307">
        <f t="shared" ca="1" si="218"/>
        <v>362.14136458422973</v>
      </c>
      <c r="L497" s="304">
        <f t="shared" ca="1" si="203"/>
        <v>816.46088619318061</v>
      </c>
      <c r="M497" s="306">
        <f t="shared" ca="1" si="219"/>
        <v>-1.4516818024980027</v>
      </c>
      <c r="N497" s="304">
        <f t="shared" ca="1" si="220"/>
        <v>-83.175240479079477</v>
      </c>
      <c r="P497" s="310">
        <f t="shared" ca="1" si="221"/>
        <v>23</v>
      </c>
      <c r="Q497" s="304">
        <f t="shared" ca="1" si="222"/>
        <v>0</v>
      </c>
      <c r="R497" s="306">
        <f t="shared" ca="1" si="223"/>
        <v>0</v>
      </c>
      <c r="S497" s="307">
        <f t="shared" ca="1" si="224"/>
        <v>7.4499999999999984</v>
      </c>
      <c r="T497" s="304">
        <f t="shared" ca="1" si="204"/>
        <v>73.084499999999991</v>
      </c>
      <c r="U497" s="311">
        <f t="shared" ca="1" si="205"/>
        <v>0</v>
      </c>
      <c r="V497" s="306">
        <f t="shared" ca="1" si="206"/>
        <v>1.1814266681315482</v>
      </c>
      <c r="W497" s="304">
        <f t="shared" ca="1" si="207"/>
        <v>48.823791949752064</v>
      </c>
      <c r="Y497" s="314" t="str">
        <f t="shared" ca="1" si="225"/>
        <v/>
      </c>
      <c r="Z497" s="315" t="str">
        <f t="shared" ca="1" si="226"/>
        <v/>
      </c>
      <c r="AA497" s="316" t="str">
        <f t="shared" ca="1" si="227"/>
        <v/>
      </c>
      <c r="AC497" s="310" t="e">
        <f t="shared" ca="1" si="228"/>
        <v>#N/A</v>
      </c>
      <c r="AD497" s="323" t="e">
        <f t="shared" ca="1" si="229"/>
        <v>#N/A</v>
      </c>
      <c r="AE497" s="324" t="e">
        <f t="shared" ca="1" si="208"/>
        <v>#N/A</v>
      </c>
      <c r="AG497" s="306">
        <f t="shared" ca="1" si="230"/>
        <v>3.2306695545535327</v>
      </c>
      <c r="AH497" s="304">
        <f t="shared" ca="1" si="231"/>
        <v>-6.5085921676648617</v>
      </c>
    </row>
    <row r="498" spans="1:34" x14ac:dyDescent="0.2">
      <c r="A498" s="347">
        <f t="shared" ca="1" si="209"/>
        <v>0.1</v>
      </c>
      <c r="B498" s="304">
        <f t="shared" ca="1" si="210"/>
        <v>31.40000000000018</v>
      </c>
      <c r="D498" s="306">
        <f t="shared" ca="1" si="211"/>
        <v>-0.77877587038166429</v>
      </c>
      <c r="E498" s="307">
        <f t="shared" ca="1" si="212"/>
        <v>-3.3029075555576215</v>
      </c>
      <c r="F498" s="304">
        <f t="shared" ca="1" si="213"/>
        <v>3.3934775933912311</v>
      </c>
      <c r="G498" s="306">
        <f t="shared" ca="1" si="214"/>
        <v>13.256345706692183</v>
      </c>
      <c r="H498" s="307">
        <f t="shared" ca="1" si="215"/>
        <v>-111.74491843863655</v>
      </c>
      <c r="I498" s="304">
        <f t="shared" ca="1" si="216"/>
        <v>112.52847416699859</v>
      </c>
      <c r="J498" s="306">
        <f t="shared" ca="1" si="217"/>
        <v>733.08222625196697</v>
      </c>
      <c r="K498" s="307">
        <f t="shared" ca="1" si="218"/>
        <v>350.98338727814388</v>
      </c>
      <c r="L498" s="304">
        <f t="shared" ca="1" si="203"/>
        <v>812.77234733459011</v>
      </c>
      <c r="M498" s="306">
        <f t="shared" ca="1" si="219"/>
        <v>-1.4527177646956957</v>
      </c>
      <c r="N498" s="304">
        <f t="shared" ca="1" si="220"/>
        <v>-83.23459674074239</v>
      </c>
      <c r="P498" s="310">
        <f t="shared" ca="1" si="221"/>
        <v>23</v>
      </c>
      <c r="Q498" s="304">
        <f t="shared" ca="1" si="222"/>
        <v>0</v>
      </c>
      <c r="R498" s="306">
        <f t="shared" ca="1" si="223"/>
        <v>0</v>
      </c>
      <c r="S498" s="307">
        <f t="shared" ca="1" si="224"/>
        <v>7.4499999999999984</v>
      </c>
      <c r="T498" s="304">
        <f t="shared" ca="1" si="204"/>
        <v>73.084499999999991</v>
      </c>
      <c r="U498" s="311">
        <f t="shared" ca="1" si="205"/>
        <v>0</v>
      </c>
      <c r="V498" s="306">
        <f t="shared" ca="1" si="206"/>
        <v>1.1827460566662837</v>
      </c>
      <c r="W498" s="304">
        <f t="shared" ca="1" si="207"/>
        <v>49.156410796171137</v>
      </c>
      <c r="Y498" s="314" t="str">
        <f t="shared" ca="1" si="225"/>
        <v/>
      </c>
      <c r="Z498" s="315" t="str">
        <f t="shared" ca="1" si="226"/>
        <v/>
      </c>
      <c r="AA498" s="316" t="str">
        <f t="shared" ca="1" si="227"/>
        <v/>
      </c>
      <c r="AC498" s="310" t="e">
        <f t="shared" ca="1" si="228"/>
        <v>#N/A</v>
      </c>
      <c r="AD498" s="323" t="e">
        <f t="shared" ca="1" si="229"/>
        <v>#N/A</v>
      </c>
      <c r="AE498" s="324" t="e">
        <f t="shared" ca="1" si="208"/>
        <v>#N/A</v>
      </c>
      <c r="AG498" s="306">
        <f t="shared" ca="1" si="230"/>
        <v>3.1869596607074069</v>
      </c>
      <c r="AH498" s="304">
        <f t="shared" ca="1" si="231"/>
        <v>-6.5535291207720903</v>
      </c>
    </row>
    <row r="499" spans="1:34" x14ac:dyDescent="0.2">
      <c r="A499" s="347">
        <f t="shared" ca="1" si="209"/>
        <v>0.1</v>
      </c>
      <c r="B499" s="304">
        <f t="shared" ca="1" si="210"/>
        <v>31.500000000000181</v>
      </c>
      <c r="D499" s="306">
        <f t="shared" ca="1" si="211"/>
        <v>-0.77729394287555398</v>
      </c>
      <c r="E499" s="307">
        <f t="shared" ca="1" si="212"/>
        <v>-3.2577683238430986</v>
      </c>
      <c r="F499" s="304">
        <f t="shared" ca="1" si="213"/>
        <v>3.349214881948678</v>
      </c>
      <c r="G499" s="306">
        <f t="shared" ca="1" si="214"/>
        <v>13.178616312404628</v>
      </c>
      <c r="H499" s="307">
        <f t="shared" ca="1" si="215"/>
        <v>-112.07069527102085</v>
      </c>
      <c r="I499" s="304">
        <f t="shared" ca="1" si="216"/>
        <v>112.84288487290456</v>
      </c>
      <c r="J499" s="306">
        <f t="shared" ca="1" si="217"/>
        <v>734.40397435292186</v>
      </c>
      <c r="K499" s="307">
        <f t="shared" ca="1" si="218"/>
        <v>339.792606592661</v>
      </c>
      <c r="L499" s="304">
        <f t="shared" ca="1" si="203"/>
        <v>809.20220775798794</v>
      </c>
      <c r="M499" s="306">
        <f t="shared" ca="1" si="219"/>
        <v>-1.4537418975392513</v>
      </c>
      <c r="N499" s="304">
        <f t="shared" ca="1" si="220"/>
        <v>-83.29327523033885</v>
      </c>
      <c r="P499" s="310">
        <f t="shared" ca="1" si="221"/>
        <v>23</v>
      </c>
      <c r="Q499" s="304">
        <f t="shared" ca="1" si="222"/>
        <v>0</v>
      </c>
      <c r="R499" s="306">
        <f t="shared" ca="1" si="223"/>
        <v>0</v>
      </c>
      <c r="S499" s="307">
        <f t="shared" ca="1" si="224"/>
        <v>7.4499999999999984</v>
      </c>
      <c r="T499" s="304">
        <f t="shared" ca="1" si="204"/>
        <v>73.084499999999991</v>
      </c>
      <c r="U499" s="311">
        <f t="shared" ca="1" si="205"/>
        <v>0</v>
      </c>
      <c r="V499" s="306">
        <f t="shared" ca="1" si="206"/>
        <v>1.1840707780431257</v>
      </c>
      <c r="W499" s="304">
        <f t="shared" ca="1" si="207"/>
        <v>49.48685112149581</v>
      </c>
      <c r="Y499" s="314" t="str">
        <f t="shared" ca="1" si="225"/>
        <v/>
      </c>
      <c r="Z499" s="315" t="str">
        <f t="shared" ca="1" si="226"/>
        <v/>
      </c>
      <c r="AA499" s="316" t="str">
        <f t="shared" ca="1" si="227"/>
        <v/>
      </c>
      <c r="AC499" s="310" t="e">
        <f t="shared" ca="1" si="228"/>
        <v>#N/A</v>
      </c>
      <c r="AD499" s="323" t="e">
        <f t="shared" ca="1" si="229"/>
        <v>#N/A</v>
      </c>
      <c r="AE499" s="324" t="e">
        <f t="shared" ca="1" si="208"/>
        <v>#N/A</v>
      </c>
      <c r="AG499" s="306">
        <f t="shared" ca="1" si="230"/>
        <v>3.1435152838950087</v>
      </c>
      <c r="AH499" s="304">
        <f t="shared" ca="1" si="231"/>
        <v>-6.5981759457947851</v>
      </c>
    </row>
    <row r="500" spans="1:34" x14ac:dyDescent="0.2">
      <c r="A500" s="347">
        <f t="shared" ca="1" si="209"/>
        <v>0.1</v>
      </c>
      <c r="B500" s="304">
        <f t="shared" ca="1" si="210"/>
        <v>31.600000000000183</v>
      </c>
      <c r="D500" s="306">
        <f t="shared" ca="1" si="211"/>
        <v>-0.77576321227081879</v>
      </c>
      <c r="E500" s="307">
        <f t="shared" ca="1" si="212"/>
        <v>-3.2129248212472117</v>
      </c>
      <c r="F500" s="304">
        <f t="shared" ca="1" si="213"/>
        <v>3.3052525574453711</v>
      </c>
      <c r="G500" s="306">
        <f t="shared" ca="1" si="214"/>
        <v>13.101039991177547</v>
      </c>
      <c r="H500" s="307">
        <f t="shared" ca="1" si="215"/>
        <v>-112.39198775314557</v>
      </c>
      <c r="I500" s="304">
        <f t="shared" ca="1" si="216"/>
        <v>113.15297680553374</v>
      </c>
      <c r="J500" s="306">
        <f t="shared" ca="1" si="217"/>
        <v>735.71795716810095</v>
      </c>
      <c r="K500" s="307">
        <f t="shared" ca="1" si="218"/>
        <v>328.56947244145266</v>
      </c>
      <c r="L500" s="304">
        <f t="shared" ca="1" si="203"/>
        <v>805.75356699183044</v>
      </c>
      <c r="M500" s="306">
        <f t="shared" ca="1" si="219"/>
        <v>-1.4547544061637934</v>
      </c>
      <c r="N500" s="304">
        <f t="shared" ca="1" si="220"/>
        <v>-83.35128770124571</v>
      </c>
      <c r="P500" s="310">
        <f t="shared" ca="1" si="221"/>
        <v>23</v>
      </c>
      <c r="Q500" s="304">
        <f t="shared" ca="1" si="222"/>
        <v>0</v>
      </c>
      <c r="R500" s="306">
        <f t="shared" ca="1" si="223"/>
        <v>0</v>
      </c>
      <c r="S500" s="307">
        <f t="shared" ca="1" si="224"/>
        <v>7.4499999999999984</v>
      </c>
      <c r="T500" s="304">
        <f t="shared" ca="1" si="204"/>
        <v>73.084499999999991</v>
      </c>
      <c r="U500" s="311">
        <f t="shared" ca="1" si="205"/>
        <v>0</v>
      </c>
      <c r="V500" s="306">
        <f t="shared" ca="1" si="206"/>
        <v>1.1854007941349314</v>
      </c>
      <c r="W500" s="304">
        <f t="shared" ca="1" si="207"/>
        <v>49.815096665574842</v>
      </c>
      <c r="Y500" s="314" t="str">
        <f t="shared" ca="1" si="225"/>
        <v/>
      </c>
      <c r="Z500" s="315" t="str">
        <f t="shared" ca="1" si="226"/>
        <v/>
      </c>
      <c r="AA500" s="316" t="str">
        <f t="shared" ca="1" si="227"/>
        <v/>
      </c>
      <c r="AC500" s="310" t="e">
        <f t="shared" ca="1" si="228"/>
        <v>#N/A</v>
      </c>
      <c r="AD500" s="323" t="e">
        <f t="shared" ca="1" si="229"/>
        <v>#N/A</v>
      </c>
      <c r="AE500" s="324" t="e">
        <f t="shared" ca="1" si="208"/>
        <v>#N/A</v>
      </c>
      <c r="AG500" s="306">
        <f t="shared" ca="1" si="230"/>
        <v>3.1003393190535569</v>
      </c>
      <c r="AH500" s="304">
        <f t="shared" ca="1" si="231"/>
        <v>-6.6425303518786336</v>
      </c>
    </row>
    <row r="501" spans="1:34" x14ac:dyDescent="0.2">
      <c r="A501" s="347">
        <f t="shared" ca="1" si="209"/>
        <v>0.1</v>
      </c>
      <c r="B501" s="304">
        <f t="shared" ca="1" si="210"/>
        <v>31.700000000000184</v>
      </c>
      <c r="D501" s="306">
        <f t="shared" ca="1" si="211"/>
        <v>-0.77418453775951224</v>
      </c>
      <c r="E501" s="307">
        <f t="shared" ca="1" si="212"/>
        <v>-3.1683792473622638</v>
      </c>
      <c r="F501" s="304">
        <f t="shared" ca="1" si="213"/>
        <v>3.2615929779207238</v>
      </c>
      <c r="G501" s="306">
        <f t="shared" ca="1" si="214"/>
        <v>13.023621537401596</v>
      </c>
      <c r="H501" s="307">
        <f t="shared" ca="1" si="215"/>
        <v>-112.70882567788179</v>
      </c>
      <c r="I501" s="304">
        <f t="shared" ca="1" si="216"/>
        <v>113.45877711149815</v>
      </c>
      <c r="J501" s="306">
        <f t="shared" ca="1" si="217"/>
        <v>737.0241902445299</v>
      </c>
      <c r="K501" s="307">
        <f t="shared" ca="1" si="218"/>
        <v>317.31443176990132</v>
      </c>
      <c r="L501" s="304">
        <f t="shared" ca="1" si="203"/>
        <v>802.42950195955564</v>
      </c>
      <c r="M501" s="306">
        <f t="shared" ca="1" si="219"/>
        <v>-1.4557554907398942</v>
      </c>
      <c r="N501" s="304">
        <f t="shared" ca="1" si="220"/>
        <v>-83.40864562239193</v>
      </c>
      <c r="P501" s="310">
        <f t="shared" ca="1" si="221"/>
        <v>23</v>
      </c>
      <c r="Q501" s="304">
        <f t="shared" ca="1" si="222"/>
        <v>0</v>
      </c>
      <c r="R501" s="306">
        <f t="shared" ca="1" si="223"/>
        <v>0</v>
      </c>
      <c r="S501" s="307">
        <f t="shared" ca="1" si="224"/>
        <v>7.4499999999999984</v>
      </c>
      <c r="T501" s="304">
        <f t="shared" ca="1" si="204"/>
        <v>73.084499999999991</v>
      </c>
      <c r="U501" s="311">
        <f t="shared" ca="1" si="205"/>
        <v>0</v>
      </c>
      <c r="V501" s="306">
        <f t="shared" ca="1" si="206"/>
        <v>1.1867360670157956</v>
      </c>
      <c r="W501" s="304">
        <f t="shared" ca="1" si="207"/>
        <v>50.141131964566092</v>
      </c>
      <c r="Y501" s="314" t="str">
        <f t="shared" ca="1" si="225"/>
        <v/>
      </c>
      <c r="Z501" s="315" t="str">
        <f t="shared" ca="1" si="226"/>
        <v/>
      </c>
      <c r="AA501" s="316" t="str">
        <f t="shared" ca="1" si="227"/>
        <v/>
      </c>
      <c r="AC501" s="310" t="e">
        <f t="shared" ca="1" si="228"/>
        <v>#N/A</v>
      </c>
      <c r="AD501" s="323" t="e">
        <f t="shared" ca="1" si="229"/>
        <v>#N/A</v>
      </c>
      <c r="AE501" s="324" t="e">
        <f t="shared" ca="1" si="208"/>
        <v>#N/A</v>
      </c>
      <c r="AG501" s="306">
        <f t="shared" ca="1" si="230"/>
        <v>3.0574345345919571</v>
      </c>
      <c r="AH501" s="304">
        <f t="shared" ca="1" si="231"/>
        <v>-6.6865901564530006</v>
      </c>
    </row>
    <row r="502" spans="1:34" x14ac:dyDescent="0.2">
      <c r="A502" s="347">
        <f t="shared" ca="1" si="209"/>
        <v>0.1</v>
      </c>
      <c r="B502" s="304">
        <f t="shared" ca="1" si="210"/>
        <v>31.800000000000185</v>
      </c>
      <c r="D502" s="306">
        <f t="shared" ca="1" si="211"/>
        <v>-0.77255877608770618</v>
      </c>
      <c r="E502" s="307">
        <f t="shared" ca="1" si="212"/>
        <v>-3.1241336939249198</v>
      </c>
      <c r="F502" s="304">
        <f t="shared" ca="1" si="213"/>
        <v>3.2182384001231323</v>
      </c>
      <c r="G502" s="306">
        <f t="shared" ca="1" si="214"/>
        <v>12.946365659792825</v>
      </c>
      <c r="H502" s="307">
        <f t="shared" ca="1" si="215"/>
        <v>-113.02123904727428</v>
      </c>
      <c r="I502" s="304">
        <f t="shared" ca="1" si="216"/>
        <v>113.76031320094974</v>
      </c>
      <c r="J502" s="306">
        <f t="shared" ca="1" si="217"/>
        <v>738.32268960438967</v>
      </c>
      <c r="K502" s="307">
        <f t="shared" ca="1" si="218"/>
        <v>306.02792853364349</v>
      </c>
      <c r="L502" s="304">
        <f t="shared" ca="1" si="203"/>
        <v>799.23306177062818</v>
      </c>
      <c r="M502" s="306">
        <f t="shared" ca="1" si="219"/>
        <v>-1.4567453466220082</v>
      </c>
      <c r="N502" s="304">
        <f t="shared" ca="1" si="220"/>
        <v>-83.465360186763263</v>
      </c>
      <c r="P502" s="310">
        <f t="shared" ca="1" si="221"/>
        <v>23</v>
      </c>
      <c r="Q502" s="304">
        <f t="shared" ca="1" si="222"/>
        <v>0</v>
      </c>
      <c r="R502" s="306">
        <f t="shared" ca="1" si="223"/>
        <v>0</v>
      </c>
      <c r="S502" s="307">
        <f t="shared" ca="1" si="224"/>
        <v>7.4499999999999984</v>
      </c>
      <c r="T502" s="304">
        <f t="shared" ca="1" si="204"/>
        <v>73.084499999999991</v>
      </c>
      <c r="U502" s="311">
        <f t="shared" ca="1" si="205"/>
        <v>0</v>
      </c>
      <c r="V502" s="306">
        <f t="shared" ca="1" si="206"/>
        <v>1.1880765589633675</v>
      </c>
      <c r="W502" s="304">
        <f t="shared" ca="1" si="207"/>
        <v>50.464942340394678</v>
      </c>
      <c r="Y502" s="314" t="str">
        <f t="shared" ca="1" si="225"/>
        <v/>
      </c>
      <c r="Z502" s="315" t="str">
        <f t="shared" ca="1" si="226"/>
        <v/>
      </c>
      <c r="AA502" s="316" t="str">
        <f t="shared" ca="1" si="227"/>
        <v/>
      </c>
      <c r="AC502" s="310" t="e">
        <f t="shared" ca="1" si="228"/>
        <v>#N/A</v>
      </c>
      <c r="AD502" s="323" t="e">
        <f t="shared" ca="1" si="229"/>
        <v>#N/A</v>
      </c>
      <c r="AE502" s="324" t="e">
        <f t="shared" ca="1" si="208"/>
        <v>#N/A</v>
      </c>
      <c r="AG502" s="306">
        <f t="shared" ca="1" si="230"/>
        <v>3.0148035744442359</v>
      </c>
      <c r="AH502" s="304">
        <f t="shared" ca="1" si="231"/>
        <v>-6.7303532838343765</v>
      </c>
    </row>
    <row r="503" spans="1:34" x14ac:dyDescent="0.2">
      <c r="A503" s="347">
        <f t="shared" ca="1" si="209"/>
        <v>0.1</v>
      </c>
      <c r="B503" s="304">
        <f t="shared" ca="1" si="210"/>
        <v>31.900000000000187</v>
      </c>
      <c r="D503" s="306">
        <f t="shared" ca="1" si="211"/>
        <v>-0.77088678129949051</v>
      </c>
      <c r="E503" s="307">
        <f t="shared" ca="1" si="212"/>
        <v>-3.0801901462415646</v>
      </c>
      <c r="F503" s="304">
        <f t="shared" ca="1" si="213"/>
        <v>3.175190981120021</v>
      </c>
      <c r="G503" s="306">
        <f t="shared" ca="1" si="214"/>
        <v>12.869276981662876</v>
      </c>
      <c r="H503" s="307">
        <f t="shared" ca="1" si="215"/>
        <v>-113.32925806189843</v>
      </c>
      <c r="I503" s="304">
        <f t="shared" ca="1" si="216"/>
        <v>114.05761273536777</v>
      </c>
      <c r="J503" s="306">
        <f t="shared" ca="1" si="217"/>
        <v>739.61347173646243</v>
      </c>
      <c r="K503" s="307">
        <f t="shared" ca="1" si="218"/>
        <v>294.71040367818483</v>
      </c>
      <c r="L503" s="304">
        <f t="shared" ca="1" si="203"/>
        <v>796.16726233262159</v>
      </c>
      <c r="M503" s="306">
        <f t="shared" ca="1" si="219"/>
        <v>-1.457724164491687</v>
      </c>
      <c r="N503" s="304">
        <f t="shared" ca="1" si="220"/>
        <v>-83.521442319607843</v>
      </c>
      <c r="P503" s="310">
        <f t="shared" ca="1" si="221"/>
        <v>23</v>
      </c>
      <c r="Q503" s="304">
        <f t="shared" ca="1" si="222"/>
        <v>0</v>
      </c>
      <c r="R503" s="306">
        <f t="shared" ca="1" si="223"/>
        <v>0</v>
      </c>
      <c r="S503" s="307">
        <f t="shared" ca="1" si="224"/>
        <v>7.4499999999999984</v>
      </c>
      <c r="T503" s="304">
        <f t="shared" ca="1" si="204"/>
        <v>73.084499999999991</v>
      </c>
      <c r="U503" s="311">
        <f t="shared" ca="1" si="205"/>
        <v>0</v>
      </c>
      <c r="V503" s="306">
        <f t="shared" ca="1" si="206"/>
        <v>1.1894222324610904</v>
      </c>
      <c r="W503" s="304">
        <f t="shared" ca="1" si="207"/>
        <v>50.786513890083384</v>
      </c>
      <c r="Y503" s="314" t="str">
        <f t="shared" ca="1" si="225"/>
        <v/>
      </c>
      <c r="Z503" s="315" t="str">
        <f t="shared" ca="1" si="226"/>
        <v/>
      </c>
      <c r="AA503" s="316" t="str">
        <f t="shared" ca="1" si="227"/>
        <v/>
      </c>
      <c r="AC503" s="310" t="e">
        <f t="shared" ca="1" si="228"/>
        <v>#N/A</v>
      </c>
      <c r="AD503" s="323" t="e">
        <f t="shared" ca="1" si="229"/>
        <v>#N/A</v>
      </c>
      <c r="AE503" s="324" t="e">
        <f t="shared" ca="1" si="208"/>
        <v>#N/A</v>
      </c>
      <c r="AG503" s="306">
        <f t="shared" ca="1" si="230"/>
        <v>2.9724489601141482</v>
      </c>
      <c r="AH503" s="304">
        <f t="shared" ca="1" si="231"/>
        <v>-6.7738177638113672</v>
      </c>
    </row>
    <row r="504" spans="1:34" x14ac:dyDescent="0.2">
      <c r="A504" s="347">
        <f t="shared" ca="1" si="209"/>
        <v>0.1</v>
      </c>
      <c r="B504" s="304">
        <f t="shared" ca="1" si="210"/>
        <v>32.000000000000185</v>
      </c>
      <c r="D504" s="306">
        <f t="shared" ca="1" si="211"/>
        <v>-0.76916940448847992</v>
      </c>
      <c r="E504" s="307">
        <f t="shared" ca="1" si="212"/>
        <v>-3.0365504846311628</v>
      </c>
      <c r="F504" s="304">
        <f t="shared" ca="1" si="213"/>
        <v>3.1324527799337876</v>
      </c>
      <c r="G504" s="306">
        <f t="shared" ca="1" si="214"/>
        <v>12.792360041214028</v>
      </c>
      <c r="H504" s="307">
        <f t="shared" ca="1" si="215"/>
        <v>-113.63291311036154</v>
      </c>
      <c r="I504" s="304">
        <f t="shared" ca="1" si="216"/>
        <v>114.35070361554854</v>
      </c>
      <c r="J504" s="306">
        <f t="shared" ca="1" si="217"/>
        <v>740.89655358760626</v>
      </c>
      <c r="K504" s="307">
        <f t="shared" ca="1" si="218"/>
        <v>283.36229511957185</v>
      </c>
      <c r="L504" s="304">
        <f t="shared" ca="1" si="203"/>
        <v>793.23508080103466</v>
      </c>
      <c r="M504" s="306">
        <f t="shared" ca="1" si="219"/>
        <v>-1.4586921304957827</v>
      </c>
      <c r="N504" s="304">
        <f t="shared" ca="1" si="220"/>
        <v>-83.576902686354671</v>
      </c>
      <c r="P504" s="310">
        <f t="shared" ca="1" si="221"/>
        <v>23</v>
      </c>
      <c r="Q504" s="304">
        <f t="shared" ca="1" si="222"/>
        <v>0</v>
      </c>
      <c r="R504" s="306">
        <f t="shared" ca="1" si="223"/>
        <v>0</v>
      </c>
      <c r="S504" s="307">
        <f t="shared" ca="1" si="224"/>
        <v>7.4499999999999984</v>
      </c>
      <c r="T504" s="304">
        <f t="shared" ca="1" si="204"/>
        <v>73.084499999999991</v>
      </c>
      <c r="U504" s="311">
        <f t="shared" ca="1" si="205"/>
        <v>0</v>
      </c>
      <c r="V504" s="306">
        <f t="shared" ca="1" si="206"/>
        <v>1.1907730502003608</v>
      </c>
      <c r="W504" s="304">
        <f t="shared" ca="1" si="207"/>
        <v>51.105833474964854</v>
      </c>
      <c r="Y504" s="314" t="str">
        <f t="shared" ca="1" si="225"/>
        <v/>
      </c>
      <c r="Z504" s="315" t="str">
        <f t="shared" ca="1" si="226"/>
        <v/>
      </c>
      <c r="AA504" s="316" t="str">
        <f t="shared" ca="1" si="227"/>
        <v/>
      </c>
      <c r="AC504" s="310">
        <f t="shared" ca="1" si="228"/>
        <v>32.000000000000185</v>
      </c>
      <c r="AD504" s="323">
        <f t="shared" ca="1" si="229"/>
        <v>740.89655358760626</v>
      </c>
      <c r="AE504" s="324" t="e">
        <f t="shared" ca="1" si="208"/>
        <v>#N/A</v>
      </c>
      <c r="AG504" s="306">
        <f t="shared" ca="1" si="230"/>
        <v>2.9303730927109282</v>
      </c>
      <c r="AH504" s="304">
        <f t="shared" ca="1" si="231"/>
        <v>-6.816981730212536</v>
      </c>
    </row>
    <row r="505" spans="1:34" x14ac:dyDescent="0.2">
      <c r="A505" s="347">
        <f t="shared" ca="1" si="209"/>
        <v>0.1</v>
      </c>
      <c r="B505" s="304">
        <f t="shared" ca="1" si="210"/>
        <v>32.100000000000186</v>
      </c>
      <c r="D505" s="306">
        <f t="shared" ca="1" si="211"/>
        <v>-0.76740749355679705</v>
      </c>
      <c r="E505" s="307">
        <f t="shared" ca="1" si="212"/>
        <v>-2.9932164858843304</v>
      </c>
      <c r="F505" s="304">
        <f t="shared" ca="1" si="213"/>
        <v>3.090025759202804</v>
      </c>
      <c r="G505" s="306">
        <f t="shared" ca="1" si="214"/>
        <v>12.715619291858349</v>
      </c>
      <c r="H505" s="307">
        <f t="shared" ca="1" si="215"/>
        <v>-113.93223475894997</v>
      </c>
      <c r="I505" s="304">
        <f t="shared" ca="1" si="216"/>
        <v>114.63961396979654</v>
      </c>
      <c r="J505" s="306">
        <f t="shared" ca="1" si="217"/>
        <v>742.17195255425986</v>
      </c>
      <c r="K505" s="307">
        <f t="shared" ca="1" si="218"/>
        <v>271.98403772610629</v>
      </c>
      <c r="L505" s="304">
        <f t="shared" ca="1" si="203"/>
        <v>790.43944988594706</v>
      </c>
      <c r="M505" s="306">
        <f t="shared" ca="1" si="219"/>
        <v>-1.4596494263798461</v>
      </c>
      <c r="N505" s="304">
        <f t="shared" ca="1" si="220"/>
        <v>-83.631751700256743</v>
      </c>
      <c r="P505" s="310">
        <f t="shared" ca="1" si="221"/>
        <v>23</v>
      </c>
      <c r="Q505" s="304">
        <f t="shared" ca="1" si="222"/>
        <v>0</v>
      </c>
      <c r="R505" s="306">
        <f t="shared" ca="1" si="223"/>
        <v>0</v>
      </c>
      <c r="S505" s="307">
        <f t="shared" ca="1" si="224"/>
        <v>7.4499999999999984</v>
      </c>
      <c r="T505" s="304">
        <f t="shared" ca="1" si="204"/>
        <v>73.084499999999991</v>
      </c>
      <c r="U505" s="311">
        <f t="shared" ca="1" si="205"/>
        <v>0</v>
      </c>
      <c r="V505" s="306">
        <f t="shared" ca="1" si="206"/>
        <v>1.1921289750826134</v>
      </c>
      <c r="W505" s="304">
        <f t="shared" ca="1" si="207"/>
        <v>51.422888709785369</v>
      </c>
      <c r="Y505" s="314" t="str">
        <f t="shared" ca="1" si="225"/>
        <v/>
      </c>
      <c r="Z505" s="315" t="str">
        <f t="shared" ca="1" si="226"/>
        <v/>
      </c>
      <c r="AA505" s="316" t="str">
        <f t="shared" ca="1" si="227"/>
        <v/>
      </c>
      <c r="AC505" s="310" t="e">
        <f t="shared" ca="1" si="228"/>
        <v>#N/A</v>
      </c>
      <c r="AD505" s="323" t="e">
        <f t="shared" ca="1" si="229"/>
        <v>#N/A</v>
      </c>
      <c r="AE505" s="324" t="e">
        <f t="shared" ca="1" si="208"/>
        <v>#N/A</v>
      </c>
      <c r="AG505" s="306">
        <f t="shared" ca="1" si="230"/>
        <v>2.8885782549761112</v>
      </c>
      <c r="AH505" s="304">
        <f t="shared" ca="1" si="231"/>
        <v>-6.8598434194583708</v>
      </c>
    </row>
    <row r="506" spans="1:34" x14ac:dyDescent="0.2">
      <c r="A506" s="347">
        <f t="shared" ca="1" si="209"/>
        <v>0.1</v>
      </c>
      <c r="B506" s="304">
        <f t="shared" ca="1" si="210"/>
        <v>32.200000000000188</v>
      </c>
      <c r="D506" s="306">
        <f t="shared" ca="1" si="211"/>
        <v>-0.76560189298143411</v>
      </c>
      <c r="E506" s="307">
        <f t="shared" ca="1" si="212"/>
        <v>-2.9501898247372429</v>
      </c>
      <c r="F506" s="304">
        <f t="shared" ca="1" si="213"/>
        <v>3.0479117868665293</v>
      </c>
      <c r="G506" s="306">
        <f t="shared" ca="1" si="214"/>
        <v>12.639059102560205</v>
      </c>
      <c r="H506" s="307">
        <f t="shared" ca="1" si="215"/>
        <v>-114.2272537414237</v>
      </c>
      <c r="I506" s="304">
        <f t="shared" ca="1" si="216"/>
        <v>114.92437214231629</v>
      </c>
      <c r="J506" s="306">
        <f t="shared" ca="1" si="217"/>
        <v>743.43968647398083</v>
      </c>
      <c r="K506" s="307">
        <f t="shared" ca="1" si="218"/>
        <v>260.57606330108763</v>
      </c>
      <c r="L506" s="304">
        <f t="shared" ca="1" si="203"/>
        <v>787.78325203702013</v>
      </c>
      <c r="M506" s="306">
        <f t="shared" ca="1" si="219"/>
        <v>-1.4605962296169066</v>
      </c>
      <c r="N506" s="304">
        <f t="shared" ca="1" si="220"/>
        <v>-83.685999529769646</v>
      </c>
      <c r="P506" s="310">
        <f t="shared" ca="1" si="221"/>
        <v>23</v>
      </c>
      <c r="Q506" s="304">
        <f t="shared" ca="1" si="222"/>
        <v>0</v>
      </c>
      <c r="R506" s="306">
        <f t="shared" ca="1" si="223"/>
        <v>0</v>
      </c>
      <c r="S506" s="307">
        <f t="shared" ca="1" si="224"/>
        <v>7.4499999999999984</v>
      </c>
      <c r="T506" s="304">
        <f t="shared" ca="1" si="204"/>
        <v>73.084499999999991</v>
      </c>
      <c r="U506" s="311">
        <f t="shared" ca="1" si="205"/>
        <v>0</v>
      </c>
      <c r="V506" s="306">
        <f t="shared" ca="1" si="206"/>
        <v>1.1934899702213284</v>
      </c>
      <c r="W506" s="304">
        <f t="shared" ca="1" si="207"/>
        <v>51.737667951709703</v>
      </c>
      <c r="Y506" s="314" t="str">
        <f t="shared" ca="1" si="225"/>
        <v/>
      </c>
      <c r="Z506" s="315" t="str">
        <f t="shared" ca="1" si="226"/>
        <v/>
      </c>
      <c r="AA506" s="316" t="str">
        <f t="shared" ca="1" si="227"/>
        <v/>
      </c>
      <c r="AC506" s="310" t="e">
        <f t="shared" ca="1" si="228"/>
        <v>#N/A</v>
      </c>
      <c r="AD506" s="323" t="e">
        <f t="shared" ca="1" si="229"/>
        <v>#N/A</v>
      </c>
      <c r="AE506" s="324" t="e">
        <f t="shared" ca="1" si="208"/>
        <v>#N/A</v>
      </c>
      <c r="AG506" s="306">
        <f t="shared" ca="1" si="230"/>
        <v>2.8470666133012488</v>
      </c>
      <c r="AH506" s="304">
        <f t="shared" ca="1" si="231"/>
        <v>-6.9024011690987086</v>
      </c>
    </row>
    <row r="507" spans="1:34" x14ac:dyDescent="0.2">
      <c r="A507" s="347">
        <f t="shared" ca="1" si="209"/>
        <v>0.1</v>
      </c>
      <c r="B507" s="304">
        <f t="shared" ca="1" si="210"/>
        <v>32.300000000000189</v>
      </c>
      <c r="D507" s="306">
        <f t="shared" ca="1" si="211"/>
        <v>-0.76375344358796071</v>
      </c>
      <c r="E507" s="307">
        <f t="shared" ca="1" si="212"/>
        <v>-2.9074720753591343</v>
      </c>
      <c r="F507" s="304">
        <f t="shared" ca="1" si="213"/>
        <v>3.0061126378739735</v>
      </c>
      <c r="G507" s="306">
        <f t="shared" ca="1" si="214"/>
        <v>12.562683758201409</v>
      </c>
      <c r="H507" s="307">
        <f t="shared" ca="1" si="215"/>
        <v>-114.51800094895961</v>
      </c>
      <c r="I507" s="304">
        <f t="shared" ca="1" si="216"/>
        <v>115.20500668180394</v>
      </c>
      <c r="J507" s="306">
        <f t="shared" ca="1" si="217"/>
        <v>744.69977361701888</v>
      </c>
      <c r="K507" s="307">
        <f t="shared" ca="1" si="218"/>
        <v>249.13880056656848</v>
      </c>
      <c r="L507" s="304">
        <f t="shared" ca="1" si="203"/>
        <v>785.26931353070688</v>
      </c>
      <c r="M507" s="306">
        <f t="shared" ca="1" si="219"/>
        <v>-1.4615327135318241</v>
      </c>
      <c r="N507" s="304">
        <f t="shared" ca="1" si="220"/>
        <v>-83.739656105676303</v>
      </c>
      <c r="P507" s="310">
        <f t="shared" ca="1" si="221"/>
        <v>23</v>
      </c>
      <c r="Q507" s="304">
        <f t="shared" ca="1" si="222"/>
        <v>0</v>
      </c>
      <c r="R507" s="306">
        <f t="shared" ca="1" si="223"/>
        <v>0</v>
      </c>
      <c r="S507" s="307">
        <f t="shared" ca="1" si="224"/>
        <v>7.4499999999999984</v>
      </c>
      <c r="T507" s="304">
        <f t="shared" ca="1" si="204"/>
        <v>73.084499999999991</v>
      </c>
      <c r="U507" s="311">
        <f t="shared" ca="1" si="205"/>
        <v>0</v>
      </c>
      <c r="V507" s="306">
        <f t="shared" ca="1" si="206"/>
        <v>1.1948559989439642</v>
      </c>
      <c r="W507" s="304">
        <f t="shared" ca="1" si="207"/>
        <v>52.05016028923594</v>
      </c>
      <c r="Y507" s="314" t="str">
        <f t="shared" ca="1" si="225"/>
        <v/>
      </c>
      <c r="Z507" s="315" t="str">
        <f t="shared" ca="1" si="226"/>
        <v/>
      </c>
      <c r="AA507" s="316" t="str">
        <f t="shared" ca="1" si="227"/>
        <v/>
      </c>
      <c r="AC507" s="310" t="e">
        <f t="shared" ca="1" si="228"/>
        <v>#N/A</v>
      </c>
      <c r="AD507" s="323" t="e">
        <f t="shared" ca="1" si="229"/>
        <v>#N/A</v>
      </c>
      <c r="AE507" s="324" t="e">
        <f t="shared" ca="1" si="208"/>
        <v>#N/A</v>
      </c>
      <c r="AG507" s="306">
        <f t="shared" ca="1" si="230"/>
        <v>2.8058402197363561</v>
      </c>
      <c r="AH507" s="304">
        <f t="shared" ca="1" si="231"/>
        <v>-6.9446534163368741</v>
      </c>
    </row>
    <row r="508" spans="1:34" x14ac:dyDescent="0.2">
      <c r="A508" s="347">
        <f t="shared" ca="1" si="209"/>
        <v>0.1</v>
      </c>
      <c r="B508" s="304">
        <f t="shared" ca="1" si="210"/>
        <v>32.40000000000019</v>
      </c>
      <c r="D508" s="306">
        <f t="shared" ca="1" si="211"/>
        <v>-0.76186298233147021</v>
      </c>
      <c r="E508" s="307">
        <f t="shared" ca="1" si="212"/>
        <v>-2.865064712852126</v>
      </c>
      <c r="F508" s="304">
        <f t="shared" ca="1" si="213"/>
        <v>2.9646299959147413</v>
      </c>
      <c r="G508" s="306">
        <f t="shared" ca="1" si="214"/>
        <v>12.486497459968263</v>
      </c>
      <c r="H508" s="307">
        <f t="shared" ca="1" si="215"/>
        <v>-114.80450742024482</v>
      </c>
      <c r="I508" s="304">
        <f t="shared" ca="1" si="216"/>
        <v>115.48154633023772</v>
      </c>
      <c r="J508" s="306">
        <f t="shared" ca="1" si="217"/>
        <v>745.95223267792733</v>
      </c>
      <c r="K508" s="307">
        <f t="shared" ca="1" si="218"/>
        <v>237.67267514810825</v>
      </c>
      <c r="L508" s="304">
        <f t="shared" ca="1" si="203"/>
        <v>782.90039848581171</v>
      </c>
      <c r="M508" s="306">
        <f t="shared" ca="1" si="219"/>
        <v>-1.4624590474213823</v>
      </c>
      <c r="N508" s="304">
        <f t="shared" ca="1" si="220"/>
        <v>-83.792731127967926</v>
      </c>
      <c r="P508" s="310">
        <f t="shared" ca="1" si="221"/>
        <v>23</v>
      </c>
      <c r="Q508" s="304">
        <f t="shared" ca="1" si="222"/>
        <v>0</v>
      </c>
      <c r="R508" s="306">
        <f t="shared" ca="1" si="223"/>
        <v>0</v>
      </c>
      <c r="S508" s="307">
        <f t="shared" ca="1" si="224"/>
        <v>7.4499999999999984</v>
      </c>
      <c r="T508" s="304">
        <f t="shared" ca="1" si="204"/>
        <v>73.084499999999991</v>
      </c>
      <c r="U508" s="311">
        <f t="shared" ca="1" si="205"/>
        <v>0</v>
      </c>
      <c r="V508" s="306">
        <f t="shared" ca="1" si="206"/>
        <v>1.1962270247938183</v>
      </c>
      <c r="W508" s="304">
        <f t="shared" ca="1" si="207"/>
        <v>52.360355531029647</v>
      </c>
      <c r="Y508" s="314" t="str">
        <f t="shared" ca="1" si="225"/>
        <v/>
      </c>
      <c r="Z508" s="315" t="str">
        <f t="shared" ca="1" si="226"/>
        <v/>
      </c>
      <c r="AA508" s="316" t="str">
        <f t="shared" ca="1" si="227"/>
        <v/>
      </c>
      <c r="AC508" s="310" t="e">
        <f t="shared" ca="1" si="228"/>
        <v>#N/A</v>
      </c>
      <c r="AD508" s="323" t="e">
        <f t="shared" ca="1" si="229"/>
        <v>#N/A</v>
      </c>
      <c r="AE508" s="324" t="e">
        <f t="shared" ca="1" si="208"/>
        <v>#N/A</v>
      </c>
      <c r="AG508" s="306">
        <f t="shared" ca="1" si="230"/>
        <v>2.7649010139889203</v>
      </c>
      <c r="AH508" s="304">
        <f t="shared" ca="1" si="231"/>
        <v>-6.9865986965417388</v>
      </c>
    </row>
    <row r="509" spans="1:34" x14ac:dyDescent="0.2">
      <c r="A509" s="347">
        <f t="shared" ca="1" si="209"/>
        <v>0.1</v>
      </c>
      <c r="B509" s="304">
        <f t="shared" ca="1" si="210"/>
        <v>32.500000000000192</v>
      </c>
      <c r="D509" s="306">
        <f t="shared" ca="1" si="211"/>
        <v>-0.75993134208472268</v>
      </c>
      <c r="E509" s="307">
        <f t="shared" ca="1" si="212"/>
        <v>-2.8229691147621541</v>
      </c>
      <c r="F509" s="304">
        <f t="shared" ca="1" si="213"/>
        <v>2.9234654551719452</v>
      </c>
      <c r="G509" s="306">
        <f t="shared" ca="1" si="214"/>
        <v>12.41050432575979</v>
      </c>
      <c r="H509" s="307">
        <f t="shared" ca="1" si="215"/>
        <v>-115.08680433172103</v>
      </c>
      <c r="I509" s="304">
        <f t="shared" ca="1" si="216"/>
        <v>115.7540200118663</v>
      </c>
      <c r="J509" s="306">
        <f t="shared" ca="1" si="217"/>
        <v>747.19708276721371</v>
      </c>
      <c r="K509" s="307">
        <f t="shared" ca="1" si="218"/>
        <v>226.17810956050997</v>
      </c>
      <c r="L509" s="304">
        <f t="shared" ca="1" si="203"/>
        <v>780.6792028357105</v>
      </c>
      <c r="M509" s="306">
        <f t="shared" ca="1" si="219"/>
        <v>-1.4633753966702936</v>
      </c>
      <c r="N509" s="304">
        <f t="shared" ca="1" si="220"/>
        <v>-83.845234072490527</v>
      </c>
      <c r="P509" s="310">
        <f t="shared" ca="1" si="221"/>
        <v>23</v>
      </c>
      <c r="Q509" s="304">
        <f t="shared" ca="1" si="222"/>
        <v>0</v>
      </c>
      <c r="R509" s="306">
        <f t="shared" ca="1" si="223"/>
        <v>0</v>
      </c>
      <c r="S509" s="307">
        <f t="shared" ca="1" si="224"/>
        <v>7.4499999999999984</v>
      </c>
      <c r="T509" s="304">
        <f t="shared" ca="1" si="204"/>
        <v>73.084499999999991</v>
      </c>
      <c r="U509" s="311">
        <f t="shared" ca="1" si="205"/>
        <v>0</v>
      </c>
      <c r="V509" s="306">
        <f t="shared" ca="1" si="206"/>
        <v>1.1976030115318068</v>
      </c>
      <c r="W509" s="304">
        <f t="shared" ca="1" si="207"/>
        <v>52.668244194685606</v>
      </c>
      <c r="Y509" s="314" t="str">
        <f t="shared" ca="1" si="225"/>
        <v/>
      </c>
      <c r="Z509" s="315" t="str">
        <f t="shared" ca="1" si="226"/>
        <v/>
      </c>
      <c r="AA509" s="316" t="str">
        <f t="shared" ca="1" si="227"/>
        <v/>
      </c>
      <c r="AC509" s="310" t="e">
        <f t="shared" ca="1" si="228"/>
        <v>#N/A</v>
      </c>
      <c r="AD509" s="323" t="e">
        <f t="shared" ca="1" si="229"/>
        <v>#N/A</v>
      </c>
      <c r="AE509" s="324" t="e">
        <f t="shared" ca="1" si="208"/>
        <v>#N/A</v>
      </c>
      <c r="AG509" s="306">
        <f t="shared" ca="1" si="230"/>
        <v>2.7242508254131987</v>
      </c>
      <c r="AH509" s="304">
        <f t="shared" ca="1" si="231"/>
        <v>-7.0282356417489478</v>
      </c>
    </row>
    <row r="510" spans="1:34" x14ac:dyDescent="0.2">
      <c r="A510" s="347">
        <f t="shared" ca="1" si="209"/>
        <v>0.1</v>
      </c>
      <c r="B510" s="304">
        <f t="shared" ca="1" si="210"/>
        <v>32.600000000000193</v>
      </c>
      <c r="D510" s="306">
        <f t="shared" ca="1" si="211"/>
        <v>-0.75795935143339566</v>
      </c>
      <c r="E510" s="307">
        <f t="shared" ca="1" si="212"/>
        <v>-2.7811865625998253</v>
      </c>
      <c r="F510" s="304">
        <f t="shared" ca="1" si="213"/>
        <v>2.882620522096373</v>
      </c>
      <c r="G510" s="306">
        <f t="shared" ca="1" si="214"/>
        <v>12.33470839061645</v>
      </c>
      <c r="H510" s="307">
        <f t="shared" ca="1" si="215"/>
        <v>-115.364922987981</v>
      </c>
      <c r="I510" s="304">
        <f t="shared" ca="1" si="216"/>
        <v>116.02245682239422</v>
      </c>
      <c r="J510" s="306">
        <f t="shared" ca="1" si="217"/>
        <v>748.43434340303247</v>
      </c>
      <c r="K510" s="307">
        <f t="shared" ca="1" si="218"/>
        <v>214.65552319452487</v>
      </c>
      <c r="L510" s="304">
        <f t="shared" ca="1" si="203"/>
        <v>778.60834828753514</v>
      </c>
      <c r="M510" s="306">
        <f t="shared" ca="1" si="219"/>
        <v>-1.4642819228632769</v>
      </c>
      <c r="N510" s="304">
        <f t="shared" ca="1" si="220"/>
        <v>-83.897174197366525</v>
      </c>
      <c r="P510" s="310">
        <f t="shared" ca="1" si="221"/>
        <v>23</v>
      </c>
      <c r="Q510" s="304">
        <f t="shared" ca="1" si="222"/>
        <v>0</v>
      </c>
      <c r="R510" s="306">
        <f t="shared" ca="1" si="223"/>
        <v>0</v>
      </c>
      <c r="S510" s="307">
        <f t="shared" ca="1" si="224"/>
        <v>7.4499999999999984</v>
      </c>
      <c r="T510" s="304">
        <f t="shared" ca="1" si="204"/>
        <v>73.084499999999991</v>
      </c>
      <c r="U510" s="311">
        <f t="shared" ca="1" si="205"/>
        <v>0</v>
      </c>
      <c r="V510" s="306">
        <f t="shared" ca="1" si="206"/>
        <v>1.1989839231381829</v>
      </c>
      <c r="W510" s="304">
        <f t="shared" ca="1" si="207"/>
        <v>52.973817495426573</v>
      </c>
      <c r="Y510" s="314" t="str">
        <f t="shared" ca="1" si="225"/>
        <v/>
      </c>
      <c r="Z510" s="315" t="str">
        <f t="shared" ca="1" si="226"/>
        <v/>
      </c>
      <c r="AA510" s="316" t="str">
        <f t="shared" ca="1" si="227"/>
        <v/>
      </c>
      <c r="AC510" s="310" t="e">
        <f t="shared" ca="1" si="228"/>
        <v>#N/A</v>
      </c>
      <c r="AD510" s="323" t="e">
        <f t="shared" ca="1" si="229"/>
        <v>#N/A</v>
      </c>
      <c r="AE510" s="324" t="e">
        <f t="shared" ca="1" si="208"/>
        <v>#N/A</v>
      </c>
      <c r="AG510" s="306">
        <f t="shared" ca="1" si="230"/>
        <v>2.6838913749896189</v>
      </c>
      <c r="AH510" s="304">
        <f t="shared" ca="1" si="231"/>
        <v>-7.0695629791524315</v>
      </c>
    </row>
    <row r="511" spans="1:34" x14ac:dyDescent="0.2">
      <c r="A511" s="347">
        <f t="shared" ca="1" si="209"/>
        <v>0.1</v>
      </c>
      <c r="B511" s="304">
        <f t="shared" ca="1" si="210"/>
        <v>32.700000000000195</v>
      </c>
      <c r="D511" s="306">
        <f t="shared" ca="1" si="211"/>
        <v>-0.75594783447836145</v>
      </c>
      <c r="E511" s="307">
        <f t="shared" ca="1" si="212"/>
        <v>-2.7397182433699498</v>
      </c>
      <c r="F511" s="304">
        <f t="shared" ca="1" si="213"/>
        <v>2.8420966172012254</v>
      </c>
      <c r="G511" s="306">
        <f t="shared" ca="1" si="214"/>
        <v>12.259113607168613</v>
      </c>
      <c r="H511" s="307">
        <f t="shared" ca="1" si="215"/>
        <v>-115.638894812318</v>
      </c>
      <c r="I511" s="304">
        <f t="shared" ca="1" si="216"/>
        <v>116.28688601836328</v>
      </c>
      <c r="J511" s="306">
        <f t="shared" ca="1" si="217"/>
        <v>749.66403450292171</v>
      </c>
      <c r="K511" s="307">
        <f t="shared" ca="1" si="218"/>
        <v>203.10533230450991</v>
      </c>
      <c r="L511" s="304">
        <f t="shared" ca="1" si="203"/>
        <v>776.69037630044261</v>
      </c>
      <c r="M511" s="306">
        <f t="shared" ca="1" si="219"/>
        <v>-1.4651787838933599</v>
      </c>
      <c r="N511" s="304">
        <f t="shared" ca="1" si="220"/>
        <v>-83.948560549200039</v>
      </c>
      <c r="P511" s="310">
        <f t="shared" ca="1" si="221"/>
        <v>23</v>
      </c>
      <c r="Q511" s="304">
        <f t="shared" ca="1" si="222"/>
        <v>0</v>
      </c>
      <c r="R511" s="306">
        <f t="shared" ca="1" si="223"/>
        <v>0</v>
      </c>
      <c r="S511" s="307">
        <f t="shared" ca="1" si="224"/>
        <v>7.4499999999999984</v>
      </c>
      <c r="T511" s="304">
        <f t="shared" ca="1" si="204"/>
        <v>73.084499999999991</v>
      </c>
      <c r="U511" s="311">
        <f t="shared" ca="1" si="205"/>
        <v>0</v>
      </c>
      <c r="V511" s="306">
        <f t="shared" ca="1" si="206"/>
        <v>1.2003697238141715</v>
      </c>
      <c r="W511" s="304">
        <f t="shared" ca="1" si="207"/>
        <v>53.277067334746626</v>
      </c>
      <c r="Y511" s="314" t="str">
        <f t="shared" ca="1" si="225"/>
        <v/>
      </c>
      <c r="Z511" s="315" t="str">
        <f t="shared" ca="1" si="226"/>
        <v/>
      </c>
      <c r="AA511" s="316" t="str">
        <f t="shared" ca="1" si="227"/>
        <v/>
      </c>
      <c r="AC511" s="310" t="e">
        <f t="shared" ca="1" si="228"/>
        <v>#N/A</v>
      </c>
      <c r="AD511" s="323" t="e">
        <f t="shared" ca="1" si="229"/>
        <v>#N/A</v>
      </c>
      <c r="AE511" s="324" t="e">
        <f t="shared" ca="1" si="208"/>
        <v>#N/A</v>
      </c>
      <c r="AG511" s="306">
        <f t="shared" ca="1" si="230"/>
        <v>2.6438242772939287</v>
      </c>
      <c r="AH511" s="304">
        <f t="shared" ca="1" si="231"/>
        <v>-7.1105795295874614</v>
      </c>
    </row>
    <row r="512" spans="1:34" x14ac:dyDescent="0.2">
      <c r="A512" s="347">
        <f t="shared" ca="1" si="209"/>
        <v>0.1</v>
      </c>
      <c r="B512" s="304">
        <f t="shared" ca="1" si="210"/>
        <v>32.800000000000196</v>
      </c>
      <c r="D512" s="306">
        <f t="shared" ca="1" si="211"/>
        <v>-0.75389761064491145</v>
      </c>
      <c r="E512" s="307">
        <f t="shared" ca="1" si="212"/>
        <v>-2.6985652511087146</v>
      </c>
      <c r="F512" s="304">
        <f t="shared" ca="1" si="213"/>
        <v>2.8018950768769959</v>
      </c>
      <c r="G512" s="306">
        <f t="shared" ca="1" si="214"/>
        <v>12.183723846104122</v>
      </c>
      <c r="H512" s="307">
        <f t="shared" ca="1" si="215"/>
        <v>-115.90875133742887</v>
      </c>
      <c r="I512" s="304">
        <f t="shared" ca="1" si="216"/>
        <v>116.54733700672892</v>
      </c>
      <c r="J512" s="306">
        <f t="shared" ca="1" si="217"/>
        <v>750.88617637558536</v>
      </c>
      <c r="K512" s="307">
        <f t="shared" ca="1" si="218"/>
        <v>191.52794999702257</v>
      </c>
      <c r="L512" s="304">
        <f t="shared" ca="1" si="203"/>
        <v>774.92774211664971</v>
      </c>
      <c r="M512" s="306">
        <f t="shared" ca="1" si="219"/>
        <v>-1.4660661340665506</v>
      </c>
      <c r="N512" s="304">
        <f t="shared" ca="1" si="220"/>
        <v>-83.999401969074071</v>
      </c>
      <c r="P512" s="310">
        <f t="shared" ca="1" si="221"/>
        <v>23</v>
      </c>
      <c r="Q512" s="304">
        <f t="shared" ca="1" si="222"/>
        <v>0</v>
      </c>
      <c r="R512" s="306">
        <f t="shared" ca="1" si="223"/>
        <v>0</v>
      </c>
      <c r="S512" s="307">
        <f t="shared" ca="1" si="224"/>
        <v>7.4499999999999984</v>
      </c>
      <c r="T512" s="304">
        <f t="shared" ca="1" si="204"/>
        <v>73.084499999999991</v>
      </c>
      <c r="U512" s="311">
        <f t="shared" ca="1" si="205"/>
        <v>0</v>
      </c>
      <c r="V512" s="306">
        <f t="shared" ca="1" si="206"/>
        <v>1.2017603779835406</v>
      </c>
      <c r="W512" s="304">
        <f t="shared" ca="1" si="207"/>
        <v>53.577986289007761</v>
      </c>
      <c r="Y512" s="314" t="str">
        <f t="shared" ca="1" si="225"/>
        <v/>
      </c>
      <c r="Z512" s="315" t="str">
        <f t="shared" ca="1" si="226"/>
        <v/>
      </c>
      <c r="AA512" s="316" t="str">
        <f t="shared" ca="1" si="227"/>
        <v/>
      </c>
      <c r="AC512" s="310" t="e">
        <f t="shared" ca="1" si="228"/>
        <v>#N/A</v>
      </c>
      <c r="AD512" s="323" t="e">
        <f t="shared" ca="1" si="229"/>
        <v>#N/A</v>
      </c>
      <c r="AE512" s="324" t="e">
        <f t="shared" ca="1" si="208"/>
        <v>#N/A</v>
      </c>
      <c r="AG512" s="306">
        <f t="shared" ca="1" si="230"/>
        <v>2.6040510424558914</v>
      </c>
      <c r="AH512" s="304">
        <f t="shared" ca="1" si="231"/>
        <v>-7.1512842060062596</v>
      </c>
    </row>
    <row r="513" spans="1:34" x14ac:dyDescent="0.2">
      <c r="A513" s="347">
        <f t="shared" ca="1" si="209"/>
        <v>0.1</v>
      </c>
      <c r="B513" s="304">
        <f t="shared" ca="1" si="210"/>
        <v>32.900000000000198</v>
      </c>
      <c r="D513" s="306">
        <f t="shared" ca="1" si="211"/>
        <v>-0.75180949449886614</v>
      </c>
      <c r="E513" s="307">
        <f t="shared" ca="1" si="212"/>
        <v>-2.657728588427287</v>
      </c>
      <c r="F513" s="304">
        <f t="shared" ca="1" si="213"/>
        <v>2.7620171552259301</v>
      </c>
      <c r="G513" s="306">
        <f t="shared" ca="1" si="214"/>
        <v>12.108542896654235</v>
      </c>
      <c r="H513" s="307">
        <f t="shared" ca="1" si="215"/>
        <v>-116.17452419627159</v>
      </c>
      <c r="I513" s="304">
        <f t="shared" ca="1" si="216"/>
        <v>116.80383933463065</v>
      </c>
      <c r="J513" s="306">
        <f t="shared" ca="1" si="217"/>
        <v>752.10078971272333</v>
      </c>
      <c r="K513" s="307">
        <f t="shared" ca="1" si="218"/>
        <v>179.92378622033755</v>
      </c>
      <c r="L513" s="304">
        <f t="shared" ca="1" si="203"/>
        <v>773.32280888020091</v>
      </c>
      <c r="M513" s="306">
        <f t="shared" ca="1" si="219"/>
        <v>-1.466944124203023</v>
      </c>
      <c r="N513" s="304">
        <f t="shared" ca="1" si="220"/>
        <v>-84.049707098348051</v>
      </c>
      <c r="P513" s="310">
        <f t="shared" ca="1" si="221"/>
        <v>23</v>
      </c>
      <c r="Q513" s="304">
        <f t="shared" ca="1" si="222"/>
        <v>0</v>
      </c>
      <c r="R513" s="306">
        <f t="shared" ca="1" si="223"/>
        <v>0</v>
      </c>
      <c r="S513" s="307">
        <f t="shared" ca="1" si="224"/>
        <v>7.4499999999999984</v>
      </c>
      <c r="T513" s="304">
        <f t="shared" ca="1" si="204"/>
        <v>73.084499999999991</v>
      </c>
      <c r="U513" s="311">
        <f t="shared" ca="1" si="205"/>
        <v>0</v>
      </c>
      <c r="V513" s="306">
        <f t="shared" ca="1" si="206"/>
        <v>1.2031558502941013</v>
      </c>
      <c r="W513" s="304">
        <f t="shared" ca="1" si="207"/>
        <v>53.876567597997848</v>
      </c>
      <c r="Y513" s="314" t="str">
        <f t="shared" ca="1" si="225"/>
        <v/>
      </c>
      <c r="Z513" s="315" t="str">
        <f t="shared" ca="1" si="226"/>
        <v/>
      </c>
      <c r="AA513" s="316" t="str">
        <f t="shared" ca="1" si="227"/>
        <v/>
      </c>
      <c r="AC513" s="310" t="e">
        <f t="shared" ca="1" si="228"/>
        <v>#N/A</v>
      </c>
      <c r="AD513" s="323" t="e">
        <f t="shared" ca="1" si="229"/>
        <v>#N/A</v>
      </c>
      <c r="AE513" s="324" t="e">
        <f t="shared" ca="1" si="208"/>
        <v>#N/A</v>
      </c>
      <c r="AG513" s="306">
        <f t="shared" ca="1" si="230"/>
        <v>2.5645730781071761</v>
      </c>
      <c r="AH513" s="304">
        <f t="shared" ca="1" si="231"/>
        <v>-7.1916760119473517</v>
      </c>
    </row>
    <row r="514" spans="1:34" x14ac:dyDescent="0.2">
      <c r="A514" s="347">
        <f t="shared" ca="1" si="209"/>
        <v>0.1</v>
      </c>
      <c r="B514" s="304">
        <f t="shared" ca="1" si="210"/>
        <v>33.000000000000199</v>
      </c>
      <c r="D514" s="306">
        <f t="shared" ca="1" si="211"/>
        <v>-0.74968429556944327</v>
      </c>
      <c r="E514" s="307">
        <f t="shared" ca="1" si="212"/>
        <v>-2.6172091680607936</v>
      </c>
      <c r="F514" s="304">
        <f t="shared" ca="1" si="213"/>
        <v>2.7224640259156638</v>
      </c>
      <c r="G514" s="306">
        <f t="shared" ca="1" si="214"/>
        <v>12.03357446709729</v>
      </c>
      <c r="H514" s="307">
        <f t="shared" ca="1" si="215"/>
        <v>-116.43624511307767</v>
      </c>
      <c r="I514" s="304">
        <f t="shared" ca="1" si="216"/>
        <v>117.05642267935528</v>
      </c>
      <c r="J514" s="306">
        <f t="shared" ca="1" si="217"/>
        <v>753.30789558091089</v>
      </c>
      <c r="K514" s="307">
        <f t="shared" ca="1" si="218"/>
        <v>168.29324775487009</v>
      </c>
      <c r="L514" s="304">
        <f t="shared" ca="1" si="203"/>
        <v>771.87784187941463</v>
      </c>
      <c r="M514" s="306">
        <f t="shared" ca="1" si="219"/>
        <v>-1.4678129017349446</v>
      </c>
      <c r="N514" s="304">
        <f t="shared" ca="1" si="220"/>
        <v>-84.099484384262951</v>
      </c>
      <c r="P514" s="310">
        <f t="shared" ca="1" si="221"/>
        <v>23</v>
      </c>
      <c r="Q514" s="304">
        <f t="shared" ca="1" si="222"/>
        <v>0</v>
      </c>
      <c r="R514" s="306">
        <f t="shared" ca="1" si="223"/>
        <v>0</v>
      </c>
      <c r="S514" s="307">
        <f t="shared" ca="1" si="224"/>
        <v>7.4499999999999984</v>
      </c>
      <c r="T514" s="304">
        <f t="shared" ca="1" si="204"/>
        <v>73.084499999999991</v>
      </c>
      <c r="U514" s="311">
        <f t="shared" ca="1" si="205"/>
        <v>0</v>
      </c>
      <c r="V514" s="306">
        <f t="shared" ca="1" si="206"/>
        <v>1.2045561056191341</v>
      </c>
      <c r="W514" s="304">
        <f t="shared" ca="1" si="207"/>
        <v>54.172805153457141</v>
      </c>
      <c r="Y514" s="314" t="str">
        <f t="shared" ca="1" si="225"/>
        <v/>
      </c>
      <c r="Z514" s="315" t="str">
        <f t="shared" ca="1" si="226"/>
        <v/>
      </c>
      <c r="AA514" s="316" t="str">
        <f t="shared" ca="1" si="227"/>
        <v/>
      </c>
      <c r="AC514" s="310">
        <f t="shared" ca="1" si="228"/>
        <v>33.000000000000199</v>
      </c>
      <c r="AD514" s="323">
        <f t="shared" ca="1" si="229"/>
        <v>753.30789558091089</v>
      </c>
      <c r="AE514" s="324" t="e">
        <f t="shared" ca="1" si="208"/>
        <v>#N/A</v>
      </c>
      <c r="AG514" s="306">
        <f t="shared" ca="1" si="230"/>
        <v>2.5253916913181129</v>
      </c>
      <c r="AH514" s="304">
        <f t="shared" ca="1" si="231"/>
        <v>-7.2317540399997124</v>
      </c>
    </row>
    <row r="515" spans="1:34" x14ac:dyDescent="0.2">
      <c r="A515" s="347">
        <f t="shared" ca="1" si="209"/>
        <v>0.1</v>
      </c>
      <c r="B515" s="304">
        <f t="shared" ca="1" si="210"/>
        <v>33.1000000000002</v>
      </c>
      <c r="D515" s="306">
        <f t="shared" ca="1" si="211"/>
        <v>-0.74752281817884059</v>
      </c>
      <c r="E515" s="307">
        <f t="shared" ca="1" si="212"/>
        <v>-2.577007814421636</v>
      </c>
      <c r="F515" s="304">
        <f t="shared" ca="1" si="213"/>
        <v>2.6832367840517195</v>
      </c>
      <c r="G515" s="306">
        <f t="shared" ca="1" si="214"/>
        <v>11.958822185279406</v>
      </c>
      <c r="H515" s="307">
        <f t="shared" ca="1" si="215"/>
        <v>-116.69394589451984</v>
      </c>
      <c r="I515" s="304">
        <f t="shared" ca="1" si="216"/>
        <v>117.30511683849198</v>
      </c>
      <c r="J515" s="306">
        <f t="shared" ca="1" si="217"/>
        <v>754.50751541352975</v>
      </c>
      <c r="K515" s="307">
        <f t="shared" ca="1" si="218"/>
        <v>156.63673820449023</v>
      </c>
      <c r="L515" s="304">
        <f t="shared" ca="1" si="203"/>
        <v>770.59500294956479</v>
      </c>
      <c r="M515" s="306">
        <f t="shared" ca="1" si="219"/>
        <v>-1.4686726108010792</v>
      </c>
      <c r="N515" s="304">
        <f t="shared" ca="1" si="220"/>
        <v>-84.148742085361604</v>
      </c>
      <c r="P515" s="310">
        <f t="shared" ca="1" si="221"/>
        <v>23</v>
      </c>
      <c r="Q515" s="304">
        <f t="shared" ca="1" si="222"/>
        <v>0</v>
      </c>
      <c r="R515" s="306">
        <f t="shared" ca="1" si="223"/>
        <v>0</v>
      </c>
      <c r="S515" s="307">
        <f t="shared" ca="1" si="224"/>
        <v>7.4499999999999984</v>
      </c>
      <c r="T515" s="304">
        <f t="shared" ca="1" si="204"/>
        <v>73.084499999999991</v>
      </c>
      <c r="U515" s="311">
        <f t="shared" ca="1" si="205"/>
        <v>0</v>
      </c>
      <c r="V515" s="306">
        <f t="shared" ca="1" si="206"/>
        <v>1.2059611090587532</v>
      </c>
      <c r="W515" s="304">
        <f t="shared" ca="1" si="207"/>
        <v>54.46669348758175</v>
      </c>
      <c r="Y515" s="314" t="str">
        <f t="shared" ca="1" si="225"/>
        <v/>
      </c>
      <c r="Z515" s="315" t="str">
        <f t="shared" ca="1" si="226"/>
        <v/>
      </c>
      <c r="AA515" s="316" t="str">
        <f t="shared" ca="1" si="227"/>
        <v/>
      </c>
      <c r="AC515" s="310" t="e">
        <f t="shared" ca="1" si="228"/>
        <v>#N/A</v>
      </c>
      <c r="AD515" s="323" t="e">
        <f t="shared" ca="1" si="229"/>
        <v>#N/A</v>
      </c>
      <c r="AE515" s="324" t="e">
        <f t="shared" ca="1" si="208"/>
        <v>#N/A</v>
      </c>
      <c r="AG515" s="306">
        <f t="shared" ca="1" si="230"/>
        <v>2.486508090523067</v>
      </c>
      <c r="AH515" s="304">
        <f t="shared" ca="1" si="231"/>
        <v>-7.2715174702627046</v>
      </c>
    </row>
    <row r="516" spans="1:34" x14ac:dyDescent="0.2">
      <c r="A516" s="347">
        <f t="shared" ca="1" si="209"/>
        <v>0.1</v>
      </c>
      <c r="B516" s="304">
        <f t="shared" ca="1" si="210"/>
        <v>33.200000000000202</v>
      </c>
      <c r="D516" s="306">
        <f t="shared" ca="1" si="211"/>
        <v>-0.74532586127841582</v>
      </c>
      <c r="E516" s="307">
        <f t="shared" ca="1" si="212"/>
        <v>-2.5371252651560541</v>
      </c>
      <c r="F516" s="304">
        <f t="shared" ca="1" si="213"/>
        <v>2.6443364480685112</v>
      </c>
      <c r="G516" s="306">
        <f t="shared" ca="1" si="214"/>
        <v>11.884289599151565</v>
      </c>
      <c r="H516" s="307">
        <f t="shared" ca="1" si="215"/>
        <v>-116.94765842103544</v>
      </c>
      <c r="I516" s="304">
        <f t="shared" ca="1" si="216"/>
        <v>117.54995172027797</v>
      </c>
      <c r="J516" s="306">
        <f t="shared" ca="1" si="217"/>
        <v>755.6996710027513</v>
      </c>
      <c r="K516" s="307">
        <f t="shared" ca="1" si="218"/>
        <v>144.95465798871246</v>
      </c>
      <c r="L516" s="304">
        <f t="shared" ref="L516:L579" ca="1" si="232">SQRT(pos_x^2+pos_z^2)</f>
        <v>769.47634507260273</v>
      </c>
      <c r="M516" s="306">
        <f t="shared" ca="1" si="219"/>
        <v>-1.4695233923382831</v>
      </c>
      <c r="N516" s="304">
        <f t="shared" ca="1" si="220"/>
        <v>-84.197488276731036</v>
      </c>
      <c r="P516" s="310">
        <f t="shared" ca="1" si="221"/>
        <v>23</v>
      </c>
      <c r="Q516" s="304">
        <f t="shared" ca="1" si="222"/>
        <v>0</v>
      </c>
      <c r="R516" s="306">
        <f t="shared" ca="1" si="223"/>
        <v>0</v>
      </c>
      <c r="S516" s="307">
        <f t="shared" ca="1" si="224"/>
        <v>7.4499999999999984</v>
      </c>
      <c r="T516" s="304">
        <f t="shared" ref="T516:T579" ca="1" si="233">m*g</f>
        <v>73.084499999999991</v>
      </c>
      <c r="U516" s="311">
        <f t="shared" ref="U516:U579" ca="1" si="234">IF(pos_xz&lt;L_rampe,Poids*COS(Beta),0)</f>
        <v>0</v>
      </c>
      <c r="V516" s="306">
        <f t="shared" ref="V516:V579" ca="1" si="235">Rho_moyen*(20000-Alt_rampe-pos_z)/(20000+Alt_rampe+pos_z)</f>
        <v>1.2073708259411984</v>
      </c>
      <c r="W516" s="304">
        <f t="shared" ref="W516:W579" ca="1" si="236">1/2*Rho*Sref*Cx*vit_xz^2</f>
        <v>54.75822776151076</v>
      </c>
      <c r="Y516" s="314" t="str">
        <f t="shared" ca="1" si="225"/>
        <v/>
      </c>
      <c r="Z516" s="315" t="str">
        <f t="shared" ca="1" si="226"/>
        <v/>
      </c>
      <c r="AA516" s="316" t="str">
        <f t="shared" ca="1" si="227"/>
        <v/>
      </c>
      <c r="AC516" s="310" t="e">
        <f t="shared" ca="1" si="228"/>
        <v>#N/A</v>
      </c>
      <c r="AD516" s="323" t="e">
        <f t="shared" ca="1" si="229"/>
        <v>#N/A</v>
      </c>
      <c r="AE516" s="324" t="e">
        <f t="shared" ref="AE516:AE579" ca="1" si="237">IF(t&lt;T_para, pos_z, NA())</f>
        <v>#N/A</v>
      </c>
      <c r="AG516" s="306">
        <f t="shared" ca="1" si="230"/>
        <v>2.4479233874339883</v>
      </c>
      <c r="AH516" s="304">
        <f t="shared" ca="1" si="231"/>
        <v>-7.3109655688029207</v>
      </c>
    </row>
    <row r="517" spans="1:34" x14ac:dyDescent="0.2">
      <c r="A517" s="347">
        <f t="shared" ref="A517:A580" ca="1" si="238">IF(B516+0.01&lt;=T_ini+ROUNDUP(Temps_fin_propu,0), 0.01, IF(K516&gt;0, 0.1, 0.0001))</f>
        <v>0.1</v>
      </c>
      <c r="B517" s="304">
        <f t="shared" ref="B517:B580" ca="1" si="239">B516+pas</f>
        <v>33.300000000000203</v>
      </c>
      <c r="D517" s="306">
        <f t="shared" ref="D517:D580" ca="1" si="240">IF(AND(L516&lt;L_rampe,Poussee&lt;Poids*SIN(M516)),0,(-W516+Poussee)/m*COS(M516)-U516/m*SIN(M516))</f>
        <v>-0.74309421829139455</v>
      </c>
      <c r="E517" s="307">
        <f t="shared" ref="E517:E580" ca="1" si="241">IF(AND(L516&lt;L_rampe,Poussee&lt;Poids*SIN(M516)),0,(-W516+Poussee)/m*SIN(M516)+U516/m*COS(M516)-Poids/m)</f>
        <v>-2.4975621727029882</v>
      </c>
      <c r="F517" s="304">
        <f t="shared" ref="F517:F580" ca="1" si="242">SQRT(acc_x^2+acc_z^2)</f>
        <v>2.6057639616386918</v>
      </c>
      <c r="G517" s="306">
        <f t="shared" ref="G517:G580" ca="1" si="243">G516+acc_x*pas</f>
        <v>11.809980177322425</v>
      </c>
      <c r="H517" s="307">
        <f t="shared" ref="H517:H580" ca="1" si="244">H516+acc_z*pas</f>
        <v>-117.19741463830574</v>
      </c>
      <c r="I517" s="304">
        <f t="shared" ref="I517:I580" ca="1" si="245">SQRT(vit_x^2+vit_z^2)</f>
        <v>117.79095733413372</v>
      </c>
      <c r="J517" s="306">
        <f t="shared" ref="J517:J580" ca="1" si="246">J516+0.5*(vit_x+G516)*pas*(K516&gt;=0)</f>
        <v>756.88438449157502</v>
      </c>
      <c r="K517" s="307">
        <f t="shared" ref="K517:K580" ca="1" si="247">K516+0.5*(vit_z+H516)*pas</f>
        <v>133.24740433574539</v>
      </c>
      <c r="L517" s="304">
        <f t="shared" ca="1" si="232"/>
        <v>768.52380721055351</v>
      </c>
      <c r="M517" s="306">
        <f t="shared" ref="M517:M580" ca="1" si="248">IF(AND(L516&gt;L_rampe,G517&gt;0),ATAN2(G517,H517),$M$4)</f>
        <v>-1.4703653841700155</v>
      </c>
      <c r="N517" s="304">
        <f t="shared" ref="N517:N580" ca="1" si="249">DEGREES(Beta)</f>
        <v>-84.245730855073788</v>
      </c>
      <c r="P517" s="310">
        <f t="shared" ref="P517:P580" ca="1" si="250">MATCH(t-pas/2-T_ini,CdP_t)</f>
        <v>23</v>
      </c>
      <c r="Q517" s="304">
        <f t="shared" ref="Q517:Q580" ca="1" si="251">(INDEX(CdP,2,i_P+1)-INDEX(CdP,2,i_P+0))/(INDEX(CdP,1,i_P+1)-INDEX(CdP,1,i_P+0))*(t-pas/2-T_ini-INDEX(CdP,1,i_P+0))+INDEX(CdP,2,i_P+0)</f>
        <v>0</v>
      </c>
      <c r="R517" s="306">
        <f t="shared" ref="R517:R580" ca="1" si="252">Poussee/(g*ISP)</f>
        <v>0</v>
      </c>
      <c r="S517" s="307">
        <f t="shared" ref="S517:S580" ca="1" si="253">S516-Débit*pas</f>
        <v>7.4499999999999984</v>
      </c>
      <c r="T517" s="304">
        <f t="shared" ca="1" si="233"/>
        <v>73.084499999999991</v>
      </c>
      <c r="U517" s="311">
        <f t="shared" ca="1" si="234"/>
        <v>0</v>
      </c>
      <c r="V517" s="306">
        <f t="shared" ca="1" si="235"/>
        <v>1.2087852218240622</v>
      </c>
      <c r="W517" s="304">
        <f t="shared" ca="1" si="236"/>
        <v>55.047403753804545</v>
      </c>
      <c r="Y517" s="314" t="str">
        <f t="shared" ref="Y517:Y580" ca="1" si="254">IF(AND(pos_z&lt;=0,K516&gt;0),"Impact balistique","") &amp; IF(AND(H518&lt;0,vit_z&gt;=0),"Apogée","") &amp; IF(AND(Poussee=0,Q516&gt;0),"Fin de propulsion","") &amp; IF(AND(L518&gt;L_rampe,pos_xz&lt;=L_rampe),"Sortie de rampe","")</f>
        <v/>
      </c>
      <c r="Z517" s="315" t="str">
        <f t="shared" ref="Z517:Z580" ca="1" si="255">IF(ABS(t-T_para)&lt;pas/2,"Para","")</f>
        <v/>
      </c>
      <c r="AA517" s="316" t="str">
        <f t="shared" ref="AA517:AA580" ca="1" si="256">IF(ABS(t-T_satellite)&lt;pas/2,"Satellite","")</f>
        <v/>
      </c>
      <c r="AC517" s="310" t="e">
        <f t="shared" ref="AC517:AC580" ca="1" si="257">IF(ABS(t-ROUND(t,0))&lt;0.001,t,NA())</f>
        <v>#N/A</v>
      </c>
      <c r="AD517" s="323" t="e">
        <f t="shared" ref="AD517:AD580" ca="1" si="258">IF(ABS(t-ROUND(t,0))&lt;0.001,pos_x,NA())</f>
        <v>#N/A</v>
      </c>
      <c r="AE517" s="324" t="e">
        <f t="shared" ca="1" si="237"/>
        <v>#N/A</v>
      </c>
      <c r="AG517" s="306">
        <f t="shared" ref="AG517:AG580" ca="1" si="259">IF(AND(L516&lt;L_rampe,Poussee&lt;Poids*SIN(M516)),0,(-W516+Poussee)/m-Poids*SIN(M516)/m)</f>
        <v>2.4096385989418962</v>
      </c>
      <c r="AH517" s="304">
        <f t="shared" ref="AH517:AH580" ca="1" si="260">IF(AND(L516&lt;L_rampe,Poussee&lt;Poids*SIN(M516)), g*SIN(M516), (-W516+Poussee)/m)</f>
        <v>-7.3500976861088283</v>
      </c>
    </row>
    <row r="518" spans="1:34" x14ac:dyDescent="0.2">
      <c r="A518" s="347">
        <f t="shared" ca="1" si="238"/>
        <v>0.1</v>
      </c>
      <c r="B518" s="304">
        <f t="shared" ca="1" si="239"/>
        <v>33.400000000000205</v>
      </c>
      <c r="D518" s="306">
        <f t="shared" ca="1" si="240"/>
        <v>-0.74082867696198862</v>
      </c>
      <c r="E518" s="307">
        <f t="shared" ca="1" si="241"/>
        <v>-2.4583191058542218</v>
      </c>
      <c r="F518" s="304">
        <f t="shared" ca="1" si="242"/>
        <v>2.5675201956006406</v>
      </c>
      <c r="G518" s="306">
        <f t="shared" ca="1" si="243"/>
        <v>11.735897309626226</v>
      </c>
      <c r="H518" s="307">
        <f t="shared" ca="1" si="244"/>
        <v>-117.44324654889117</v>
      </c>
      <c r="I518" s="304">
        <f t="shared" ca="1" si="245"/>
        <v>118.02816378138621</v>
      </c>
      <c r="J518" s="306">
        <f t="shared" ca="1" si="246"/>
        <v>758.06167836592249</v>
      </c>
      <c r="K518" s="307">
        <f t="shared" ca="1" si="247"/>
        <v>121.51537127638554</v>
      </c>
      <c r="L518" s="304">
        <f t="shared" ca="1" si="232"/>
        <v>767.73920940863582</v>
      </c>
      <c r="M518" s="306">
        <f t="shared" ca="1" si="248"/>
        <v>-1.4711987210919732</v>
      </c>
      <c r="N518" s="304">
        <f t="shared" ca="1" si="249"/>
        <v>-84.293477543614401</v>
      </c>
      <c r="P518" s="310">
        <f t="shared" ca="1" si="250"/>
        <v>23</v>
      </c>
      <c r="Q518" s="304">
        <f t="shared" ca="1" si="251"/>
        <v>0</v>
      </c>
      <c r="R518" s="306">
        <f t="shared" ca="1" si="252"/>
        <v>0</v>
      </c>
      <c r="S518" s="307">
        <f t="shared" ca="1" si="253"/>
        <v>7.4499999999999984</v>
      </c>
      <c r="T518" s="304">
        <f t="shared" ca="1" si="233"/>
        <v>73.084499999999991</v>
      </c>
      <c r="U518" s="311">
        <f t="shared" ca="1" si="234"/>
        <v>0</v>
      </c>
      <c r="V518" s="306">
        <f t="shared" ca="1" si="235"/>
        <v>1.2102042624954514</v>
      </c>
      <c r="W518" s="304">
        <f t="shared" ca="1" si="236"/>
        <v>55.334217848921064</v>
      </c>
      <c r="Y518" s="314" t="str">
        <f t="shared" ca="1" si="254"/>
        <v/>
      </c>
      <c r="Z518" s="315" t="str">
        <f t="shared" ca="1" si="255"/>
        <v/>
      </c>
      <c r="AA518" s="316" t="str">
        <f t="shared" ca="1" si="256"/>
        <v/>
      </c>
      <c r="AC518" s="310" t="e">
        <f t="shared" ca="1" si="257"/>
        <v>#N/A</v>
      </c>
      <c r="AD518" s="323" t="e">
        <f t="shared" ca="1" si="258"/>
        <v>#N/A</v>
      </c>
      <c r="AE518" s="324" t="e">
        <f t="shared" ca="1" si="237"/>
        <v>#N/A</v>
      </c>
      <c r="AG518" s="306">
        <f t="shared" ca="1" si="259"/>
        <v>2.3716546490058965</v>
      </c>
      <c r="AH518" s="304">
        <f t="shared" ca="1" si="260"/>
        <v>-7.3889132555442361</v>
      </c>
    </row>
    <row r="519" spans="1:34" x14ac:dyDescent="0.2">
      <c r="A519" s="347">
        <f t="shared" ca="1" si="238"/>
        <v>0.1</v>
      </c>
      <c r="B519" s="304">
        <f t="shared" ca="1" si="239"/>
        <v>33.500000000000206</v>
      </c>
      <c r="D519" s="306">
        <f t="shared" ca="1" si="240"/>
        <v>-0.73853001921085537</v>
      </c>
      <c r="E519" s="307">
        <f t="shared" ca="1" si="241"/>
        <v>-2.4193965513148941</v>
      </c>
      <c r="F519" s="304">
        <f t="shared" ca="1" si="242"/>
        <v>2.5296059499040537</v>
      </c>
      <c r="G519" s="306">
        <f t="shared" ca="1" si="243"/>
        <v>11.662044307705141</v>
      </c>
      <c r="H519" s="307">
        <f t="shared" ca="1" si="244"/>
        <v>-117.68518620402266</v>
      </c>
      <c r="I519" s="304">
        <f t="shared" ca="1" si="245"/>
        <v>118.2616012461795</v>
      </c>
      <c r="J519" s="306">
        <f t="shared" ca="1" si="246"/>
        <v>759.23157544678907</v>
      </c>
      <c r="K519" s="307">
        <f t="shared" ca="1" si="247"/>
        <v>109.75894963873985</v>
      </c>
      <c r="L519" s="304">
        <f t="shared" ca="1" si="232"/>
        <v>767.12424820312697</v>
      </c>
      <c r="M519" s="306">
        <f t="shared" ca="1" si="248"/>
        <v>-1.472023534954958</v>
      </c>
      <c r="N519" s="304">
        <f t="shared" ca="1" si="249"/>
        <v>-84.340735896847306</v>
      </c>
      <c r="P519" s="310">
        <f t="shared" ca="1" si="250"/>
        <v>23</v>
      </c>
      <c r="Q519" s="304">
        <f t="shared" ca="1" si="251"/>
        <v>0</v>
      </c>
      <c r="R519" s="306">
        <f t="shared" ca="1" si="252"/>
        <v>0</v>
      </c>
      <c r="S519" s="307">
        <f t="shared" ca="1" si="253"/>
        <v>7.4499999999999984</v>
      </c>
      <c r="T519" s="304">
        <f t="shared" ca="1" si="233"/>
        <v>73.084499999999991</v>
      </c>
      <c r="U519" s="311">
        <f t="shared" ca="1" si="234"/>
        <v>0</v>
      </c>
      <c r="V519" s="306">
        <f t="shared" ca="1" si="235"/>
        <v>1.211627913975083</v>
      </c>
      <c r="W519" s="304">
        <f t="shared" ca="1" si="236"/>
        <v>55.618667025697221</v>
      </c>
      <c r="Y519" s="314" t="str">
        <f t="shared" ca="1" si="254"/>
        <v/>
      </c>
      <c r="Z519" s="315" t="str">
        <f t="shared" ca="1" si="255"/>
        <v/>
      </c>
      <c r="AA519" s="316" t="str">
        <f t="shared" ca="1" si="256"/>
        <v/>
      </c>
      <c r="AC519" s="310" t="e">
        <f t="shared" ca="1" si="257"/>
        <v>#N/A</v>
      </c>
      <c r="AD519" s="323" t="e">
        <f t="shared" ca="1" si="258"/>
        <v>#N/A</v>
      </c>
      <c r="AE519" s="324" t="e">
        <f t="shared" ca="1" si="237"/>
        <v>#N/A</v>
      </c>
      <c r="AG519" s="306">
        <f t="shared" ca="1" si="259"/>
        <v>2.333972370529426</v>
      </c>
      <c r="AH519" s="304">
        <f t="shared" ca="1" si="260"/>
        <v>-7.4274117918014868</v>
      </c>
    </row>
    <row r="520" spans="1:34" x14ac:dyDescent="0.2">
      <c r="A520" s="347">
        <f t="shared" ca="1" si="238"/>
        <v>0.1</v>
      </c>
      <c r="B520" s="304">
        <f t="shared" ca="1" si="239"/>
        <v>33.600000000000207</v>
      </c>
      <c r="D520" s="306">
        <f t="shared" ca="1" si="240"/>
        <v>-0.73619902099679213</v>
      </c>
      <c r="E520" s="307">
        <f t="shared" ca="1" si="241"/>
        <v>-2.380794915263392</v>
      </c>
      <c r="F520" s="304">
        <f t="shared" ca="1" si="242"/>
        <v>2.4920219555735574</v>
      </c>
      <c r="G520" s="306">
        <f t="shared" ca="1" si="243"/>
        <v>11.588424405605462</v>
      </c>
      <c r="H520" s="307">
        <f t="shared" ca="1" si="244"/>
        <v>-117.92326569554899</v>
      </c>
      <c r="I520" s="304">
        <f t="shared" ca="1" si="245"/>
        <v>118.49129998657062</v>
      </c>
      <c r="J520" s="306">
        <f t="shared" ca="1" si="246"/>
        <v>760.39409888245461</v>
      </c>
      <c r="K520" s="307">
        <f t="shared" ca="1" si="247"/>
        <v>97.978527043761261</v>
      </c>
      <c r="L520" s="304">
        <f t="shared" ca="1" si="232"/>
        <v>766.6804923675345</v>
      </c>
      <c r="M520" s="306">
        <f t="shared" ca="1" si="248"/>
        <v>-1.472839954745079</v>
      </c>
      <c r="N520" s="304">
        <f t="shared" ca="1" si="249"/>
        <v>-84.387513305132188</v>
      </c>
      <c r="P520" s="310">
        <f t="shared" ca="1" si="250"/>
        <v>23</v>
      </c>
      <c r="Q520" s="304">
        <f t="shared" ca="1" si="251"/>
        <v>0</v>
      </c>
      <c r="R520" s="306">
        <f t="shared" ca="1" si="252"/>
        <v>0</v>
      </c>
      <c r="S520" s="307">
        <f t="shared" ca="1" si="253"/>
        <v>7.4499999999999984</v>
      </c>
      <c r="T520" s="304">
        <f t="shared" ca="1" si="233"/>
        <v>73.084499999999991</v>
      </c>
      <c r="U520" s="311">
        <f t="shared" ca="1" si="234"/>
        <v>0</v>
      </c>
      <c r="V520" s="306">
        <f t="shared" ca="1" si="235"/>
        <v>1.2130561425153179</v>
      </c>
      <c r="W520" s="304">
        <f t="shared" ca="1" si="236"/>
        <v>55.900748845841363</v>
      </c>
      <c r="Y520" s="314" t="str">
        <f t="shared" ca="1" si="254"/>
        <v/>
      </c>
      <c r="Z520" s="315" t="str">
        <f t="shared" ca="1" si="255"/>
        <v/>
      </c>
      <c r="AA520" s="316" t="str">
        <f t="shared" ca="1" si="256"/>
        <v/>
      </c>
      <c r="AC520" s="310" t="e">
        <f t="shared" ca="1" si="257"/>
        <v>#N/A</v>
      </c>
      <c r="AD520" s="323" t="e">
        <f t="shared" ca="1" si="258"/>
        <v>#N/A</v>
      </c>
      <c r="AE520" s="324" t="e">
        <f t="shared" ca="1" si="237"/>
        <v>#N/A</v>
      </c>
      <c r="AG520" s="306">
        <f t="shared" ca="1" si="259"/>
        <v>2.2965925072233286</v>
      </c>
      <c r="AH520" s="304">
        <f t="shared" ca="1" si="260"/>
        <v>-7.4655928893553334</v>
      </c>
    </row>
    <row r="521" spans="1:34" x14ac:dyDescent="0.2">
      <c r="A521" s="347">
        <f t="shared" ca="1" si="238"/>
        <v>0.1</v>
      </c>
      <c r="B521" s="304">
        <f t="shared" ca="1" si="239"/>
        <v>33.700000000000209</v>
      </c>
      <c r="D521" s="306">
        <f t="shared" ca="1" si="240"/>
        <v>-0.7338364521845635</v>
      </c>
      <c r="E521" s="307">
        <f t="shared" ca="1" si="241"/>
        <v>-2.3425145249098218</v>
      </c>
      <c r="F521" s="304">
        <f t="shared" ca="1" si="242"/>
        <v>2.4547688766904954</v>
      </c>
      <c r="G521" s="306">
        <f t="shared" ca="1" si="243"/>
        <v>11.515040760387006</v>
      </c>
      <c r="H521" s="307">
        <f t="shared" ca="1" si="244"/>
        <v>-118.15751714803997</v>
      </c>
      <c r="I521" s="304">
        <f t="shared" ca="1" si="245"/>
        <v>118.71729032581031</v>
      </c>
      <c r="J521" s="306">
        <f t="shared" ca="1" si="246"/>
        <v>761.54927214075428</v>
      </c>
      <c r="K521" s="307">
        <f t="shared" ca="1" si="247"/>
        <v>86.174487901581813</v>
      </c>
      <c r="L521" s="304">
        <f t="shared" ca="1" si="232"/>
        <v>766.40937902873588</v>
      </c>
      <c r="M521" s="306">
        <f t="shared" ca="1" si="248"/>
        <v>-1.4736481066613898</v>
      </c>
      <c r="N521" s="304">
        <f t="shared" ca="1" si="249"/>
        <v>-84.433816999142209</v>
      </c>
      <c r="P521" s="310">
        <f t="shared" ca="1" si="250"/>
        <v>23</v>
      </c>
      <c r="Q521" s="304">
        <f t="shared" ca="1" si="251"/>
        <v>0</v>
      </c>
      <c r="R521" s="306">
        <f t="shared" ca="1" si="252"/>
        <v>0</v>
      </c>
      <c r="S521" s="307">
        <f t="shared" ca="1" si="253"/>
        <v>7.4499999999999984</v>
      </c>
      <c r="T521" s="304">
        <f t="shared" ca="1" si="233"/>
        <v>73.084499999999991</v>
      </c>
      <c r="U521" s="311">
        <f t="shared" ca="1" si="234"/>
        <v>0</v>
      </c>
      <c r="V521" s="306">
        <f t="shared" ca="1" si="235"/>
        <v>1.2144889146021289</v>
      </c>
      <c r="W521" s="304">
        <f t="shared" ca="1" si="236"/>
        <v>56.180461442443772</v>
      </c>
      <c r="Y521" s="314" t="str">
        <f t="shared" ca="1" si="254"/>
        <v/>
      </c>
      <c r="Z521" s="315" t="str">
        <f t="shared" ca="1" si="255"/>
        <v/>
      </c>
      <c r="AA521" s="316" t="str">
        <f t="shared" ca="1" si="256"/>
        <v/>
      </c>
      <c r="AC521" s="310" t="e">
        <f t="shared" ca="1" si="257"/>
        <v>#N/A</v>
      </c>
      <c r="AD521" s="323" t="e">
        <f t="shared" ca="1" si="258"/>
        <v>#N/A</v>
      </c>
      <c r="AE521" s="324" t="e">
        <f t="shared" ca="1" si="237"/>
        <v>#N/A</v>
      </c>
      <c r="AG521" s="306">
        <f t="shared" ca="1" si="259"/>
        <v>2.259515715455473</v>
      </c>
      <c r="AH521" s="304">
        <f t="shared" ca="1" si="260"/>
        <v>-7.5034562209183058</v>
      </c>
    </row>
    <row r="522" spans="1:34" x14ac:dyDescent="0.2">
      <c r="A522" s="347">
        <f t="shared" ca="1" si="238"/>
        <v>0.1</v>
      </c>
      <c r="B522" s="304">
        <f t="shared" ca="1" si="239"/>
        <v>33.80000000000021</v>
      </c>
      <c r="D522" s="306">
        <f t="shared" ca="1" si="240"/>
        <v>-0.73144307641877948</v>
      </c>
      <c r="E522" s="307">
        <f t="shared" ca="1" si="241"/>
        <v>-2.3045556300521106</v>
      </c>
      <c r="F522" s="304">
        <f t="shared" ca="1" si="242"/>
        <v>2.4178473123929578</v>
      </c>
      <c r="G522" s="306">
        <f t="shared" ca="1" si="243"/>
        <v>11.441896452745128</v>
      </c>
      <c r="H522" s="307">
        <f t="shared" ca="1" si="244"/>
        <v>-118.38797271104518</v>
      </c>
      <c r="I522" s="304">
        <f t="shared" ca="1" si="245"/>
        <v>118.93960264380624</v>
      </c>
      <c r="J522" s="306">
        <f t="shared" ca="1" si="246"/>
        <v>762.6971190014109</v>
      </c>
      <c r="K522" s="307">
        <f t="shared" ca="1" si="247"/>
        <v>74.347213408627553</v>
      </c>
      <c r="L522" s="304">
        <f t="shared" ca="1" si="232"/>
        <v>766.31221018242979</v>
      </c>
      <c r="M522" s="306">
        <f t="shared" ca="1" si="248"/>
        <v>-1.474448114191053</v>
      </c>
      <c r="N522" s="304">
        <f t="shared" ca="1" si="249"/>
        <v>-84.479654054170595</v>
      </c>
      <c r="P522" s="310">
        <f t="shared" ca="1" si="250"/>
        <v>23</v>
      </c>
      <c r="Q522" s="304">
        <f t="shared" ca="1" si="251"/>
        <v>0</v>
      </c>
      <c r="R522" s="306">
        <f t="shared" ca="1" si="252"/>
        <v>0</v>
      </c>
      <c r="S522" s="307">
        <f t="shared" ca="1" si="253"/>
        <v>7.4499999999999984</v>
      </c>
      <c r="T522" s="304">
        <f t="shared" ca="1" si="233"/>
        <v>73.084499999999991</v>
      </c>
      <c r="U522" s="311">
        <f t="shared" ca="1" si="234"/>
        <v>0</v>
      </c>
      <c r="V522" s="306">
        <f t="shared" ca="1" si="235"/>
        <v>1.2159261969560105</v>
      </c>
      <c r="W522" s="304">
        <f t="shared" ca="1" si="236"/>
        <v>56.457803508510814</v>
      </c>
      <c r="Y522" s="314" t="str">
        <f t="shared" ca="1" si="254"/>
        <v/>
      </c>
      <c r="Z522" s="315" t="str">
        <f t="shared" ca="1" si="255"/>
        <v/>
      </c>
      <c r="AA522" s="316" t="str">
        <f t="shared" ca="1" si="256"/>
        <v/>
      </c>
      <c r="AC522" s="310" t="e">
        <f t="shared" ca="1" si="257"/>
        <v>#N/A</v>
      </c>
      <c r="AD522" s="323" t="e">
        <f t="shared" ca="1" si="258"/>
        <v>#N/A</v>
      </c>
      <c r="AE522" s="324" t="e">
        <f t="shared" ca="1" si="237"/>
        <v>#N/A</v>
      </c>
      <c r="AG522" s="306">
        <f t="shared" ca="1" si="259"/>
        <v>2.2227425660865121</v>
      </c>
      <c r="AH522" s="304">
        <f t="shared" ca="1" si="260"/>
        <v>-7.5410015358984941</v>
      </c>
    </row>
    <row r="523" spans="1:34" x14ac:dyDescent="0.2">
      <c r="A523" s="347">
        <f t="shared" ca="1" si="238"/>
        <v>0.1</v>
      </c>
      <c r="B523" s="304">
        <f t="shared" ca="1" si="239"/>
        <v>33.900000000000212</v>
      </c>
      <c r="D523" s="306">
        <f t="shared" ca="1" si="240"/>
        <v>-0.72901965100370936</v>
      </c>
      <c r="E523" s="307">
        <f t="shared" ca="1" si="241"/>
        <v>-2.2669184046289645</v>
      </c>
      <c r="F523" s="304">
        <f t="shared" ca="1" si="242"/>
        <v>2.3812577988943366</v>
      </c>
      <c r="G523" s="306">
        <f t="shared" ca="1" si="243"/>
        <v>11.368994487644757</v>
      </c>
      <c r="H523" s="307">
        <f t="shared" ca="1" si="244"/>
        <v>-118.61466455150807</v>
      </c>
      <c r="I523" s="304">
        <f t="shared" ca="1" si="245"/>
        <v>119.15826736876834</v>
      </c>
      <c r="J523" s="306">
        <f t="shared" ca="1" si="246"/>
        <v>763.83766354843044</v>
      </c>
      <c r="K523" s="307">
        <f t="shared" ca="1" si="247"/>
        <v>62.497081545499888</v>
      </c>
      <c r="L523" s="304">
        <f t="shared" ca="1" si="232"/>
        <v>766.3901496345253</v>
      </c>
      <c r="M523" s="306">
        <f t="shared" ca="1" si="248"/>
        <v>-1.4752400981821252</v>
      </c>
      <c r="N523" s="304">
        <f t="shared" ca="1" si="249"/>
        <v>-84.525031394300967</v>
      </c>
      <c r="P523" s="310">
        <f t="shared" ca="1" si="250"/>
        <v>23</v>
      </c>
      <c r="Q523" s="304">
        <f t="shared" ca="1" si="251"/>
        <v>0</v>
      </c>
      <c r="R523" s="306">
        <f t="shared" ca="1" si="252"/>
        <v>0</v>
      </c>
      <c r="S523" s="307">
        <f t="shared" ca="1" si="253"/>
        <v>7.4499999999999984</v>
      </c>
      <c r="T523" s="304">
        <f t="shared" ca="1" si="233"/>
        <v>73.084499999999991</v>
      </c>
      <c r="U523" s="311">
        <f t="shared" ca="1" si="234"/>
        <v>0</v>
      </c>
      <c r="V523" s="306">
        <f t="shared" ca="1" si="235"/>
        <v>1.2173679565328228</v>
      </c>
      <c r="W523" s="304">
        <f t="shared" ca="1" si="236"/>
        <v>56.732774285529224</v>
      </c>
      <c r="Y523" s="314" t="str">
        <f t="shared" ca="1" si="254"/>
        <v/>
      </c>
      <c r="Z523" s="315" t="str">
        <f t="shared" ca="1" si="255"/>
        <v/>
      </c>
      <c r="AA523" s="316" t="str">
        <f t="shared" ca="1" si="256"/>
        <v/>
      </c>
      <c r="AC523" s="310" t="e">
        <f t="shared" ca="1" si="257"/>
        <v>#N/A</v>
      </c>
      <c r="AD523" s="323" t="e">
        <f t="shared" ca="1" si="258"/>
        <v>#N/A</v>
      </c>
      <c r="AE523" s="324" t="e">
        <f t="shared" ca="1" si="237"/>
        <v>#N/A</v>
      </c>
      <c r="AG523" s="306">
        <f t="shared" ca="1" si="259"/>
        <v>2.1862735462915257</v>
      </c>
      <c r="AH523" s="304">
        <f t="shared" ca="1" si="260"/>
        <v>-7.5782286588605139</v>
      </c>
    </row>
    <row r="524" spans="1:34" x14ac:dyDescent="0.2">
      <c r="A524" s="347">
        <f t="shared" ca="1" si="238"/>
        <v>0.1</v>
      </c>
      <c r="B524" s="304">
        <f t="shared" ca="1" si="239"/>
        <v>34.000000000000213</v>
      </c>
      <c r="D524" s="306">
        <f t="shared" ca="1" si="240"/>
        <v>-0.72656692678894019</v>
      </c>
      <c r="E524" s="307">
        <f t="shared" ca="1" si="241"/>
        <v>-2.2296029482688215</v>
      </c>
      <c r="F524" s="304">
        <f t="shared" ca="1" si="242"/>
        <v>2.3450008115206584</v>
      </c>
      <c r="G524" s="306">
        <f t="shared" ca="1" si="243"/>
        <v>11.296337794965863</v>
      </c>
      <c r="H524" s="307">
        <f t="shared" ca="1" si="244"/>
        <v>-118.83762484633495</v>
      </c>
      <c r="I524" s="304">
        <f t="shared" ca="1" si="245"/>
        <v>119.3733149690341</v>
      </c>
      <c r="J524" s="306">
        <f t="shared" ca="1" si="246"/>
        <v>764.97093016256099</v>
      </c>
      <c r="K524" s="307">
        <f t="shared" ca="1" si="247"/>
        <v>50.62446707560774</v>
      </c>
      <c r="L524" s="304">
        <f t="shared" ca="1" si="232"/>
        <v>766.6442203920036</v>
      </c>
      <c r="M524" s="306">
        <f t="shared" ca="1" si="248"/>
        <v>-1.4760241769140465</v>
      </c>
      <c r="N524" s="304">
        <f t="shared" ca="1" si="249"/>
        <v>-84.569955796446024</v>
      </c>
      <c r="P524" s="310">
        <f t="shared" ca="1" si="250"/>
        <v>23</v>
      </c>
      <c r="Q524" s="304">
        <f t="shared" ca="1" si="251"/>
        <v>0</v>
      </c>
      <c r="R524" s="306">
        <f t="shared" ca="1" si="252"/>
        <v>0</v>
      </c>
      <c r="S524" s="307">
        <f t="shared" ca="1" si="253"/>
        <v>7.4499999999999984</v>
      </c>
      <c r="T524" s="304">
        <f t="shared" ca="1" si="233"/>
        <v>73.084499999999991</v>
      </c>
      <c r="U524" s="311">
        <f t="shared" ca="1" si="234"/>
        <v>0</v>
      </c>
      <c r="V524" s="306">
        <f t="shared" ca="1" si="235"/>
        <v>1.2188141605245812</v>
      </c>
      <c r="W524" s="304">
        <f t="shared" ca="1" si="236"/>
        <v>57.005373552065926</v>
      </c>
      <c r="Y524" s="314" t="str">
        <f t="shared" ca="1" si="254"/>
        <v/>
      </c>
      <c r="Z524" s="315" t="str">
        <f t="shared" ca="1" si="255"/>
        <v/>
      </c>
      <c r="AA524" s="316" t="str">
        <f t="shared" ca="1" si="256"/>
        <v/>
      </c>
      <c r="AC524" s="310">
        <f t="shared" ca="1" si="257"/>
        <v>34.000000000000213</v>
      </c>
      <c r="AD524" s="323">
        <f t="shared" ca="1" si="258"/>
        <v>764.97093016256099</v>
      </c>
      <c r="AE524" s="324" t="e">
        <f t="shared" ca="1" si="237"/>
        <v>#N/A</v>
      </c>
      <c r="AG524" s="306">
        <f t="shared" ca="1" si="259"/>
        <v>2.1501090613670888</v>
      </c>
      <c r="AH524" s="304">
        <f t="shared" ca="1" si="260"/>
        <v>-7.6151374879905012</v>
      </c>
    </row>
    <row r="525" spans="1:34" x14ac:dyDescent="0.2">
      <c r="A525" s="347">
        <f t="shared" ca="1" si="238"/>
        <v>0.1</v>
      </c>
      <c r="B525" s="304">
        <f t="shared" ca="1" si="239"/>
        <v>34.100000000000215</v>
      </c>
      <c r="D525" s="306">
        <f t="shared" ca="1" si="240"/>
        <v>-0.72408564806078057</v>
      </c>
      <c r="E525" s="307">
        <f t="shared" ca="1" si="241"/>
        <v>-2.1926092878340286</v>
      </c>
      <c r="F525" s="304">
        <f t="shared" ca="1" si="242"/>
        <v>2.309076766767109</v>
      </c>
      <c r="G525" s="306">
        <f t="shared" ca="1" si="243"/>
        <v>11.223929230159785</v>
      </c>
      <c r="H525" s="307">
        <f t="shared" ca="1" si="244"/>
        <v>-119.05688577511835</v>
      </c>
      <c r="I525" s="304">
        <f t="shared" ca="1" si="245"/>
        <v>119.58477594507259</v>
      </c>
      <c r="J525" s="306">
        <f t="shared" ca="1" si="246"/>
        <v>766.09694351381722</v>
      </c>
      <c r="K525" s="307">
        <f t="shared" ca="1" si="247"/>
        <v>38.729741544535074</v>
      </c>
      <c r="L525" s="304">
        <f t="shared" ca="1" si="232"/>
        <v>767.07530252336983</v>
      </c>
      <c r="M525" s="306">
        <f t="shared" ca="1" si="248"/>
        <v>-1.4768004661659202</v>
      </c>
      <c r="N525" s="304">
        <f t="shared" ca="1" si="249"/>
        <v>-84.614433894259761</v>
      </c>
      <c r="P525" s="310">
        <f t="shared" ca="1" si="250"/>
        <v>23</v>
      </c>
      <c r="Q525" s="304">
        <f t="shared" ca="1" si="251"/>
        <v>0</v>
      </c>
      <c r="R525" s="306">
        <f t="shared" ca="1" si="252"/>
        <v>0</v>
      </c>
      <c r="S525" s="307">
        <f t="shared" ca="1" si="253"/>
        <v>7.4499999999999984</v>
      </c>
      <c r="T525" s="304">
        <f t="shared" ca="1" si="233"/>
        <v>73.084499999999991</v>
      </c>
      <c r="U525" s="311">
        <f t="shared" ca="1" si="234"/>
        <v>0</v>
      </c>
      <c r="V525" s="306">
        <f t="shared" ca="1" si="235"/>
        <v>1.2202647763601808</v>
      </c>
      <c r="W525" s="304">
        <f t="shared" ca="1" si="236"/>
        <v>57.275601612408792</v>
      </c>
      <c r="Y525" s="314" t="str">
        <f t="shared" ca="1" si="254"/>
        <v/>
      </c>
      <c r="Z525" s="315" t="str">
        <f t="shared" ca="1" si="255"/>
        <v/>
      </c>
      <c r="AA525" s="316" t="str">
        <f t="shared" ca="1" si="256"/>
        <v/>
      </c>
      <c r="AC525" s="310" t="e">
        <f t="shared" ca="1" si="257"/>
        <v>#N/A</v>
      </c>
      <c r="AD525" s="323" t="e">
        <f t="shared" ca="1" si="258"/>
        <v>#N/A</v>
      </c>
      <c r="AE525" s="324" t="e">
        <f t="shared" ca="1" si="237"/>
        <v>#N/A</v>
      </c>
      <c r="AG525" s="306">
        <f t="shared" ca="1" si="259"/>
        <v>2.1142494365235516</v>
      </c>
      <c r="AH525" s="304">
        <f t="shared" ca="1" si="260"/>
        <v>-7.6517279935658982</v>
      </c>
    </row>
    <row r="526" spans="1:34" x14ac:dyDescent="0.2">
      <c r="A526" s="347">
        <f t="shared" ca="1" si="238"/>
        <v>0.1</v>
      </c>
      <c r="B526" s="304">
        <f t="shared" ca="1" si="239"/>
        <v>34.200000000000216</v>
      </c>
      <c r="D526" s="306">
        <f t="shared" ca="1" si="240"/>
        <v>-0.7215765524392993</v>
      </c>
      <c r="E526" s="307">
        <f t="shared" ca="1" si="241"/>
        <v>-2.1559373789595577</v>
      </c>
      <c r="F526" s="304">
        <f t="shared" ca="1" si="242"/>
        <v>2.2734860243742854</v>
      </c>
      <c r="G526" s="306">
        <f t="shared" ca="1" si="243"/>
        <v>11.151771574915855</v>
      </c>
      <c r="H526" s="307">
        <f t="shared" ca="1" si="244"/>
        <v>-119.2724795130143</v>
      </c>
      <c r="I526" s="304">
        <f t="shared" ca="1" si="245"/>
        <v>119.79268082166588</v>
      </c>
      <c r="J526" s="306">
        <f t="shared" ca="1" si="246"/>
        <v>767.21572855407101</v>
      </c>
      <c r="K526" s="307">
        <f t="shared" ca="1" si="247"/>
        <v>26.813273280128442</v>
      </c>
      <c r="L526" s="304">
        <f t="shared" ca="1" si="232"/>
        <v>767.68413150510594</v>
      </c>
      <c r="M526" s="306">
        <f t="shared" ca="1" si="248"/>
        <v>-1.477569079282661</v>
      </c>
      <c r="N526" s="304">
        <f t="shared" ca="1" si="249"/>
        <v>-84.658472181927394</v>
      </c>
      <c r="P526" s="310">
        <f t="shared" ca="1" si="250"/>
        <v>23</v>
      </c>
      <c r="Q526" s="304">
        <f t="shared" ca="1" si="251"/>
        <v>0</v>
      </c>
      <c r="R526" s="306">
        <f t="shared" ca="1" si="252"/>
        <v>0</v>
      </c>
      <c r="S526" s="307">
        <f t="shared" ca="1" si="253"/>
        <v>7.4499999999999984</v>
      </c>
      <c r="T526" s="304">
        <f t="shared" ca="1" si="233"/>
        <v>73.084499999999991</v>
      </c>
      <c r="U526" s="311">
        <f t="shared" ca="1" si="234"/>
        <v>0</v>
      </c>
      <c r="V526" s="306">
        <f t="shared" ca="1" si="235"/>
        <v>1.2217197717060677</v>
      </c>
      <c r="W526" s="304">
        <f t="shared" ca="1" si="236"/>
        <v>57.543459285254421</v>
      </c>
      <c r="Y526" s="314" t="str">
        <f t="shared" ca="1" si="254"/>
        <v/>
      </c>
      <c r="Z526" s="315" t="str">
        <f t="shared" ca="1" si="255"/>
        <v/>
      </c>
      <c r="AA526" s="316" t="str">
        <f t="shared" ca="1" si="256"/>
        <v/>
      </c>
      <c r="AC526" s="310" t="e">
        <f t="shared" ca="1" si="257"/>
        <v>#N/A</v>
      </c>
      <c r="AD526" s="323" t="e">
        <f t="shared" ca="1" si="258"/>
        <v>#N/A</v>
      </c>
      <c r="AE526" s="324" t="e">
        <f t="shared" ca="1" si="237"/>
        <v>#N/A</v>
      </c>
      <c r="AG526" s="306">
        <f t="shared" ca="1" si="259"/>
        <v>2.0786949186621548</v>
      </c>
      <c r="AH526" s="304">
        <f t="shared" ca="1" si="260"/>
        <v>-7.6880002164307122</v>
      </c>
    </row>
    <row r="527" spans="1:34" x14ac:dyDescent="0.2">
      <c r="A527" s="347">
        <f t="shared" ca="1" si="238"/>
        <v>0.1</v>
      </c>
      <c r="B527" s="304">
        <f t="shared" ca="1" si="239"/>
        <v>34.300000000000217</v>
      </c>
      <c r="D527" s="306">
        <f t="shared" ca="1" si="240"/>
        <v>-0.71904037078090621</v>
      </c>
      <c r="E527" s="307">
        <f t="shared" ca="1" si="241"/>
        <v>-2.1195871075853718</v>
      </c>
      <c r="F527" s="304">
        <f t="shared" ca="1" si="242"/>
        <v>2.2382288894245974</v>
      </c>
      <c r="G527" s="306">
        <f t="shared" ca="1" si="243"/>
        <v>11.079867537837766</v>
      </c>
      <c r="H527" s="307">
        <f t="shared" ca="1" si="244"/>
        <v>-119.48443822377284</v>
      </c>
      <c r="I527" s="304">
        <f t="shared" ca="1" si="245"/>
        <v>119.99706014026602</v>
      </c>
      <c r="J527" s="306">
        <f t="shared" ca="1" si="246"/>
        <v>768.3273105097087</v>
      </c>
      <c r="K527" s="307">
        <f t="shared" ca="1" si="247"/>
        <v>14.875427393289083</v>
      </c>
      <c r="L527" s="304">
        <f t="shared" ca="1" si="232"/>
        <v>768.4712970665953</v>
      </c>
      <c r="M527" s="306">
        <f t="shared" ca="1" si="248"/>
        <v>-1.4783301272390876</v>
      </c>
      <c r="N527" s="304">
        <f t="shared" ca="1" si="249"/>
        <v>-84.702077017837695</v>
      </c>
      <c r="P527" s="310">
        <f t="shared" ca="1" si="250"/>
        <v>23</v>
      </c>
      <c r="Q527" s="304">
        <f t="shared" ca="1" si="251"/>
        <v>0</v>
      </c>
      <c r="R527" s="306">
        <f t="shared" ca="1" si="252"/>
        <v>0</v>
      </c>
      <c r="S527" s="307">
        <f t="shared" ca="1" si="253"/>
        <v>7.4499999999999984</v>
      </c>
      <c r="T527" s="304">
        <f t="shared" ca="1" si="233"/>
        <v>73.084499999999991</v>
      </c>
      <c r="U527" s="311">
        <f t="shared" ca="1" si="234"/>
        <v>0</v>
      </c>
      <c r="V527" s="306">
        <f t="shared" ca="1" si="235"/>
        <v>1.2231791144668489</v>
      </c>
      <c r="W527" s="304">
        <f t="shared" ca="1" si="236"/>
        <v>57.808947892447051</v>
      </c>
      <c r="Y527" s="314" t="str">
        <f t="shared" ca="1" si="254"/>
        <v/>
      </c>
      <c r="Z527" s="315" t="str">
        <f t="shared" ca="1" si="255"/>
        <v/>
      </c>
      <c r="AA527" s="316" t="str">
        <f t="shared" ca="1" si="256"/>
        <v/>
      </c>
      <c r="AC527" s="310" t="e">
        <f t="shared" ca="1" si="257"/>
        <v>#N/A</v>
      </c>
      <c r="AD527" s="323" t="e">
        <f t="shared" ca="1" si="258"/>
        <v>#N/A</v>
      </c>
      <c r="AE527" s="324" t="e">
        <f t="shared" ca="1" si="237"/>
        <v>#N/A</v>
      </c>
      <c r="AG527" s="306">
        <f t="shared" ca="1" si="259"/>
        <v>2.0434456781366324</v>
      </c>
      <c r="AH527" s="304">
        <f t="shared" ca="1" si="260"/>
        <v>-7.7239542664771053</v>
      </c>
    </row>
    <row r="528" spans="1:34" x14ac:dyDescent="0.2">
      <c r="A528" s="347">
        <f t="shared" ca="1" si="238"/>
        <v>0.1</v>
      </c>
      <c r="B528" s="304">
        <f t="shared" ca="1" si="239"/>
        <v>34.400000000000219</v>
      </c>
      <c r="D528" s="306">
        <f t="shared" ca="1" si="240"/>
        <v>-0.7164778270863752</v>
      </c>
      <c r="E528" s="307">
        <f t="shared" ca="1" si="241"/>
        <v>-2.0835582914819408</v>
      </c>
      <c r="F528" s="304">
        <f t="shared" ca="1" si="242"/>
        <v>2.2033056144596825</v>
      </c>
      <c r="G528" s="306">
        <f t="shared" ca="1" si="243"/>
        <v>11.008219755129128</v>
      </c>
      <c r="H528" s="307">
        <f t="shared" ca="1" si="244"/>
        <v>-119.69279405292103</v>
      </c>
      <c r="I528" s="304">
        <f t="shared" ca="1" si="245"/>
        <v>120.19794445152623</v>
      </c>
      <c r="J528" s="306">
        <f t="shared" ca="1" si="246"/>
        <v>769.431714874357</v>
      </c>
      <c r="K528" s="307">
        <f t="shared" ca="1" si="247"/>
        <v>2.9165657794543893</v>
      </c>
      <c r="L528" s="304">
        <f t="shared" ca="1" si="232"/>
        <v>769.43724254187202</v>
      </c>
      <c r="M528" s="306">
        <f t="shared" ca="1" si="248"/>
        <v>-1.4790837187020367</v>
      </c>
      <c r="N528" s="304">
        <f t="shared" ca="1" si="249"/>
        <v>-84.745254628141765</v>
      </c>
      <c r="P528" s="310">
        <f t="shared" ca="1" si="250"/>
        <v>23</v>
      </c>
      <c r="Q528" s="304">
        <f t="shared" ca="1" si="251"/>
        <v>0</v>
      </c>
      <c r="R528" s="306">
        <f t="shared" ca="1" si="252"/>
        <v>0</v>
      </c>
      <c r="S528" s="307">
        <f t="shared" ca="1" si="253"/>
        <v>7.4499999999999984</v>
      </c>
      <c r="T528" s="304">
        <f t="shared" ca="1" si="233"/>
        <v>73.084499999999991</v>
      </c>
      <c r="U528" s="311">
        <f t="shared" ca="1" si="234"/>
        <v>0</v>
      </c>
      <c r="V528" s="306">
        <f t="shared" ca="1" si="235"/>
        <v>1.2246427727858502</v>
      </c>
      <c r="W528" s="304">
        <f t="shared" ca="1" si="236"/>
        <v>58.072069247774635</v>
      </c>
      <c r="Y528" s="314" t="str">
        <f t="shared" ca="1" si="254"/>
        <v/>
      </c>
      <c r="Z528" s="315" t="str">
        <f t="shared" ca="1" si="255"/>
        <v/>
      </c>
      <c r="AA528" s="316" t="str">
        <f t="shared" ca="1" si="256"/>
        <v/>
      </c>
      <c r="AC528" s="310" t="e">
        <f t="shared" ca="1" si="257"/>
        <v>#N/A</v>
      </c>
      <c r="AD528" s="323" t="e">
        <f t="shared" ca="1" si="258"/>
        <v>#N/A</v>
      </c>
      <c r="AE528" s="324" t="e">
        <f t="shared" ca="1" si="237"/>
        <v>#N/A</v>
      </c>
      <c r="AG528" s="306">
        <f t="shared" ca="1" si="259"/>
        <v>2.0085018104990597</v>
      </c>
      <c r="AH528" s="304">
        <f t="shared" ca="1" si="260"/>
        <v>-7.7595903211338344</v>
      </c>
    </row>
    <row r="529" spans="1:34" x14ac:dyDescent="0.2">
      <c r="A529" s="347">
        <f t="shared" ca="1" si="238"/>
        <v>0.1</v>
      </c>
      <c r="B529" s="304">
        <f t="shared" ca="1" si="239"/>
        <v>34.50000000000022</v>
      </c>
      <c r="D529" s="306">
        <f t="shared" ca="1" si="240"/>
        <v>-0.71388963841418307</v>
      </c>
      <c r="E529" s="307">
        <f t="shared" ca="1" si="241"/>
        <v>-2.047850681768046</v>
      </c>
      <c r="F529" s="304">
        <f t="shared" ca="1" si="242"/>
        <v>2.1687164016193967</v>
      </c>
      <c r="G529" s="306">
        <f t="shared" ca="1" si="243"/>
        <v>10.93683079128771</v>
      </c>
      <c r="H529" s="307">
        <f t="shared" ca="1" si="244"/>
        <v>-119.89757912109783</v>
      </c>
      <c r="I529" s="304">
        <f t="shared" ca="1" si="245"/>
        <v>120.39536430800472</v>
      </c>
      <c r="J529" s="306">
        <f t="shared" ca="1" si="246"/>
        <v>770.52896740167785</v>
      </c>
      <c r="K529" s="307">
        <f t="shared" ca="1" si="247"/>
        <v>-9.0629528792465539</v>
      </c>
      <c r="L529" s="304">
        <f t="shared" ca="1" si="232"/>
        <v>770.58226473231741</v>
      </c>
      <c r="M529" s="306">
        <f t="shared" ca="1" si="248"/>
        <v>-1.4798299600905636</v>
      </c>
      <c r="N529" s="304">
        <f t="shared" ca="1" si="249"/>
        <v>-84.788011110202348</v>
      </c>
      <c r="P529" s="310">
        <f t="shared" ca="1" si="250"/>
        <v>23</v>
      </c>
      <c r="Q529" s="304">
        <f t="shared" ca="1" si="251"/>
        <v>0</v>
      </c>
      <c r="R529" s="306">
        <f t="shared" ca="1" si="252"/>
        <v>0</v>
      </c>
      <c r="S529" s="307">
        <f t="shared" ca="1" si="253"/>
        <v>7.4499999999999984</v>
      </c>
      <c r="T529" s="304">
        <f t="shared" ca="1" si="233"/>
        <v>73.084499999999991</v>
      </c>
      <c r="U529" s="311">
        <f t="shared" ca="1" si="234"/>
        <v>0</v>
      </c>
      <c r="V529" s="306">
        <f t="shared" ca="1" si="235"/>
        <v>1.2261107150456136</v>
      </c>
      <c r="W529" s="304">
        <f t="shared" ca="1" si="236"/>
        <v>58.332825645825942</v>
      </c>
      <c r="Y529" s="314" t="str">
        <f t="shared" ca="1" si="254"/>
        <v>Impact balistique</v>
      </c>
      <c r="Z529" s="315" t="str">
        <f t="shared" ca="1" si="255"/>
        <v/>
      </c>
      <c r="AA529" s="316" t="str">
        <f t="shared" ca="1" si="256"/>
        <v/>
      </c>
      <c r="AC529" s="310" t="e">
        <f t="shared" ca="1" si="257"/>
        <v>#N/A</v>
      </c>
      <c r="AD529" s="323" t="e">
        <f t="shared" ca="1" si="258"/>
        <v>#N/A</v>
      </c>
      <c r="AE529" s="324" t="e">
        <f t="shared" ca="1" si="237"/>
        <v>#N/A</v>
      </c>
      <c r="AG529" s="306">
        <f t="shared" ca="1" si="259"/>
        <v>1.9738633382295845</v>
      </c>
      <c r="AH529" s="304">
        <f t="shared" ca="1" si="260"/>
        <v>-7.7949086238623693</v>
      </c>
    </row>
    <row r="530" spans="1:34" x14ac:dyDescent="0.2">
      <c r="A530" s="347">
        <f t="shared" ca="1" si="238"/>
        <v>1E-4</v>
      </c>
      <c r="B530" s="304">
        <f t="shared" ca="1" si="239"/>
        <v>34.500100000000224</v>
      </c>
      <c r="D530" s="306">
        <f t="shared" ca="1" si="240"/>
        <v>-0.71127651479909348</v>
      </c>
      <c r="E530" s="307">
        <f t="shared" ca="1" si="241"/>
        <v>-2.012463964420359</v>
      </c>
      <c r="F530" s="304">
        <f t="shared" ca="1" si="242"/>
        <v>2.1344614048033881</v>
      </c>
      <c r="G530" s="306">
        <f t="shared" ca="1" si="243"/>
        <v>10.936759663636229</v>
      </c>
      <c r="H530" s="307">
        <f t="shared" ca="1" si="244"/>
        <v>-119.89778036749428</v>
      </c>
      <c r="I530" s="304">
        <f t="shared" ca="1" si="245"/>
        <v>120.39555826105894</v>
      </c>
      <c r="J530" s="306">
        <f t="shared" ca="1" si="246"/>
        <v>770.52896740167785</v>
      </c>
      <c r="K530" s="307">
        <f t="shared" ca="1" si="247"/>
        <v>-9.0749426472209826</v>
      </c>
      <c r="L530" s="304">
        <f t="shared" ca="1" si="232"/>
        <v>770.58240583934071</v>
      </c>
      <c r="M530" s="306">
        <f t="shared" ca="1" si="248"/>
        <v>-1.4798307002755475</v>
      </c>
      <c r="N530" s="304">
        <f t="shared" ca="1" si="249"/>
        <v>-84.788053519677987</v>
      </c>
      <c r="P530" s="310">
        <f t="shared" ca="1" si="250"/>
        <v>23</v>
      </c>
      <c r="Q530" s="304">
        <f t="shared" ca="1" si="251"/>
        <v>0</v>
      </c>
      <c r="R530" s="306">
        <f t="shared" ca="1" si="252"/>
        <v>0</v>
      </c>
      <c r="S530" s="307">
        <f t="shared" ca="1" si="253"/>
        <v>7.4499999999999984</v>
      </c>
      <c r="T530" s="304">
        <f t="shared" ca="1" si="233"/>
        <v>73.084499999999991</v>
      </c>
      <c r="U530" s="311">
        <f t="shared" ca="1" si="234"/>
        <v>0</v>
      </c>
      <c r="V530" s="306">
        <f t="shared" ca="1" si="235"/>
        <v>1.2261121851250958</v>
      </c>
      <c r="W530" s="304">
        <f t="shared" ca="1" si="236"/>
        <v>58.333083530570136</v>
      </c>
      <c r="Y530" s="314" t="str">
        <f t="shared" ca="1" si="254"/>
        <v/>
      </c>
      <c r="Z530" s="315" t="str">
        <f t="shared" ca="1" si="255"/>
        <v/>
      </c>
      <c r="AA530" s="316" t="str">
        <f t="shared" ca="1" si="256"/>
        <v/>
      </c>
      <c r="AC530" s="310" t="e">
        <f t="shared" ca="1" si="257"/>
        <v>#N/A</v>
      </c>
      <c r="AD530" s="323" t="e">
        <f t="shared" ca="1" si="258"/>
        <v>#N/A</v>
      </c>
      <c r="AE530" s="324" t="e">
        <f t="shared" ca="1" si="237"/>
        <v>#N/A</v>
      </c>
      <c r="AG530" s="306">
        <f t="shared" ca="1" si="259"/>
        <v>1.9395302124497871</v>
      </c>
      <c r="AH530" s="304">
        <f t="shared" ca="1" si="260"/>
        <v>-7.8299094826612023</v>
      </c>
    </row>
    <row r="531" spans="1:34" x14ac:dyDescent="0.2">
      <c r="A531" s="347">
        <f t="shared" ca="1" si="238"/>
        <v>1E-4</v>
      </c>
      <c r="B531" s="304">
        <f t="shared" ca="1" si="239"/>
        <v>34.500200000000227</v>
      </c>
      <c r="D531" s="306">
        <f t="shared" ca="1" si="240"/>
        <v>-0.71127388765072863</v>
      </c>
      <c r="E531" s="307">
        <f t="shared" ca="1" si="241"/>
        <v>-2.0124289656624805</v>
      </c>
      <c r="F531" s="304">
        <f t="shared" ca="1" si="242"/>
        <v>2.1344275310000906</v>
      </c>
      <c r="G531" s="306">
        <f t="shared" ca="1" si="243"/>
        <v>10.936688536247464</v>
      </c>
      <c r="H531" s="307">
        <f t="shared" ca="1" si="244"/>
        <v>-119.89798161039084</v>
      </c>
      <c r="I531" s="304">
        <f t="shared" ca="1" si="245"/>
        <v>120.39575221071759</v>
      </c>
      <c r="J531" s="306">
        <f t="shared" ca="1" si="246"/>
        <v>770.52896740167785</v>
      </c>
      <c r="K531" s="307">
        <f t="shared" ca="1" si="247"/>
        <v>-9.086932435319877</v>
      </c>
      <c r="L531" s="304">
        <f t="shared" ca="1" si="232"/>
        <v>770.5825471331284</v>
      </c>
      <c r="M531" s="306">
        <f t="shared" ca="1" si="248"/>
        <v>-1.4798314404533328</v>
      </c>
      <c r="N531" s="304">
        <f t="shared" ca="1" si="249"/>
        <v>-84.788095928741171</v>
      </c>
      <c r="P531" s="310">
        <f t="shared" ca="1" si="250"/>
        <v>23</v>
      </c>
      <c r="Q531" s="304">
        <f t="shared" ca="1" si="251"/>
        <v>0</v>
      </c>
      <c r="R531" s="306">
        <f t="shared" ca="1" si="252"/>
        <v>0</v>
      </c>
      <c r="S531" s="307">
        <f t="shared" ca="1" si="253"/>
        <v>7.4499999999999984</v>
      </c>
      <c r="T531" s="304">
        <f t="shared" ca="1" si="233"/>
        <v>73.084499999999991</v>
      </c>
      <c r="U531" s="311">
        <f t="shared" ca="1" si="234"/>
        <v>0</v>
      </c>
      <c r="V531" s="306">
        <f t="shared" ca="1" si="235"/>
        <v>1.2261136552088086</v>
      </c>
      <c r="W531" s="304">
        <f t="shared" ca="1" si="236"/>
        <v>58.333341412978676</v>
      </c>
      <c r="Y531" s="314" t="str">
        <f t="shared" ca="1" si="254"/>
        <v/>
      </c>
      <c r="Z531" s="315" t="str">
        <f t="shared" ca="1" si="255"/>
        <v/>
      </c>
      <c r="AA531" s="316" t="str">
        <f t="shared" ca="1" si="256"/>
        <v/>
      </c>
      <c r="AC531" s="310" t="e">
        <f t="shared" ca="1" si="257"/>
        <v>#N/A</v>
      </c>
      <c r="AD531" s="323" t="e">
        <f t="shared" ca="1" si="258"/>
        <v>#N/A</v>
      </c>
      <c r="AE531" s="324" t="e">
        <f t="shared" ca="1" si="237"/>
        <v>#N/A</v>
      </c>
      <c r="AG531" s="306">
        <f t="shared" ca="1" si="259"/>
        <v>1.9394962566609362</v>
      </c>
      <c r="AH531" s="304">
        <f t="shared" ca="1" si="260"/>
        <v>-7.8299440980631072</v>
      </c>
    </row>
    <row r="532" spans="1:34" x14ac:dyDescent="0.2">
      <c r="A532" s="347">
        <f t="shared" ca="1" si="238"/>
        <v>1E-4</v>
      </c>
      <c r="B532" s="304">
        <f t="shared" ca="1" si="239"/>
        <v>34.50030000000023</v>
      </c>
      <c r="D532" s="306">
        <f t="shared" ca="1" si="240"/>
        <v>-0.71127126047859557</v>
      </c>
      <c r="E532" s="307">
        <f t="shared" ca="1" si="241"/>
        <v>-2.0123939672215529</v>
      </c>
      <c r="F532" s="304">
        <f t="shared" ca="1" si="242"/>
        <v>2.1343936575272404</v>
      </c>
      <c r="G532" s="306">
        <f t="shared" ca="1" si="243"/>
        <v>10.936617409121416</v>
      </c>
      <c r="H532" s="307">
        <f t="shared" ca="1" si="244"/>
        <v>-119.89818284978756</v>
      </c>
      <c r="I532" s="304">
        <f t="shared" ca="1" si="245"/>
        <v>120.39594615698067</v>
      </c>
      <c r="J532" s="306">
        <f t="shared" ca="1" si="246"/>
        <v>770.52896740167785</v>
      </c>
      <c r="K532" s="307">
        <f t="shared" ca="1" si="247"/>
        <v>-9.0989222435428854</v>
      </c>
      <c r="L532" s="304">
        <f t="shared" ca="1" si="232"/>
        <v>770.58268861368151</v>
      </c>
      <c r="M532" s="306">
        <f t="shared" ca="1" si="248"/>
        <v>-1.4798321806239196</v>
      </c>
      <c r="N532" s="304">
        <f t="shared" ca="1" si="249"/>
        <v>-84.788138337391914</v>
      </c>
      <c r="P532" s="310">
        <f t="shared" ca="1" si="250"/>
        <v>23</v>
      </c>
      <c r="Q532" s="304">
        <f t="shared" ca="1" si="251"/>
        <v>0</v>
      </c>
      <c r="R532" s="306">
        <f t="shared" ca="1" si="252"/>
        <v>0</v>
      </c>
      <c r="S532" s="307">
        <f t="shared" ca="1" si="253"/>
        <v>7.4499999999999984</v>
      </c>
      <c r="T532" s="304">
        <f t="shared" ca="1" si="233"/>
        <v>73.084499999999991</v>
      </c>
      <c r="U532" s="311">
        <f t="shared" ca="1" si="234"/>
        <v>0</v>
      </c>
      <c r="V532" s="306">
        <f t="shared" ca="1" si="235"/>
        <v>1.2261151252967522</v>
      </c>
      <c r="W532" s="304">
        <f t="shared" ca="1" si="236"/>
        <v>58.33359929305152</v>
      </c>
      <c r="Y532" s="314" t="str">
        <f t="shared" ca="1" si="254"/>
        <v/>
      </c>
      <c r="Z532" s="315" t="str">
        <f t="shared" ca="1" si="255"/>
        <v/>
      </c>
      <c r="AA532" s="316" t="str">
        <f t="shared" ca="1" si="256"/>
        <v/>
      </c>
      <c r="AC532" s="310" t="e">
        <f t="shared" ca="1" si="257"/>
        <v>#N/A</v>
      </c>
      <c r="AD532" s="323" t="e">
        <f t="shared" ca="1" si="258"/>
        <v>#N/A</v>
      </c>
      <c r="AE532" s="324" t="e">
        <f t="shared" ca="1" si="237"/>
        <v>#N/A</v>
      </c>
      <c r="AG532" s="306">
        <f t="shared" ca="1" si="259"/>
        <v>1.9394623011738323</v>
      </c>
      <c r="AH532" s="304">
        <f t="shared" ca="1" si="260"/>
        <v>-7.829978713151502</v>
      </c>
    </row>
    <row r="533" spans="1:34" x14ac:dyDescent="0.2">
      <c r="A533" s="347">
        <f t="shared" ca="1" si="238"/>
        <v>1E-4</v>
      </c>
      <c r="B533" s="304">
        <f t="shared" ca="1" si="239"/>
        <v>34.500400000000234</v>
      </c>
      <c r="D533" s="306">
        <f t="shared" ca="1" si="240"/>
        <v>-0.71126863328269374</v>
      </c>
      <c r="E533" s="307">
        <f t="shared" ca="1" si="241"/>
        <v>-2.0123589690975825</v>
      </c>
      <c r="F533" s="304">
        <f t="shared" ca="1" si="242"/>
        <v>2.1343597843848436</v>
      </c>
      <c r="G533" s="306">
        <f t="shared" ca="1" si="243"/>
        <v>10.936546282258087</v>
      </c>
      <c r="H533" s="307">
        <f t="shared" ca="1" si="244"/>
        <v>-119.89838408568447</v>
      </c>
      <c r="I533" s="304">
        <f t="shared" ca="1" si="245"/>
        <v>120.39614009984825</v>
      </c>
      <c r="J533" s="306">
        <f t="shared" ca="1" si="246"/>
        <v>770.52896740167785</v>
      </c>
      <c r="K533" s="307">
        <f t="shared" ca="1" si="247"/>
        <v>-9.1109120718896595</v>
      </c>
      <c r="L533" s="304">
        <f t="shared" ca="1" si="232"/>
        <v>770.58283028100084</v>
      </c>
      <c r="M533" s="306">
        <f t="shared" ca="1" si="248"/>
        <v>-1.4798329207873082</v>
      </c>
      <c r="N533" s="304">
        <f t="shared" ca="1" si="249"/>
        <v>-84.788180745630228</v>
      </c>
      <c r="P533" s="310">
        <f t="shared" ca="1" si="250"/>
        <v>23</v>
      </c>
      <c r="Q533" s="304">
        <f t="shared" ca="1" si="251"/>
        <v>0</v>
      </c>
      <c r="R533" s="306">
        <f t="shared" ca="1" si="252"/>
        <v>0</v>
      </c>
      <c r="S533" s="307">
        <f t="shared" ca="1" si="253"/>
        <v>7.4499999999999984</v>
      </c>
      <c r="T533" s="304">
        <f t="shared" ca="1" si="233"/>
        <v>73.084499999999991</v>
      </c>
      <c r="U533" s="311">
        <f t="shared" ca="1" si="234"/>
        <v>0</v>
      </c>
      <c r="V533" s="306">
        <f t="shared" ca="1" si="235"/>
        <v>1.226116595388927</v>
      </c>
      <c r="W533" s="304">
        <f t="shared" ca="1" si="236"/>
        <v>58.333857170788754</v>
      </c>
      <c r="Y533" s="314" t="str">
        <f t="shared" ca="1" si="254"/>
        <v/>
      </c>
      <c r="Z533" s="315" t="str">
        <f t="shared" ca="1" si="255"/>
        <v/>
      </c>
      <c r="AA533" s="316" t="str">
        <f t="shared" ca="1" si="256"/>
        <v/>
      </c>
      <c r="AC533" s="310" t="e">
        <f t="shared" ca="1" si="257"/>
        <v>#N/A</v>
      </c>
      <c r="AD533" s="323" t="e">
        <f t="shared" ca="1" si="258"/>
        <v>#N/A</v>
      </c>
      <c r="AE533" s="324" t="e">
        <f t="shared" ca="1" si="237"/>
        <v>#N/A</v>
      </c>
      <c r="AG533" s="306">
        <f t="shared" ca="1" si="259"/>
        <v>1.9394283459884747</v>
      </c>
      <c r="AH533" s="304">
        <f t="shared" ca="1" si="260"/>
        <v>-7.8300133279263804</v>
      </c>
    </row>
    <row r="534" spans="1:34" x14ac:dyDescent="0.2">
      <c r="A534" s="347">
        <f t="shared" ca="1" si="238"/>
        <v>1E-4</v>
      </c>
      <c r="B534" s="304">
        <f t="shared" ca="1" si="239"/>
        <v>34.500500000000237</v>
      </c>
      <c r="D534" s="306">
        <f t="shared" ca="1" si="240"/>
        <v>-0.71126600606302393</v>
      </c>
      <c r="E534" s="307">
        <f t="shared" ca="1" si="241"/>
        <v>-2.0123239712905585</v>
      </c>
      <c r="F534" s="304">
        <f t="shared" ca="1" si="242"/>
        <v>2.1343259115728905</v>
      </c>
      <c r="G534" s="306">
        <f t="shared" ca="1" si="243"/>
        <v>10.936475155657481</v>
      </c>
      <c r="H534" s="307">
        <f t="shared" ca="1" si="244"/>
        <v>-119.8985853180816</v>
      </c>
      <c r="I534" s="304">
        <f t="shared" ca="1" si="245"/>
        <v>120.39633403932035</v>
      </c>
      <c r="J534" s="306">
        <f t="shared" ca="1" si="246"/>
        <v>770.52896740167785</v>
      </c>
      <c r="K534" s="307">
        <f t="shared" ca="1" si="247"/>
        <v>-9.1229019203598476</v>
      </c>
      <c r="L534" s="304">
        <f t="shared" ca="1" si="232"/>
        <v>770.58297213508718</v>
      </c>
      <c r="M534" s="306">
        <f t="shared" ca="1" si="248"/>
        <v>-1.4798336609434983</v>
      </c>
      <c r="N534" s="304">
        <f t="shared" ca="1" si="249"/>
        <v>-84.788223153456101</v>
      </c>
      <c r="P534" s="310">
        <f t="shared" ca="1" si="250"/>
        <v>23</v>
      </c>
      <c r="Q534" s="304">
        <f t="shared" ca="1" si="251"/>
        <v>0</v>
      </c>
      <c r="R534" s="306">
        <f t="shared" ca="1" si="252"/>
        <v>0</v>
      </c>
      <c r="S534" s="307">
        <f t="shared" ca="1" si="253"/>
        <v>7.4499999999999984</v>
      </c>
      <c r="T534" s="304">
        <f t="shared" ca="1" si="233"/>
        <v>73.084499999999991</v>
      </c>
      <c r="U534" s="311">
        <f t="shared" ca="1" si="234"/>
        <v>0</v>
      </c>
      <c r="V534" s="306">
        <f t="shared" ca="1" si="235"/>
        <v>1.2261180654853323</v>
      </c>
      <c r="W534" s="304">
        <f t="shared" ca="1" si="236"/>
        <v>58.334115046190341</v>
      </c>
      <c r="Y534" s="314" t="str">
        <f t="shared" ca="1" si="254"/>
        <v/>
      </c>
      <c r="Z534" s="315" t="str">
        <f t="shared" ca="1" si="255"/>
        <v/>
      </c>
      <c r="AA534" s="316" t="str">
        <f t="shared" ca="1" si="256"/>
        <v/>
      </c>
      <c r="AC534" s="310" t="e">
        <f t="shared" ca="1" si="257"/>
        <v>#N/A</v>
      </c>
      <c r="AD534" s="323" t="e">
        <f t="shared" ca="1" si="258"/>
        <v>#N/A</v>
      </c>
      <c r="AE534" s="324" t="e">
        <f t="shared" ca="1" si="237"/>
        <v>#N/A</v>
      </c>
      <c r="AG534" s="306">
        <f t="shared" ca="1" si="259"/>
        <v>1.9393943911048552</v>
      </c>
      <c r="AH534" s="304">
        <f t="shared" ca="1" si="260"/>
        <v>-7.830047942387754</v>
      </c>
    </row>
    <row r="535" spans="1:34" x14ac:dyDescent="0.2">
      <c r="A535" s="347">
        <f t="shared" ca="1" si="238"/>
        <v>1E-4</v>
      </c>
      <c r="B535" s="304">
        <f t="shared" ca="1" si="239"/>
        <v>34.50060000000024</v>
      </c>
      <c r="D535" s="306">
        <f t="shared" ca="1" si="240"/>
        <v>-0.71126337881958857</v>
      </c>
      <c r="E535" s="307">
        <f t="shared" ca="1" si="241"/>
        <v>-2.0122889738004854</v>
      </c>
      <c r="F535" s="304">
        <f t="shared" ca="1" si="242"/>
        <v>2.1342920390913864</v>
      </c>
      <c r="G535" s="306">
        <f t="shared" ca="1" si="243"/>
        <v>10.936404029319599</v>
      </c>
      <c r="H535" s="307">
        <f t="shared" ca="1" si="244"/>
        <v>-119.89878654697898</v>
      </c>
      <c r="I535" s="304">
        <f t="shared" ca="1" si="245"/>
        <v>120.39652797539698</v>
      </c>
      <c r="J535" s="306">
        <f t="shared" ca="1" si="246"/>
        <v>770.52896740167785</v>
      </c>
      <c r="K535" s="307">
        <f t="shared" ca="1" si="247"/>
        <v>-9.1348917889530998</v>
      </c>
      <c r="L535" s="304">
        <f t="shared" ca="1" si="232"/>
        <v>770.58311417594132</v>
      </c>
      <c r="M535" s="306">
        <f t="shared" ca="1" si="248"/>
        <v>-1.4798344010924904</v>
      </c>
      <c r="N535" s="304">
        <f t="shared" ca="1" si="249"/>
        <v>-84.788265560869561</v>
      </c>
      <c r="P535" s="310">
        <f t="shared" ca="1" si="250"/>
        <v>23</v>
      </c>
      <c r="Q535" s="304">
        <f t="shared" ca="1" si="251"/>
        <v>0</v>
      </c>
      <c r="R535" s="306">
        <f t="shared" ca="1" si="252"/>
        <v>0</v>
      </c>
      <c r="S535" s="307">
        <f t="shared" ca="1" si="253"/>
        <v>7.4499999999999984</v>
      </c>
      <c r="T535" s="304">
        <f t="shared" ca="1" si="233"/>
        <v>73.084499999999991</v>
      </c>
      <c r="U535" s="311">
        <f t="shared" ca="1" si="234"/>
        <v>0</v>
      </c>
      <c r="V535" s="306">
        <f t="shared" ca="1" si="235"/>
        <v>1.2261195355859684</v>
      </c>
      <c r="W535" s="304">
        <f t="shared" ca="1" si="236"/>
        <v>58.334372919256246</v>
      </c>
      <c r="Y535" s="314" t="str">
        <f t="shared" ca="1" si="254"/>
        <v/>
      </c>
      <c r="Z535" s="315" t="str">
        <f t="shared" ca="1" si="255"/>
        <v/>
      </c>
      <c r="AA535" s="316" t="str">
        <f t="shared" ca="1" si="256"/>
        <v/>
      </c>
      <c r="AC535" s="310" t="e">
        <f t="shared" ca="1" si="257"/>
        <v>#N/A</v>
      </c>
      <c r="AD535" s="323" t="e">
        <f t="shared" ca="1" si="258"/>
        <v>#N/A</v>
      </c>
      <c r="AE535" s="324" t="e">
        <f t="shared" ca="1" si="237"/>
        <v>#N/A</v>
      </c>
      <c r="AG535" s="306">
        <f t="shared" ca="1" si="259"/>
        <v>1.9393604365229811</v>
      </c>
      <c r="AH535" s="304">
        <f t="shared" ca="1" si="260"/>
        <v>-7.8300825565356176</v>
      </c>
    </row>
    <row r="536" spans="1:34" x14ac:dyDescent="0.2">
      <c r="A536" s="347">
        <f t="shared" ca="1" si="238"/>
        <v>1E-4</v>
      </c>
      <c r="B536" s="304">
        <f t="shared" ca="1" si="239"/>
        <v>34.500700000000244</v>
      </c>
      <c r="D536" s="306">
        <f t="shared" ca="1" si="240"/>
        <v>-0.71126075155238555</v>
      </c>
      <c r="E536" s="307">
        <f t="shared" ca="1" si="241"/>
        <v>-2.0122539766273668</v>
      </c>
      <c r="F536" s="304">
        <f t="shared" ca="1" si="242"/>
        <v>2.134258166940334</v>
      </c>
      <c r="G536" s="306">
        <f t="shared" ca="1" si="243"/>
        <v>10.936332903244443</v>
      </c>
      <c r="H536" s="307">
        <f t="shared" ca="1" si="244"/>
        <v>-119.89898777237664</v>
      </c>
      <c r="I536" s="304">
        <f t="shared" ca="1" si="245"/>
        <v>120.39672190807818</v>
      </c>
      <c r="J536" s="306">
        <f t="shared" ca="1" si="246"/>
        <v>770.52896740167785</v>
      </c>
      <c r="K536" s="307">
        <f t="shared" ca="1" si="247"/>
        <v>-9.146881677669068</v>
      </c>
      <c r="L536" s="304">
        <f t="shared" ca="1" si="232"/>
        <v>770.58325640356429</v>
      </c>
      <c r="M536" s="306">
        <f t="shared" ca="1" si="248"/>
        <v>-1.4798351412342843</v>
      </c>
      <c r="N536" s="304">
        <f t="shared" ca="1" si="249"/>
        <v>-84.788307967870594</v>
      </c>
      <c r="P536" s="310">
        <f t="shared" ca="1" si="250"/>
        <v>23</v>
      </c>
      <c r="Q536" s="304">
        <f t="shared" ca="1" si="251"/>
        <v>0</v>
      </c>
      <c r="R536" s="306">
        <f t="shared" ca="1" si="252"/>
        <v>0</v>
      </c>
      <c r="S536" s="307">
        <f t="shared" ca="1" si="253"/>
        <v>7.4499999999999984</v>
      </c>
      <c r="T536" s="304">
        <f t="shared" ca="1" si="233"/>
        <v>73.084499999999991</v>
      </c>
      <c r="U536" s="311">
        <f t="shared" ca="1" si="234"/>
        <v>0</v>
      </c>
      <c r="V536" s="306">
        <f t="shared" ca="1" si="235"/>
        <v>1.2261210056908352</v>
      </c>
      <c r="W536" s="304">
        <f t="shared" ca="1" si="236"/>
        <v>58.334630789986512</v>
      </c>
      <c r="Y536" s="314" t="str">
        <f t="shared" ca="1" si="254"/>
        <v/>
      </c>
      <c r="Z536" s="315" t="str">
        <f t="shared" ca="1" si="255"/>
        <v/>
      </c>
      <c r="AA536" s="316" t="str">
        <f t="shared" ca="1" si="256"/>
        <v/>
      </c>
      <c r="AC536" s="310" t="e">
        <f t="shared" ca="1" si="257"/>
        <v>#N/A</v>
      </c>
      <c r="AD536" s="323" t="e">
        <f t="shared" ca="1" si="258"/>
        <v>#N/A</v>
      </c>
      <c r="AE536" s="324" t="e">
        <f t="shared" ca="1" si="237"/>
        <v>#N/A</v>
      </c>
      <c r="AG536" s="306">
        <f t="shared" ca="1" si="259"/>
        <v>1.939326482242854</v>
      </c>
      <c r="AH536" s="304">
        <f t="shared" ca="1" si="260"/>
        <v>-7.8301171703699675</v>
      </c>
    </row>
    <row r="537" spans="1:34" x14ac:dyDescent="0.2">
      <c r="A537" s="347">
        <f t="shared" ca="1" si="238"/>
        <v>1E-4</v>
      </c>
      <c r="B537" s="304">
        <f t="shared" ca="1" si="239"/>
        <v>34.500800000000247</v>
      </c>
      <c r="D537" s="306">
        <f t="shared" ca="1" si="240"/>
        <v>-0.71125812426141843</v>
      </c>
      <c r="E537" s="307">
        <f t="shared" ca="1" si="241"/>
        <v>-2.0122189797711982</v>
      </c>
      <c r="F537" s="304">
        <f t="shared" ca="1" si="242"/>
        <v>2.134224295119731</v>
      </c>
      <c r="G537" s="306">
        <f t="shared" ca="1" si="243"/>
        <v>10.936261777432017</v>
      </c>
      <c r="H537" s="307">
        <f t="shared" ca="1" si="244"/>
        <v>-119.89918899427462</v>
      </c>
      <c r="I537" s="304">
        <f t="shared" ca="1" si="245"/>
        <v>120.39691583736398</v>
      </c>
      <c r="J537" s="306">
        <f t="shared" ca="1" si="246"/>
        <v>770.52896740167785</v>
      </c>
      <c r="K537" s="307">
        <f t="shared" ca="1" si="247"/>
        <v>-9.1588715865074004</v>
      </c>
      <c r="L537" s="304">
        <f t="shared" ca="1" si="232"/>
        <v>770.58339881795666</v>
      </c>
      <c r="M537" s="306">
        <f t="shared" ca="1" si="248"/>
        <v>-1.4798358813688803</v>
      </c>
      <c r="N537" s="304">
        <f t="shared" ca="1" si="249"/>
        <v>-84.788350374459213</v>
      </c>
      <c r="P537" s="310">
        <f t="shared" ca="1" si="250"/>
        <v>23</v>
      </c>
      <c r="Q537" s="304">
        <f t="shared" ca="1" si="251"/>
        <v>0</v>
      </c>
      <c r="R537" s="306">
        <f t="shared" ca="1" si="252"/>
        <v>0</v>
      </c>
      <c r="S537" s="307">
        <f t="shared" ca="1" si="253"/>
        <v>7.4499999999999984</v>
      </c>
      <c r="T537" s="304">
        <f t="shared" ca="1" si="233"/>
        <v>73.084499999999991</v>
      </c>
      <c r="U537" s="311">
        <f t="shared" ca="1" si="234"/>
        <v>0</v>
      </c>
      <c r="V537" s="306">
        <f t="shared" ca="1" si="235"/>
        <v>1.2261224757999327</v>
      </c>
      <c r="W537" s="304">
        <f t="shared" ca="1" si="236"/>
        <v>58.334888658381139</v>
      </c>
      <c r="Y537" s="314" t="str">
        <f t="shared" ca="1" si="254"/>
        <v/>
      </c>
      <c r="Z537" s="315" t="str">
        <f t="shared" ca="1" si="255"/>
        <v/>
      </c>
      <c r="AA537" s="316" t="str">
        <f t="shared" ca="1" si="256"/>
        <v/>
      </c>
      <c r="AC537" s="310" t="e">
        <f t="shared" ca="1" si="257"/>
        <v>#N/A</v>
      </c>
      <c r="AD537" s="323" t="e">
        <f t="shared" ca="1" si="258"/>
        <v>#N/A</v>
      </c>
      <c r="AE537" s="324" t="e">
        <f t="shared" ca="1" si="237"/>
        <v>#N/A</v>
      </c>
      <c r="AG537" s="306">
        <f t="shared" ca="1" si="259"/>
        <v>1.9392925282644669</v>
      </c>
      <c r="AH537" s="304">
        <f t="shared" ca="1" si="260"/>
        <v>-7.830151783890809</v>
      </c>
    </row>
    <row r="538" spans="1:34" x14ac:dyDescent="0.2">
      <c r="A538" s="347">
        <f t="shared" ca="1" si="238"/>
        <v>1E-4</v>
      </c>
      <c r="B538" s="304">
        <f t="shared" ca="1" si="239"/>
        <v>34.50090000000025</v>
      </c>
      <c r="D538" s="306">
        <f t="shared" ca="1" si="240"/>
        <v>-0.71125549694668511</v>
      </c>
      <c r="E538" s="307">
        <f t="shared" ca="1" si="241"/>
        <v>-2.0121839832319788</v>
      </c>
      <c r="F538" s="304">
        <f t="shared" ca="1" si="242"/>
        <v>2.1341904236295757</v>
      </c>
      <c r="G538" s="306">
        <f t="shared" ca="1" si="243"/>
        <v>10.936190651882322</v>
      </c>
      <c r="H538" s="307">
        <f t="shared" ca="1" si="244"/>
        <v>-119.89939021267294</v>
      </c>
      <c r="I538" s="304">
        <f t="shared" ca="1" si="245"/>
        <v>120.39710976325441</v>
      </c>
      <c r="J538" s="306">
        <f t="shared" ca="1" si="246"/>
        <v>770.52896740167785</v>
      </c>
      <c r="K538" s="307">
        <f t="shared" ca="1" si="247"/>
        <v>-9.1708615154677471</v>
      </c>
      <c r="L538" s="304">
        <f t="shared" ca="1" si="232"/>
        <v>770.58354141911946</v>
      </c>
      <c r="M538" s="306">
        <f t="shared" ca="1" si="248"/>
        <v>-1.4798366214962786</v>
      </c>
      <c r="N538" s="304">
        <f t="shared" ca="1" si="249"/>
        <v>-84.788392780635434</v>
      </c>
      <c r="P538" s="310">
        <f t="shared" ca="1" si="250"/>
        <v>23</v>
      </c>
      <c r="Q538" s="304">
        <f t="shared" ca="1" si="251"/>
        <v>0</v>
      </c>
      <c r="R538" s="306">
        <f t="shared" ca="1" si="252"/>
        <v>0</v>
      </c>
      <c r="S538" s="307">
        <f t="shared" ca="1" si="253"/>
        <v>7.4499999999999984</v>
      </c>
      <c r="T538" s="304">
        <f t="shared" ca="1" si="233"/>
        <v>73.084499999999991</v>
      </c>
      <c r="U538" s="311">
        <f t="shared" ca="1" si="234"/>
        <v>0</v>
      </c>
      <c r="V538" s="306">
        <f t="shared" ca="1" si="235"/>
        <v>1.2261239459132609</v>
      </c>
      <c r="W538" s="304">
        <f t="shared" ca="1" si="236"/>
        <v>58.33514652444012</v>
      </c>
      <c r="Y538" s="314" t="str">
        <f t="shared" ca="1" si="254"/>
        <v/>
      </c>
      <c r="Z538" s="315" t="str">
        <f t="shared" ca="1" si="255"/>
        <v/>
      </c>
      <c r="AA538" s="316" t="str">
        <f t="shared" ca="1" si="256"/>
        <v/>
      </c>
      <c r="AC538" s="310" t="e">
        <f t="shared" ca="1" si="257"/>
        <v>#N/A</v>
      </c>
      <c r="AD538" s="323" t="e">
        <f t="shared" ca="1" si="258"/>
        <v>#N/A</v>
      </c>
      <c r="AE538" s="324" t="e">
        <f t="shared" ca="1" si="237"/>
        <v>#N/A</v>
      </c>
      <c r="AG538" s="306">
        <f t="shared" ca="1" si="259"/>
        <v>1.9392585745878259</v>
      </c>
      <c r="AH538" s="304">
        <f t="shared" ca="1" si="260"/>
        <v>-7.8301863970981413</v>
      </c>
    </row>
    <row r="539" spans="1:34" x14ac:dyDescent="0.2">
      <c r="A539" s="347">
        <f t="shared" ca="1" si="238"/>
        <v>1E-4</v>
      </c>
      <c r="B539" s="304">
        <f t="shared" ca="1" si="239"/>
        <v>34.501000000000253</v>
      </c>
      <c r="D539" s="306">
        <f t="shared" ca="1" si="240"/>
        <v>-0.71125286960818723</v>
      </c>
      <c r="E539" s="307">
        <f t="shared" ca="1" si="241"/>
        <v>-2.0121489870097102</v>
      </c>
      <c r="F539" s="304">
        <f t="shared" ca="1" si="242"/>
        <v>2.1341565524698707</v>
      </c>
      <c r="G539" s="306">
        <f t="shared" ca="1" si="243"/>
        <v>10.936119526595361</v>
      </c>
      <c r="H539" s="307">
        <f t="shared" ca="1" si="244"/>
        <v>-119.89959142757164</v>
      </c>
      <c r="I539" s="304">
        <f t="shared" ca="1" si="245"/>
        <v>120.39730368574951</v>
      </c>
      <c r="J539" s="306">
        <f t="shared" ca="1" si="246"/>
        <v>770.52896740167785</v>
      </c>
      <c r="K539" s="307">
        <f t="shared" ca="1" si="247"/>
        <v>-9.1828514645497599</v>
      </c>
      <c r="L539" s="304">
        <f t="shared" ca="1" si="232"/>
        <v>770.58368420705347</v>
      </c>
      <c r="M539" s="306">
        <f t="shared" ca="1" si="248"/>
        <v>-1.4798373616164788</v>
      </c>
      <c r="N539" s="304">
        <f t="shared" ca="1" si="249"/>
        <v>-84.788435186399241</v>
      </c>
      <c r="P539" s="310">
        <f t="shared" ca="1" si="250"/>
        <v>23</v>
      </c>
      <c r="Q539" s="304">
        <f t="shared" ca="1" si="251"/>
        <v>0</v>
      </c>
      <c r="R539" s="306">
        <f t="shared" ca="1" si="252"/>
        <v>0</v>
      </c>
      <c r="S539" s="307">
        <f t="shared" ca="1" si="253"/>
        <v>7.4499999999999984</v>
      </c>
      <c r="T539" s="304">
        <f t="shared" ca="1" si="233"/>
        <v>73.084499999999991</v>
      </c>
      <c r="U539" s="311">
        <f t="shared" ca="1" si="234"/>
        <v>0</v>
      </c>
      <c r="V539" s="306">
        <f t="shared" ca="1" si="235"/>
        <v>1.2261254160308197</v>
      </c>
      <c r="W539" s="304">
        <f t="shared" ca="1" si="236"/>
        <v>58.335404388163461</v>
      </c>
      <c r="Y539" s="314" t="str">
        <f t="shared" ca="1" si="254"/>
        <v/>
      </c>
      <c r="Z539" s="315" t="str">
        <f t="shared" ca="1" si="255"/>
        <v/>
      </c>
      <c r="AA539" s="316" t="str">
        <f t="shared" ca="1" si="256"/>
        <v/>
      </c>
      <c r="AC539" s="310" t="e">
        <f t="shared" ca="1" si="257"/>
        <v>#N/A</v>
      </c>
      <c r="AD539" s="323" t="e">
        <f t="shared" ca="1" si="258"/>
        <v>#N/A</v>
      </c>
      <c r="AE539" s="324" t="e">
        <f t="shared" ca="1" si="237"/>
        <v>#N/A</v>
      </c>
      <c r="AG539" s="306">
        <f t="shared" ca="1" si="259"/>
        <v>1.9392246212129276</v>
      </c>
      <c r="AH539" s="304">
        <f t="shared" ca="1" si="260"/>
        <v>-7.8302210099919645</v>
      </c>
    </row>
    <row r="540" spans="1:34" x14ac:dyDescent="0.2">
      <c r="A540" s="347">
        <f t="shared" ca="1" si="238"/>
        <v>1E-4</v>
      </c>
      <c r="B540" s="304">
        <f t="shared" ca="1" si="239"/>
        <v>34.501100000000257</v>
      </c>
      <c r="D540" s="306">
        <f t="shared" ca="1" si="240"/>
        <v>-0.7112502422459277</v>
      </c>
      <c r="E540" s="307">
        <f t="shared" ca="1" si="241"/>
        <v>-2.0121139911043917</v>
      </c>
      <c r="F540" s="304">
        <f t="shared" ca="1" si="242"/>
        <v>2.134122681640616</v>
      </c>
      <c r="G540" s="306">
        <f t="shared" ca="1" si="243"/>
        <v>10.936048401571137</v>
      </c>
      <c r="H540" s="307">
        <f t="shared" ca="1" si="244"/>
        <v>-119.89979263897075</v>
      </c>
      <c r="I540" s="304">
        <f t="shared" ca="1" si="245"/>
        <v>120.39749760484929</v>
      </c>
      <c r="J540" s="306">
        <f t="shared" ca="1" si="246"/>
        <v>770.52896740167785</v>
      </c>
      <c r="K540" s="307">
        <f t="shared" ca="1" si="247"/>
        <v>-9.194841433753087</v>
      </c>
      <c r="L540" s="304">
        <f t="shared" ca="1" si="232"/>
        <v>770.5838271817596</v>
      </c>
      <c r="M540" s="306">
        <f t="shared" ca="1" si="248"/>
        <v>-1.4798381017294815</v>
      </c>
      <c r="N540" s="304">
        <f t="shared" ca="1" si="249"/>
        <v>-84.788477591750663</v>
      </c>
      <c r="P540" s="310">
        <f t="shared" ca="1" si="250"/>
        <v>23</v>
      </c>
      <c r="Q540" s="304">
        <f t="shared" ca="1" si="251"/>
        <v>0</v>
      </c>
      <c r="R540" s="306">
        <f t="shared" ca="1" si="252"/>
        <v>0</v>
      </c>
      <c r="S540" s="307">
        <f t="shared" ca="1" si="253"/>
        <v>7.4499999999999984</v>
      </c>
      <c r="T540" s="304">
        <f t="shared" ca="1" si="233"/>
        <v>73.084499999999991</v>
      </c>
      <c r="U540" s="311">
        <f t="shared" ca="1" si="234"/>
        <v>0</v>
      </c>
      <c r="V540" s="306">
        <f t="shared" ca="1" si="235"/>
        <v>1.2261268861526093</v>
      </c>
      <c r="W540" s="304">
        <f t="shared" ca="1" si="236"/>
        <v>58.335662249551163</v>
      </c>
      <c r="Y540" s="314" t="str">
        <f t="shared" ca="1" si="254"/>
        <v/>
      </c>
      <c r="Z540" s="315" t="str">
        <f t="shared" ca="1" si="255"/>
        <v/>
      </c>
      <c r="AA540" s="316" t="str">
        <f t="shared" ca="1" si="256"/>
        <v/>
      </c>
      <c r="AC540" s="310" t="e">
        <f t="shared" ca="1" si="257"/>
        <v>#N/A</v>
      </c>
      <c r="AD540" s="323" t="e">
        <f t="shared" ca="1" si="258"/>
        <v>#N/A</v>
      </c>
      <c r="AE540" s="324" t="e">
        <f t="shared" ca="1" si="237"/>
        <v>#N/A</v>
      </c>
      <c r="AG540" s="306">
        <f t="shared" ca="1" si="259"/>
        <v>1.9391906681397737</v>
      </c>
      <c r="AH540" s="304">
        <f t="shared" ca="1" si="260"/>
        <v>-7.8302556225722784</v>
      </c>
    </row>
    <row r="541" spans="1:34" x14ac:dyDescent="0.2">
      <c r="A541" s="347">
        <f t="shared" ca="1" si="238"/>
        <v>1E-4</v>
      </c>
      <c r="B541" s="304">
        <f t="shared" ca="1" si="239"/>
        <v>34.50120000000026</v>
      </c>
      <c r="D541" s="306">
        <f t="shared" ca="1" si="240"/>
        <v>-0.71124761485990462</v>
      </c>
      <c r="E541" s="307">
        <f t="shared" ca="1" si="241"/>
        <v>-2.0120789955160223</v>
      </c>
      <c r="F541" s="304">
        <f t="shared" ca="1" si="242"/>
        <v>2.1340888111418113</v>
      </c>
      <c r="G541" s="306">
        <f t="shared" ca="1" si="243"/>
        <v>10.93597727680965</v>
      </c>
      <c r="H541" s="307">
        <f t="shared" ca="1" si="244"/>
        <v>-119.8999938468703</v>
      </c>
      <c r="I541" s="304">
        <f t="shared" ca="1" si="245"/>
        <v>120.39769152055381</v>
      </c>
      <c r="J541" s="306">
        <f t="shared" ca="1" si="246"/>
        <v>770.52896740167785</v>
      </c>
      <c r="K541" s="307">
        <f t="shared" ca="1" si="247"/>
        <v>-9.2068314230773787</v>
      </c>
      <c r="L541" s="304">
        <f t="shared" ca="1" si="232"/>
        <v>770.58397034323843</v>
      </c>
      <c r="M541" s="306">
        <f t="shared" ca="1" si="248"/>
        <v>-1.4798388418352868</v>
      </c>
      <c r="N541" s="304">
        <f t="shared" ca="1" si="249"/>
        <v>-84.788519996689701</v>
      </c>
      <c r="P541" s="310">
        <f t="shared" ca="1" si="250"/>
        <v>23</v>
      </c>
      <c r="Q541" s="304">
        <f t="shared" ca="1" si="251"/>
        <v>0</v>
      </c>
      <c r="R541" s="306">
        <f t="shared" ca="1" si="252"/>
        <v>0</v>
      </c>
      <c r="S541" s="307">
        <f t="shared" ca="1" si="253"/>
        <v>7.4499999999999984</v>
      </c>
      <c r="T541" s="304">
        <f t="shared" ca="1" si="233"/>
        <v>73.084499999999991</v>
      </c>
      <c r="U541" s="311">
        <f t="shared" ca="1" si="234"/>
        <v>0</v>
      </c>
      <c r="V541" s="306">
        <f t="shared" ca="1" si="235"/>
        <v>1.2261283562786294</v>
      </c>
      <c r="W541" s="304">
        <f t="shared" ca="1" si="236"/>
        <v>58.335920108603247</v>
      </c>
      <c r="Y541" s="314" t="str">
        <f t="shared" ca="1" si="254"/>
        <v/>
      </c>
      <c r="Z541" s="315" t="str">
        <f t="shared" ca="1" si="255"/>
        <v/>
      </c>
      <c r="AA541" s="316" t="str">
        <f t="shared" ca="1" si="256"/>
        <v/>
      </c>
      <c r="AC541" s="310" t="e">
        <f t="shared" ca="1" si="257"/>
        <v>#N/A</v>
      </c>
      <c r="AD541" s="323" t="e">
        <f t="shared" ca="1" si="258"/>
        <v>#N/A</v>
      </c>
      <c r="AE541" s="324" t="e">
        <f t="shared" ca="1" si="237"/>
        <v>#N/A</v>
      </c>
      <c r="AG541" s="306">
        <f t="shared" ca="1" si="259"/>
        <v>1.9391567153683615</v>
      </c>
      <c r="AH541" s="304">
        <f t="shared" ca="1" si="260"/>
        <v>-7.8302902348390839</v>
      </c>
    </row>
    <row r="542" spans="1:34" x14ac:dyDescent="0.2">
      <c r="A542" s="347">
        <f t="shared" ca="1" si="238"/>
        <v>1E-4</v>
      </c>
      <c r="B542" s="304">
        <f t="shared" ca="1" si="239"/>
        <v>34.501300000000263</v>
      </c>
      <c r="D542" s="306">
        <f t="shared" ca="1" si="240"/>
        <v>-0.71124498745011822</v>
      </c>
      <c r="E542" s="307">
        <f t="shared" ca="1" si="241"/>
        <v>-2.0120440002446003</v>
      </c>
      <c r="F542" s="304">
        <f t="shared" ca="1" si="242"/>
        <v>2.1340549409734537</v>
      </c>
      <c r="G542" s="306">
        <f t="shared" ca="1" si="243"/>
        <v>10.935906152310904</v>
      </c>
      <c r="H542" s="307">
        <f t="shared" ca="1" si="244"/>
        <v>-119.90019505127033</v>
      </c>
      <c r="I542" s="304">
        <f t="shared" ca="1" si="245"/>
        <v>120.39788543286306</v>
      </c>
      <c r="J542" s="306">
        <f t="shared" ca="1" si="246"/>
        <v>770.52896740167785</v>
      </c>
      <c r="K542" s="307">
        <f t="shared" ca="1" si="247"/>
        <v>-9.2188214325222866</v>
      </c>
      <c r="L542" s="304">
        <f t="shared" ca="1" si="232"/>
        <v>770.58411369149098</v>
      </c>
      <c r="M542" s="306">
        <f t="shared" ca="1" si="248"/>
        <v>-1.4798395819338945</v>
      </c>
      <c r="N542" s="304">
        <f t="shared" ca="1" si="249"/>
        <v>-84.788562401216339</v>
      </c>
      <c r="P542" s="310">
        <f t="shared" ca="1" si="250"/>
        <v>23</v>
      </c>
      <c r="Q542" s="304">
        <f t="shared" ca="1" si="251"/>
        <v>0</v>
      </c>
      <c r="R542" s="306">
        <f t="shared" ca="1" si="252"/>
        <v>0</v>
      </c>
      <c r="S542" s="307">
        <f t="shared" ca="1" si="253"/>
        <v>7.4499999999999984</v>
      </c>
      <c r="T542" s="304">
        <f t="shared" ca="1" si="233"/>
        <v>73.084499999999991</v>
      </c>
      <c r="U542" s="311">
        <f t="shared" ca="1" si="234"/>
        <v>0</v>
      </c>
      <c r="V542" s="306">
        <f t="shared" ca="1" si="235"/>
        <v>1.2261298264088796</v>
      </c>
      <c r="W542" s="304">
        <f t="shared" ca="1" si="236"/>
        <v>58.336177965319685</v>
      </c>
      <c r="Y542" s="314" t="str">
        <f t="shared" ca="1" si="254"/>
        <v/>
      </c>
      <c r="Z542" s="315" t="str">
        <f t="shared" ca="1" si="255"/>
        <v/>
      </c>
      <c r="AA542" s="316" t="str">
        <f t="shared" ca="1" si="256"/>
        <v/>
      </c>
      <c r="AC542" s="310" t="e">
        <f t="shared" ca="1" si="257"/>
        <v>#N/A</v>
      </c>
      <c r="AD542" s="323" t="e">
        <f t="shared" ca="1" si="258"/>
        <v>#N/A</v>
      </c>
      <c r="AE542" s="324" t="e">
        <f t="shared" ca="1" si="237"/>
        <v>#N/A</v>
      </c>
      <c r="AG542" s="306">
        <f t="shared" ca="1" si="259"/>
        <v>1.9391227628986902</v>
      </c>
      <c r="AH542" s="304">
        <f t="shared" ca="1" si="260"/>
        <v>-7.8303248467923838</v>
      </c>
    </row>
    <row r="543" spans="1:34" x14ac:dyDescent="0.2">
      <c r="A543" s="347">
        <f t="shared" ca="1" si="238"/>
        <v>1E-4</v>
      </c>
      <c r="B543" s="304">
        <f t="shared" ca="1" si="239"/>
        <v>34.501400000000267</v>
      </c>
      <c r="D543" s="306">
        <f t="shared" ca="1" si="240"/>
        <v>-0.71124236001657093</v>
      </c>
      <c r="E543" s="307">
        <f t="shared" ca="1" si="241"/>
        <v>-2.0120090052901274</v>
      </c>
      <c r="F543" s="304">
        <f t="shared" ca="1" si="242"/>
        <v>2.1340210711355474</v>
      </c>
      <c r="G543" s="306">
        <f t="shared" ca="1" si="243"/>
        <v>10.935835028074903</v>
      </c>
      <c r="H543" s="307">
        <f t="shared" ca="1" si="244"/>
        <v>-119.90039625217086</v>
      </c>
      <c r="I543" s="304">
        <f t="shared" ca="1" si="245"/>
        <v>120.39807934177712</v>
      </c>
      <c r="J543" s="306">
        <f t="shared" ca="1" si="246"/>
        <v>770.52896740167785</v>
      </c>
      <c r="K543" s="307">
        <f t="shared" ca="1" si="247"/>
        <v>-9.2308114620874591</v>
      </c>
      <c r="L543" s="304">
        <f t="shared" ca="1" si="232"/>
        <v>770.58425722651805</v>
      </c>
      <c r="M543" s="306">
        <f t="shared" ca="1" si="248"/>
        <v>-1.4798403220253049</v>
      </c>
      <c r="N543" s="304">
        <f t="shared" ca="1" si="249"/>
        <v>-84.788604805330607</v>
      </c>
      <c r="P543" s="310">
        <f t="shared" ca="1" si="250"/>
        <v>23</v>
      </c>
      <c r="Q543" s="304">
        <f t="shared" ca="1" si="251"/>
        <v>0</v>
      </c>
      <c r="R543" s="306">
        <f t="shared" ca="1" si="252"/>
        <v>0</v>
      </c>
      <c r="S543" s="307">
        <f t="shared" ca="1" si="253"/>
        <v>7.4499999999999984</v>
      </c>
      <c r="T543" s="304">
        <f t="shared" ca="1" si="233"/>
        <v>73.084499999999991</v>
      </c>
      <c r="U543" s="311">
        <f t="shared" ca="1" si="234"/>
        <v>0</v>
      </c>
      <c r="V543" s="306">
        <f t="shared" ca="1" si="235"/>
        <v>1.2261312965433606</v>
      </c>
      <c r="W543" s="304">
        <f t="shared" ca="1" si="236"/>
        <v>58.336435819700519</v>
      </c>
      <c r="Y543" s="314" t="str">
        <f t="shared" ca="1" si="254"/>
        <v/>
      </c>
      <c r="Z543" s="315" t="str">
        <f t="shared" ca="1" si="255"/>
        <v/>
      </c>
      <c r="AA543" s="316" t="str">
        <f t="shared" ca="1" si="256"/>
        <v/>
      </c>
      <c r="AC543" s="310" t="e">
        <f t="shared" ca="1" si="257"/>
        <v>#N/A</v>
      </c>
      <c r="AD543" s="323" t="e">
        <f t="shared" ca="1" si="258"/>
        <v>#N/A</v>
      </c>
      <c r="AE543" s="324" t="e">
        <f t="shared" ca="1" si="237"/>
        <v>#N/A</v>
      </c>
      <c r="AG543" s="306">
        <f t="shared" ca="1" si="259"/>
        <v>1.9390888107307651</v>
      </c>
      <c r="AH543" s="304">
        <f t="shared" ca="1" si="260"/>
        <v>-7.8303594584321745</v>
      </c>
    </row>
    <row r="544" spans="1:34" x14ac:dyDescent="0.2">
      <c r="A544" s="347">
        <f t="shared" ca="1" si="238"/>
        <v>1E-4</v>
      </c>
      <c r="B544" s="304">
        <f t="shared" ca="1" si="239"/>
        <v>34.50150000000027</v>
      </c>
      <c r="D544" s="306">
        <f t="shared" ca="1" si="240"/>
        <v>-0.71123973255926332</v>
      </c>
      <c r="E544" s="307">
        <f t="shared" ca="1" si="241"/>
        <v>-2.011974010652601</v>
      </c>
      <c r="F544" s="304">
        <f t="shared" ca="1" si="242"/>
        <v>2.1339872016280896</v>
      </c>
      <c r="G544" s="306">
        <f t="shared" ca="1" si="243"/>
        <v>10.935763904101647</v>
      </c>
      <c r="H544" s="307">
        <f t="shared" ca="1" si="244"/>
        <v>-119.90059744957193</v>
      </c>
      <c r="I544" s="304">
        <f t="shared" ca="1" si="245"/>
        <v>120.39827324729599</v>
      </c>
      <c r="J544" s="306">
        <f t="shared" ca="1" si="246"/>
        <v>770.52896740167785</v>
      </c>
      <c r="K544" s="307">
        <f t="shared" ca="1" si="247"/>
        <v>-9.2428015117725462</v>
      </c>
      <c r="L544" s="304">
        <f t="shared" ca="1" si="232"/>
        <v>770.58440094832054</v>
      </c>
      <c r="M544" s="306">
        <f t="shared" ca="1" si="248"/>
        <v>-1.4798410621095179</v>
      </c>
      <c r="N544" s="304">
        <f t="shared" ca="1" si="249"/>
        <v>-84.788647209032504</v>
      </c>
      <c r="P544" s="310">
        <f t="shared" ca="1" si="250"/>
        <v>23</v>
      </c>
      <c r="Q544" s="304">
        <f t="shared" ca="1" si="251"/>
        <v>0</v>
      </c>
      <c r="R544" s="306">
        <f t="shared" ca="1" si="252"/>
        <v>0</v>
      </c>
      <c r="S544" s="307">
        <f t="shared" ca="1" si="253"/>
        <v>7.4499999999999984</v>
      </c>
      <c r="T544" s="304">
        <f t="shared" ca="1" si="233"/>
        <v>73.084499999999991</v>
      </c>
      <c r="U544" s="311">
        <f t="shared" ca="1" si="234"/>
        <v>0</v>
      </c>
      <c r="V544" s="306">
        <f t="shared" ca="1" si="235"/>
        <v>1.2261327666820723</v>
      </c>
      <c r="W544" s="304">
        <f t="shared" ca="1" si="236"/>
        <v>58.336693671745742</v>
      </c>
      <c r="Y544" s="314" t="str">
        <f t="shared" ca="1" si="254"/>
        <v/>
      </c>
      <c r="Z544" s="315" t="str">
        <f t="shared" ca="1" si="255"/>
        <v/>
      </c>
      <c r="AA544" s="316" t="str">
        <f t="shared" ca="1" si="256"/>
        <v/>
      </c>
      <c r="AC544" s="310" t="e">
        <f t="shared" ca="1" si="257"/>
        <v>#N/A</v>
      </c>
      <c r="AD544" s="323" t="e">
        <f t="shared" ca="1" si="258"/>
        <v>#N/A</v>
      </c>
      <c r="AE544" s="324" t="e">
        <f t="shared" ca="1" si="237"/>
        <v>#N/A</v>
      </c>
      <c r="AG544" s="306">
        <f t="shared" ca="1" si="259"/>
        <v>1.93905485886458</v>
      </c>
      <c r="AH544" s="304">
        <f t="shared" ca="1" si="260"/>
        <v>-7.8303940697584604</v>
      </c>
    </row>
    <row r="545" spans="1:34" x14ac:dyDescent="0.2">
      <c r="A545" s="347">
        <f t="shared" ca="1" si="238"/>
        <v>1E-4</v>
      </c>
      <c r="B545" s="304">
        <f t="shared" ca="1" si="239"/>
        <v>34.501600000000273</v>
      </c>
      <c r="D545" s="306">
        <f t="shared" ca="1" si="240"/>
        <v>-0.71123710507819649</v>
      </c>
      <c r="E545" s="307">
        <f t="shared" ca="1" si="241"/>
        <v>-2.0119390163320183</v>
      </c>
      <c r="F545" s="304">
        <f t="shared" ca="1" si="242"/>
        <v>2.1339533324510782</v>
      </c>
      <c r="G545" s="306">
        <f t="shared" ca="1" si="243"/>
        <v>10.935692780391138</v>
      </c>
      <c r="H545" s="307">
        <f t="shared" ca="1" si="244"/>
        <v>-119.90079864347356</v>
      </c>
      <c r="I545" s="304">
        <f t="shared" ca="1" si="245"/>
        <v>120.39846714941969</v>
      </c>
      <c r="J545" s="306">
        <f t="shared" ca="1" si="246"/>
        <v>770.52896740167785</v>
      </c>
      <c r="K545" s="307">
        <f t="shared" ca="1" si="247"/>
        <v>-9.2547915815771979</v>
      </c>
      <c r="L545" s="304">
        <f t="shared" ca="1" si="232"/>
        <v>770.58454485689913</v>
      </c>
      <c r="M545" s="306">
        <f t="shared" ca="1" si="248"/>
        <v>-1.479841802186534</v>
      </c>
      <c r="N545" s="304">
        <f t="shared" ca="1" si="249"/>
        <v>-84.788689612322045</v>
      </c>
      <c r="P545" s="310">
        <f t="shared" ca="1" si="250"/>
        <v>23</v>
      </c>
      <c r="Q545" s="304">
        <f t="shared" ca="1" si="251"/>
        <v>0</v>
      </c>
      <c r="R545" s="306">
        <f t="shared" ca="1" si="252"/>
        <v>0</v>
      </c>
      <c r="S545" s="307">
        <f t="shared" ca="1" si="253"/>
        <v>7.4499999999999984</v>
      </c>
      <c r="T545" s="304">
        <f t="shared" ca="1" si="233"/>
        <v>73.084499999999991</v>
      </c>
      <c r="U545" s="311">
        <f t="shared" ca="1" si="234"/>
        <v>0</v>
      </c>
      <c r="V545" s="306">
        <f t="shared" ca="1" si="235"/>
        <v>1.2261342368250143</v>
      </c>
      <c r="W545" s="304">
        <f t="shared" ca="1" si="236"/>
        <v>58.336951521455319</v>
      </c>
      <c r="Y545" s="314" t="str">
        <f t="shared" ca="1" si="254"/>
        <v/>
      </c>
      <c r="Z545" s="315" t="str">
        <f t="shared" ca="1" si="255"/>
        <v/>
      </c>
      <c r="AA545" s="316" t="str">
        <f t="shared" ca="1" si="256"/>
        <v/>
      </c>
      <c r="AC545" s="310" t="e">
        <f t="shared" ca="1" si="257"/>
        <v>#N/A</v>
      </c>
      <c r="AD545" s="323" t="e">
        <f t="shared" ca="1" si="258"/>
        <v>#N/A</v>
      </c>
      <c r="AE545" s="324" t="e">
        <f t="shared" ca="1" si="237"/>
        <v>#N/A</v>
      </c>
      <c r="AG545" s="306">
        <f t="shared" ca="1" si="259"/>
        <v>1.9390209073001339</v>
      </c>
      <c r="AH545" s="304">
        <f t="shared" ca="1" si="260"/>
        <v>-7.8304286807712424</v>
      </c>
    </row>
    <row r="546" spans="1:34" x14ac:dyDescent="0.2">
      <c r="A546" s="347">
        <f t="shared" ca="1" si="238"/>
        <v>1E-4</v>
      </c>
      <c r="B546" s="304">
        <f t="shared" ca="1" si="239"/>
        <v>34.501700000000277</v>
      </c>
      <c r="D546" s="306">
        <f t="shared" ca="1" si="240"/>
        <v>-0.71123447757336822</v>
      </c>
      <c r="E546" s="307">
        <f t="shared" ca="1" si="241"/>
        <v>-2.0119040223283884</v>
      </c>
      <c r="F546" s="304">
        <f t="shared" ca="1" si="242"/>
        <v>2.133919463604522</v>
      </c>
      <c r="G546" s="306">
        <f t="shared" ca="1" si="243"/>
        <v>10.935621656943381</v>
      </c>
      <c r="H546" s="307">
        <f t="shared" ca="1" si="244"/>
        <v>-119.9009998338758</v>
      </c>
      <c r="I546" s="304">
        <f t="shared" ca="1" si="245"/>
        <v>120.39866104814827</v>
      </c>
      <c r="J546" s="306">
        <f t="shared" ca="1" si="246"/>
        <v>770.52896740167785</v>
      </c>
      <c r="K546" s="307">
        <f t="shared" ca="1" si="247"/>
        <v>-9.2667816715010662</v>
      </c>
      <c r="L546" s="304">
        <f t="shared" ca="1" si="232"/>
        <v>770.58468895225474</v>
      </c>
      <c r="M546" s="306">
        <f t="shared" ca="1" si="248"/>
        <v>-1.4798425422563528</v>
      </c>
      <c r="N546" s="304">
        <f t="shared" ca="1" si="249"/>
        <v>-84.788732015199201</v>
      </c>
      <c r="P546" s="310">
        <f t="shared" ca="1" si="250"/>
        <v>23</v>
      </c>
      <c r="Q546" s="304">
        <f t="shared" ca="1" si="251"/>
        <v>0</v>
      </c>
      <c r="R546" s="306">
        <f t="shared" ca="1" si="252"/>
        <v>0</v>
      </c>
      <c r="S546" s="307">
        <f t="shared" ca="1" si="253"/>
        <v>7.4499999999999984</v>
      </c>
      <c r="T546" s="304">
        <f t="shared" ca="1" si="233"/>
        <v>73.084499999999991</v>
      </c>
      <c r="U546" s="311">
        <f t="shared" ca="1" si="234"/>
        <v>0</v>
      </c>
      <c r="V546" s="306">
        <f t="shared" ca="1" si="235"/>
        <v>1.2261357069721865</v>
      </c>
      <c r="W546" s="304">
        <f t="shared" ca="1" si="236"/>
        <v>58.337209368829285</v>
      </c>
      <c r="Y546" s="314" t="str">
        <f t="shared" ca="1" si="254"/>
        <v/>
      </c>
      <c r="Z546" s="315" t="str">
        <f t="shared" ca="1" si="255"/>
        <v/>
      </c>
      <c r="AA546" s="316" t="str">
        <f t="shared" ca="1" si="256"/>
        <v/>
      </c>
      <c r="AC546" s="310" t="e">
        <f t="shared" ca="1" si="257"/>
        <v>#N/A</v>
      </c>
      <c r="AD546" s="323" t="e">
        <f t="shared" ca="1" si="258"/>
        <v>#N/A</v>
      </c>
      <c r="AE546" s="324" t="e">
        <f t="shared" ca="1" si="237"/>
        <v>#N/A</v>
      </c>
      <c r="AG546" s="306">
        <f t="shared" ca="1" si="259"/>
        <v>1.9389869560374349</v>
      </c>
      <c r="AH546" s="304">
        <f t="shared" ca="1" si="260"/>
        <v>-7.8304632914705143</v>
      </c>
    </row>
    <row r="547" spans="1:34" x14ac:dyDescent="0.2">
      <c r="A547" s="347">
        <f t="shared" ca="1" si="238"/>
        <v>1E-4</v>
      </c>
      <c r="B547" s="304">
        <f t="shared" ca="1" si="239"/>
        <v>34.50180000000028</v>
      </c>
      <c r="D547" s="306">
        <f t="shared" ca="1" si="240"/>
        <v>-0.71123185004478362</v>
      </c>
      <c r="E547" s="307">
        <f t="shared" ca="1" si="241"/>
        <v>-2.0118690286417031</v>
      </c>
      <c r="F547" s="304">
        <f t="shared" ca="1" si="242"/>
        <v>2.1338855950884144</v>
      </c>
      <c r="G547" s="306">
        <f t="shared" ca="1" si="243"/>
        <v>10.935550533758377</v>
      </c>
      <c r="H547" s="307">
        <f t="shared" ca="1" si="244"/>
        <v>-119.90120102077867</v>
      </c>
      <c r="I547" s="304">
        <f t="shared" ca="1" si="245"/>
        <v>120.39885494348175</v>
      </c>
      <c r="J547" s="306">
        <f t="shared" ca="1" si="246"/>
        <v>770.52896740167785</v>
      </c>
      <c r="K547" s="307">
        <f t="shared" ca="1" si="247"/>
        <v>-9.2787717815437993</v>
      </c>
      <c r="L547" s="304">
        <f t="shared" ca="1" si="232"/>
        <v>770.58483323438827</v>
      </c>
      <c r="M547" s="306">
        <f t="shared" ca="1" si="248"/>
        <v>-1.4798432823189749</v>
      </c>
      <c r="N547" s="304">
        <f t="shared" ca="1" si="249"/>
        <v>-84.788774417664015</v>
      </c>
      <c r="P547" s="310">
        <f t="shared" ca="1" si="250"/>
        <v>23</v>
      </c>
      <c r="Q547" s="304">
        <f t="shared" ca="1" si="251"/>
        <v>0</v>
      </c>
      <c r="R547" s="306">
        <f t="shared" ca="1" si="252"/>
        <v>0</v>
      </c>
      <c r="S547" s="307">
        <f t="shared" ca="1" si="253"/>
        <v>7.4499999999999984</v>
      </c>
      <c r="T547" s="304">
        <f t="shared" ca="1" si="233"/>
        <v>73.084499999999991</v>
      </c>
      <c r="U547" s="311">
        <f t="shared" ca="1" si="234"/>
        <v>0</v>
      </c>
      <c r="V547" s="306">
        <f t="shared" ca="1" si="235"/>
        <v>1.2261371771235896</v>
      </c>
      <c r="W547" s="304">
        <f t="shared" ca="1" si="236"/>
        <v>58.337467213867647</v>
      </c>
      <c r="Y547" s="314" t="str">
        <f t="shared" ca="1" si="254"/>
        <v/>
      </c>
      <c r="Z547" s="315" t="str">
        <f t="shared" ca="1" si="255"/>
        <v/>
      </c>
      <c r="AA547" s="316" t="str">
        <f t="shared" ca="1" si="256"/>
        <v/>
      </c>
      <c r="AC547" s="310" t="e">
        <f t="shared" ca="1" si="257"/>
        <v>#N/A</v>
      </c>
      <c r="AD547" s="323" t="e">
        <f t="shared" ca="1" si="258"/>
        <v>#N/A</v>
      </c>
      <c r="AE547" s="324" t="e">
        <f t="shared" ca="1" si="237"/>
        <v>#N/A</v>
      </c>
      <c r="AG547" s="306">
        <f t="shared" ca="1" si="259"/>
        <v>1.9389530050764758</v>
      </c>
      <c r="AH547" s="304">
        <f t="shared" ca="1" si="260"/>
        <v>-7.8304979018562815</v>
      </c>
    </row>
    <row r="548" spans="1:34" x14ac:dyDescent="0.2">
      <c r="A548" s="347">
        <f t="shared" ca="1" si="238"/>
        <v>1E-4</v>
      </c>
      <c r="B548" s="304">
        <f t="shared" ca="1" si="239"/>
        <v>34.501900000000283</v>
      </c>
      <c r="D548" s="306">
        <f t="shared" ca="1" si="240"/>
        <v>-0.71122922249243925</v>
      </c>
      <c r="E548" s="307">
        <f t="shared" ca="1" si="241"/>
        <v>-2.0118340352719635</v>
      </c>
      <c r="F548" s="304">
        <f t="shared" ca="1" si="242"/>
        <v>2.1338517269027553</v>
      </c>
      <c r="G548" s="306">
        <f t="shared" ca="1" si="243"/>
        <v>10.935479410836129</v>
      </c>
      <c r="H548" s="307">
        <f t="shared" ca="1" si="244"/>
        <v>-119.9014022041822</v>
      </c>
      <c r="I548" s="304">
        <f t="shared" ca="1" si="245"/>
        <v>120.39904883542016</v>
      </c>
      <c r="J548" s="306">
        <f t="shared" ca="1" si="246"/>
        <v>770.52896740167785</v>
      </c>
      <c r="K548" s="307">
        <f t="shared" ca="1" si="247"/>
        <v>-9.2907619117050473</v>
      </c>
      <c r="L548" s="304">
        <f t="shared" ca="1" si="232"/>
        <v>770.58497770330041</v>
      </c>
      <c r="M548" s="306">
        <f t="shared" ca="1" si="248"/>
        <v>-1.4798440223744</v>
      </c>
      <c r="N548" s="304">
        <f t="shared" ca="1" si="249"/>
        <v>-84.788816819716487</v>
      </c>
      <c r="P548" s="310">
        <f t="shared" ca="1" si="250"/>
        <v>23</v>
      </c>
      <c r="Q548" s="304">
        <f t="shared" ca="1" si="251"/>
        <v>0</v>
      </c>
      <c r="R548" s="306">
        <f t="shared" ca="1" si="252"/>
        <v>0</v>
      </c>
      <c r="S548" s="307">
        <f t="shared" ca="1" si="253"/>
        <v>7.4499999999999984</v>
      </c>
      <c r="T548" s="304">
        <f t="shared" ca="1" si="233"/>
        <v>73.084499999999991</v>
      </c>
      <c r="U548" s="311">
        <f t="shared" ca="1" si="234"/>
        <v>0</v>
      </c>
      <c r="V548" s="306">
        <f t="shared" ca="1" si="235"/>
        <v>1.2261386472792228</v>
      </c>
      <c r="W548" s="304">
        <f t="shared" ca="1" si="236"/>
        <v>58.337725056570385</v>
      </c>
      <c r="Y548" s="314" t="str">
        <f t="shared" ca="1" si="254"/>
        <v/>
      </c>
      <c r="Z548" s="315" t="str">
        <f t="shared" ca="1" si="255"/>
        <v/>
      </c>
      <c r="AA548" s="316" t="str">
        <f t="shared" ca="1" si="256"/>
        <v/>
      </c>
      <c r="AC548" s="310" t="e">
        <f t="shared" ca="1" si="257"/>
        <v>#N/A</v>
      </c>
      <c r="AD548" s="323" t="e">
        <f t="shared" ca="1" si="258"/>
        <v>#N/A</v>
      </c>
      <c r="AE548" s="324" t="e">
        <f t="shared" ca="1" si="237"/>
        <v>#N/A</v>
      </c>
      <c r="AG548" s="306">
        <f t="shared" ca="1" si="259"/>
        <v>1.9389190544172576</v>
      </c>
      <c r="AH548" s="304">
        <f t="shared" ca="1" si="260"/>
        <v>-7.8305325119285447</v>
      </c>
    </row>
    <row r="549" spans="1:34" x14ac:dyDescent="0.2">
      <c r="A549" s="347">
        <f t="shared" ca="1" si="238"/>
        <v>1E-4</v>
      </c>
      <c r="B549" s="304">
        <f t="shared" ca="1" si="239"/>
        <v>34.502000000000287</v>
      </c>
      <c r="D549" s="306">
        <f t="shared" ca="1" si="240"/>
        <v>-0.71122659491633788</v>
      </c>
      <c r="E549" s="307">
        <f t="shared" ca="1" si="241"/>
        <v>-2.0117990422191703</v>
      </c>
      <c r="F549" s="304">
        <f t="shared" ca="1" si="242"/>
        <v>2.1338178590475474</v>
      </c>
      <c r="G549" s="306">
        <f t="shared" ca="1" si="243"/>
        <v>10.935408288176637</v>
      </c>
      <c r="H549" s="307">
        <f t="shared" ca="1" si="244"/>
        <v>-119.90160338408643</v>
      </c>
      <c r="I549" s="304">
        <f t="shared" ca="1" si="245"/>
        <v>120.39924272396355</v>
      </c>
      <c r="J549" s="306">
        <f t="shared" ca="1" si="246"/>
        <v>770.52896740167785</v>
      </c>
      <c r="K549" s="307">
        <f t="shared" ca="1" si="247"/>
        <v>-9.3027520619844601</v>
      </c>
      <c r="L549" s="304">
        <f t="shared" ca="1" si="232"/>
        <v>770.58512235899195</v>
      </c>
      <c r="M549" s="306">
        <f t="shared" ca="1" si="248"/>
        <v>-1.4798447624226283</v>
      </c>
      <c r="N549" s="304">
        <f t="shared" ca="1" si="249"/>
        <v>-84.788859221356603</v>
      </c>
      <c r="P549" s="310">
        <f t="shared" ca="1" si="250"/>
        <v>23</v>
      </c>
      <c r="Q549" s="304">
        <f t="shared" ca="1" si="251"/>
        <v>0</v>
      </c>
      <c r="R549" s="306">
        <f t="shared" ca="1" si="252"/>
        <v>0</v>
      </c>
      <c r="S549" s="307">
        <f t="shared" ca="1" si="253"/>
        <v>7.4499999999999984</v>
      </c>
      <c r="T549" s="304">
        <f t="shared" ca="1" si="233"/>
        <v>73.084499999999991</v>
      </c>
      <c r="U549" s="311">
        <f t="shared" ca="1" si="234"/>
        <v>0</v>
      </c>
      <c r="V549" s="306">
        <f t="shared" ca="1" si="235"/>
        <v>1.2261401174390858</v>
      </c>
      <c r="W549" s="304">
        <f t="shared" ca="1" si="236"/>
        <v>58.337982896937518</v>
      </c>
      <c r="Y549" s="314" t="str">
        <f t="shared" ca="1" si="254"/>
        <v/>
      </c>
      <c r="Z549" s="315" t="str">
        <f t="shared" ca="1" si="255"/>
        <v/>
      </c>
      <c r="AA549" s="316" t="str">
        <f t="shared" ca="1" si="256"/>
        <v/>
      </c>
      <c r="AC549" s="310" t="e">
        <f t="shared" ca="1" si="257"/>
        <v>#N/A</v>
      </c>
      <c r="AD549" s="323" t="e">
        <f t="shared" ca="1" si="258"/>
        <v>#N/A</v>
      </c>
      <c r="AE549" s="324" t="e">
        <f t="shared" ca="1" si="237"/>
        <v>#N/A</v>
      </c>
      <c r="AG549" s="306">
        <f t="shared" ca="1" si="259"/>
        <v>1.938885104059783</v>
      </c>
      <c r="AH549" s="304">
        <f t="shared" ca="1" si="260"/>
        <v>-7.8305671216873014</v>
      </c>
    </row>
    <row r="550" spans="1:34" x14ac:dyDescent="0.2">
      <c r="A550" s="347">
        <f t="shared" ca="1" si="238"/>
        <v>1E-4</v>
      </c>
      <c r="B550" s="304">
        <f t="shared" ca="1" si="239"/>
        <v>34.50210000000029</v>
      </c>
      <c r="D550" s="306">
        <f t="shared" ca="1" si="240"/>
        <v>-0.7112239673164813</v>
      </c>
      <c r="E550" s="307">
        <f t="shared" ca="1" si="241"/>
        <v>-2.0117640494833227</v>
      </c>
      <c r="F550" s="304">
        <f t="shared" ca="1" si="242"/>
        <v>2.1337839915227903</v>
      </c>
      <c r="G550" s="306">
        <f t="shared" ca="1" si="243"/>
        <v>10.935337165779906</v>
      </c>
      <c r="H550" s="307">
        <f t="shared" ca="1" si="244"/>
        <v>-119.90180456049137</v>
      </c>
      <c r="I550" s="304">
        <f t="shared" ca="1" si="245"/>
        <v>120.3994366091119</v>
      </c>
      <c r="J550" s="306">
        <f t="shared" ca="1" si="246"/>
        <v>770.52896740167785</v>
      </c>
      <c r="K550" s="307">
        <f t="shared" ca="1" si="247"/>
        <v>-9.3147422323816897</v>
      </c>
      <c r="L550" s="304">
        <f t="shared" ca="1" si="232"/>
        <v>770.58526720146403</v>
      </c>
      <c r="M550" s="306">
        <f t="shared" ca="1" si="248"/>
        <v>-1.4798455024636601</v>
      </c>
      <c r="N550" s="304">
        <f t="shared" ca="1" si="249"/>
        <v>-84.78890162258439</v>
      </c>
      <c r="P550" s="310">
        <f t="shared" ca="1" si="250"/>
        <v>23</v>
      </c>
      <c r="Q550" s="304">
        <f t="shared" ca="1" si="251"/>
        <v>0</v>
      </c>
      <c r="R550" s="306">
        <f t="shared" ca="1" si="252"/>
        <v>0</v>
      </c>
      <c r="S550" s="307">
        <f t="shared" ca="1" si="253"/>
        <v>7.4499999999999984</v>
      </c>
      <c r="T550" s="304">
        <f t="shared" ca="1" si="233"/>
        <v>73.084499999999991</v>
      </c>
      <c r="U550" s="311">
        <f t="shared" ca="1" si="234"/>
        <v>0</v>
      </c>
      <c r="V550" s="306">
        <f t="shared" ca="1" si="235"/>
        <v>1.2261415876031798</v>
      </c>
      <c r="W550" s="304">
        <f t="shared" ca="1" si="236"/>
        <v>58.338240734969034</v>
      </c>
      <c r="Y550" s="314" t="str">
        <f t="shared" ca="1" si="254"/>
        <v/>
      </c>
      <c r="Z550" s="315" t="str">
        <f t="shared" ca="1" si="255"/>
        <v/>
      </c>
      <c r="AA550" s="316" t="str">
        <f t="shared" ca="1" si="256"/>
        <v/>
      </c>
      <c r="AC550" s="310" t="e">
        <f t="shared" ca="1" si="257"/>
        <v>#N/A</v>
      </c>
      <c r="AD550" s="323" t="e">
        <f t="shared" ca="1" si="258"/>
        <v>#N/A</v>
      </c>
      <c r="AE550" s="324" t="e">
        <f t="shared" ca="1" si="237"/>
        <v>#N/A</v>
      </c>
      <c r="AG550" s="306">
        <f t="shared" ca="1" si="259"/>
        <v>1.9388511540040509</v>
      </c>
      <c r="AH550" s="304">
        <f t="shared" ca="1" si="260"/>
        <v>-7.8306017311325542</v>
      </c>
    </row>
    <row r="551" spans="1:34" x14ac:dyDescent="0.2">
      <c r="A551" s="347">
        <f t="shared" ca="1" si="238"/>
        <v>1E-4</v>
      </c>
      <c r="B551" s="304">
        <f t="shared" ca="1" si="239"/>
        <v>34.502200000000293</v>
      </c>
      <c r="D551" s="306">
        <f t="shared" ca="1" si="240"/>
        <v>-0.71122133969286727</v>
      </c>
      <c r="E551" s="307">
        <f t="shared" ca="1" si="241"/>
        <v>-2.0117290570644206</v>
      </c>
      <c r="F551" s="304">
        <f t="shared" ca="1" si="242"/>
        <v>2.1337501243284835</v>
      </c>
      <c r="G551" s="306">
        <f t="shared" ca="1" si="243"/>
        <v>10.935266043645937</v>
      </c>
      <c r="H551" s="307">
        <f t="shared" ca="1" si="244"/>
        <v>-119.90200573339708</v>
      </c>
      <c r="I551" s="304">
        <f t="shared" ca="1" si="245"/>
        <v>120.39963049086529</v>
      </c>
      <c r="J551" s="306">
        <f t="shared" ca="1" si="246"/>
        <v>770.52896740167785</v>
      </c>
      <c r="K551" s="307">
        <f t="shared" ca="1" si="247"/>
        <v>-9.3267324228963844</v>
      </c>
      <c r="L551" s="304">
        <f t="shared" ca="1" si="232"/>
        <v>770.58541223071722</v>
      </c>
      <c r="M551" s="306">
        <f t="shared" ca="1" si="248"/>
        <v>-1.4798462424974954</v>
      </c>
      <c r="N551" s="304">
        <f t="shared" ca="1" si="249"/>
        <v>-84.78894402339985</v>
      </c>
      <c r="P551" s="310">
        <f t="shared" ca="1" si="250"/>
        <v>23</v>
      </c>
      <c r="Q551" s="304">
        <f t="shared" ca="1" si="251"/>
        <v>0</v>
      </c>
      <c r="R551" s="306">
        <f t="shared" ca="1" si="252"/>
        <v>0</v>
      </c>
      <c r="S551" s="307">
        <f t="shared" ca="1" si="253"/>
        <v>7.4499999999999984</v>
      </c>
      <c r="T551" s="304">
        <f t="shared" ca="1" si="233"/>
        <v>73.084499999999991</v>
      </c>
      <c r="U551" s="311">
        <f t="shared" ca="1" si="234"/>
        <v>0</v>
      </c>
      <c r="V551" s="306">
        <f t="shared" ca="1" si="235"/>
        <v>1.2261430577715036</v>
      </c>
      <c r="W551" s="304">
        <f t="shared" ca="1" si="236"/>
        <v>58.338498570664953</v>
      </c>
      <c r="Y551" s="314" t="str">
        <f t="shared" ca="1" si="254"/>
        <v/>
      </c>
      <c r="Z551" s="315" t="str">
        <f t="shared" ca="1" si="255"/>
        <v/>
      </c>
      <c r="AA551" s="316" t="str">
        <f t="shared" ca="1" si="256"/>
        <v/>
      </c>
      <c r="AC551" s="310" t="e">
        <f t="shared" ca="1" si="257"/>
        <v>#N/A</v>
      </c>
      <c r="AD551" s="323" t="e">
        <f t="shared" ca="1" si="258"/>
        <v>#N/A</v>
      </c>
      <c r="AE551" s="324" t="e">
        <f t="shared" ca="1" si="237"/>
        <v>#N/A</v>
      </c>
      <c r="AG551" s="306">
        <f t="shared" ca="1" si="259"/>
        <v>1.9388172042500598</v>
      </c>
      <c r="AH551" s="304">
        <f t="shared" ca="1" si="260"/>
        <v>-7.8306363402643013</v>
      </c>
    </row>
    <row r="552" spans="1:34" x14ac:dyDescent="0.2">
      <c r="A552" s="347">
        <f t="shared" ca="1" si="238"/>
        <v>1E-4</v>
      </c>
      <c r="B552" s="304">
        <f t="shared" ca="1" si="239"/>
        <v>34.502300000000297</v>
      </c>
      <c r="D552" s="306">
        <f t="shared" ca="1" si="240"/>
        <v>-0.71121871204549758</v>
      </c>
      <c r="E552" s="307">
        <f t="shared" ca="1" si="241"/>
        <v>-2.0116940649624633</v>
      </c>
      <c r="F552" s="304">
        <f t="shared" ca="1" si="242"/>
        <v>2.1337162574646276</v>
      </c>
      <c r="G552" s="306">
        <f t="shared" ca="1" si="243"/>
        <v>10.935194921774732</v>
      </c>
      <c r="H552" s="307">
        <f t="shared" ca="1" si="244"/>
        <v>-119.90220690280357</v>
      </c>
      <c r="I552" s="304">
        <f t="shared" ca="1" si="245"/>
        <v>120.39982436922375</v>
      </c>
      <c r="J552" s="306">
        <f t="shared" ca="1" si="246"/>
        <v>770.52896740167785</v>
      </c>
      <c r="K552" s="307">
        <f t="shared" ca="1" si="247"/>
        <v>-9.3387226335281941</v>
      </c>
      <c r="L552" s="304">
        <f t="shared" ca="1" si="232"/>
        <v>770.58555744675232</v>
      </c>
      <c r="M552" s="306">
        <f t="shared" ca="1" si="248"/>
        <v>-1.4798469825241343</v>
      </c>
      <c r="N552" s="304">
        <f t="shared" ca="1" si="249"/>
        <v>-84.788986423802982</v>
      </c>
      <c r="P552" s="310">
        <f t="shared" ca="1" si="250"/>
        <v>23</v>
      </c>
      <c r="Q552" s="304">
        <f t="shared" ca="1" si="251"/>
        <v>0</v>
      </c>
      <c r="R552" s="306">
        <f t="shared" ca="1" si="252"/>
        <v>0</v>
      </c>
      <c r="S552" s="307">
        <f t="shared" ca="1" si="253"/>
        <v>7.4499999999999984</v>
      </c>
      <c r="T552" s="304">
        <f t="shared" ca="1" si="233"/>
        <v>73.084499999999991</v>
      </c>
      <c r="U552" s="311">
        <f t="shared" ca="1" si="234"/>
        <v>0</v>
      </c>
      <c r="V552" s="306">
        <f t="shared" ca="1" si="235"/>
        <v>1.2261445279440581</v>
      </c>
      <c r="W552" s="304">
        <f t="shared" ca="1" si="236"/>
        <v>58.338756404025304</v>
      </c>
      <c r="Y552" s="314" t="str">
        <f t="shared" ca="1" si="254"/>
        <v/>
      </c>
      <c r="Z552" s="315" t="str">
        <f t="shared" ca="1" si="255"/>
        <v/>
      </c>
      <c r="AA552" s="316" t="str">
        <f t="shared" ca="1" si="256"/>
        <v/>
      </c>
      <c r="AC552" s="310" t="e">
        <f t="shared" ca="1" si="257"/>
        <v>#N/A</v>
      </c>
      <c r="AD552" s="323" t="e">
        <f t="shared" ca="1" si="258"/>
        <v>#N/A</v>
      </c>
      <c r="AE552" s="324" t="e">
        <f t="shared" ca="1" si="237"/>
        <v>#N/A</v>
      </c>
      <c r="AG552" s="306">
        <f t="shared" ca="1" si="259"/>
        <v>1.9387832547978121</v>
      </c>
      <c r="AH552" s="304">
        <f t="shared" ca="1" si="260"/>
        <v>-7.8306709490825455</v>
      </c>
    </row>
    <row r="553" spans="1:34" x14ac:dyDescent="0.2">
      <c r="A553" s="347">
        <f t="shared" ca="1" si="238"/>
        <v>1E-4</v>
      </c>
      <c r="B553" s="304">
        <f t="shared" ca="1" si="239"/>
        <v>34.5024000000003</v>
      </c>
      <c r="D553" s="306">
        <f t="shared" ca="1" si="240"/>
        <v>-0.71121608437437389</v>
      </c>
      <c r="E553" s="307">
        <f t="shared" ca="1" si="241"/>
        <v>-2.0116590731774453</v>
      </c>
      <c r="F553" s="304">
        <f t="shared" ca="1" si="242"/>
        <v>2.133682390931217</v>
      </c>
      <c r="G553" s="306">
        <f t="shared" ca="1" si="243"/>
        <v>10.935123800166295</v>
      </c>
      <c r="H553" s="307">
        <f t="shared" ca="1" si="244"/>
        <v>-119.90240806871088</v>
      </c>
      <c r="I553" s="304">
        <f t="shared" ca="1" si="245"/>
        <v>120.40001824418728</v>
      </c>
      <c r="J553" s="306">
        <f t="shared" ca="1" si="246"/>
        <v>770.52896740167785</v>
      </c>
      <c r="K553" s="307">
        <f t="shared" ca="1" si="247"/>
        <v>-9.350712864276769</v>
      </c>
      <c r="L553" s="304">
        <f t="shared" ca="1" si="232"/>
        <v>770.58570284957023</v>
      </c>
      <c r="M553" s="306">
        <f t="shared" ca="1" si="248"/>
        <v>-1.4798477225435767</v>
      </c>
      <c r="N553" s="304">
        <f t="shared" ca="1" si="249"/>
        <v>-84.789028823793799</v>
      </c>
      <c r="P553" s="310">
        <f t="shared" ca="1" si="250"/>
        <v>23</v>
      </c>
      <c r="Q553" s="304">
        <f t="shared" ca="1" si="251"/>
        <v>0</v>
      </c>
      <c r="R553" s="306">
        <f t="shared" ca="1" si="252"/>
        <v>0</v>
      </c>
      <c r="S553" s="307">
        <f t="shared" ca="1" si="253"/>
        <v>7.4499999999999984</v>
      </c>
      <c r="T553" s="304">
        <f t="shared" ca="1" si="233"/>
        <v>73.084499999999991</v>
      </c>
      <c r="U553" s="311">
        <f t="shared" ca="1" si="234"/>
        <v>0</v>
      </c>
      <c r="V553" s="306">
        <f t="shared" ca="1" si="235"/>
        <v>1.2261459981208427</v>
      </c>
      <c r="W553" s="304">
        <f t="shared" ca="1" si="236"/>
        <v>58.339014235050051</v>
      </c>
      <c r="Y553" s="314" t="str">
        <f t="shared" ca="1" si="254"/>
        <v/>
      </c>
      <c r="Z553" s="315" t="str">
        <f t="shared" ca="1" si="255"/>
        <v/>
      </c>
      <c r="AA553" s="316" t="str">
        <f t="shared" ca="1" si="256"/>
        <v/>
      </c>
      <c r="AC553" s="310" t="e">
        <f t="shared" ca="1" si="257"/>
        <v>#N/A</v>
      </c>
      <c r="AD553" s="323" t="e">
        <f t="shared" ca="1" si="258"/>
        <v>#N/A</v>
      </c>
      <c r="AE553" s="324" t="e">
        <f t="shared" ca="1" si="237"/>
        <v>#N/A</v>
      </c>
      <c r="AG553" s="306">
        <f t="shared" ca="1" si="259"/>
        <v>1.9387493056472982</v>
      </c>
      <c r="AH553" s="304">
        <f t="shared" ca="1" si="260"/>
        <v>-7.830705557587291</v>
      </c>
    </row>
    <row r="554" spans="1:34" x14ac:dyDescent="0.2">
      <c r="A554" s="347">
        <f t="shared" ca="1" si="238"/>
        <v>1E-4</v>
      </c>
      <c r="B554" s="304">
        <f t="shared" ca="1" si="239"/>
        <v>34.502500000000303</v>
      </c>
      <c r="D554" s="306">
        <f t="shared" ca="1" si="240"/>
        <v>-0.71121345667949731</v>
      </c>
      <c r="E554" s="307">
        <f t="shared" ca="1" si="241"/>
        <v>-2.0116240817093729</v>
      </c>
      <c r="F554" s="304">
        <f t="shared" ca="1" si="242"/>
        <v>2.1336485247282591</v>
      </c>
      <c r="G554" s="306">
        <f t="shared" ca="1" si="243"/>
        <v>10.935052678820627</v>
      </c>
      <c r="H554" s="307">
        <f t="shared" ca="1" si="244"/>
        <v>-119.90260923111906</v>
      </c>
      <c r="I554" s="304">
        <f t="shared" ca="1" si="245"/>
        <v>120.40021211575592</v>
      </c>
      <c r="J554" s="306">
        <f t="shared" ca="1" si="246"/>
        <v>770.52896740167785</v>
      </c>
      <c r="K554" s="307">
        <f t="shared" ca="1" si="247"/>
        <v>-9.3627031151417608</v>
      </c>
      <c r="L554" s="304">
        <f t="shared" ca="1" si="232"/>
        <v>770.58584843917174</v>
      </c>
      <c r="M554" s="306">
        <f t="shared" ca="1" si="248"/>
        <v>-1.4798484625558228</v>
      </c>
      <c r="N554" s="304">
        <f t="shared" ca="1" si="249"/>
        <v>-84.789071223372289</v>
      </c>
      <c r="P554" s="310">
        <f t="shared" ca="1" si="250"/>
        <v>23</v>
      </c>
      <c r="Q554" s="304">
        <f t="shared" ca="1" si="251"/>
        <v>0</v>
      </c>
      <c r="R554" s="306">
        <f t="shared" ca="1" si="252"/>
        <v>0</v>
      </c>
      <c r="S554" s="307">
        <f t="shared" ca="1" si="253"/>
        <v>7.4499999999999984</v>
      </c>
      <c r="T554" s="304">
        <f t="shared" ca="1" si="233"/>
        <v>73.084499999999991</v>
      </c>
      <c r="U554" s="311">
        <f t="shared" ca="1" si="234"/>
        <v>0</v>
      </c>
      <c r="V554" s="306">
        <f t="shared" ca="1" si="235"/>
        <v>1.2261474683018572</v>
      </c>
      <c r="W554" s="304">
        <f t="shared" ca="1" si="236"/>
        <v>58.339272063739173</v>
      </c>
      <c r="Y554" s="314" t="str">
        <f t="shared" ca="1" si="254"/>
        <v/>
      </c>
      <c r="Z554" s="315" t="str">
        <f t="shared" ca="1" si="255"/>
        <v/>
      </c>
      <c r="AA554" s="316" t="str">
        <f t="shared" ca="1" si="256"/>
        <v/>
      </c>
      <c r="AC554" s="310" t="e">
        <f t="shared" ca="1" si="257"/>
        <v>#N/A</v>
      </c>
      <c r="AD554" s="323" t="e">
        <f t="shared" ca="1" si="258"/>
        <v>#N/A</v>
      </c>
      <c r="AE554" s="324" t="e">
        <f t="shared" ca="1" si="237"/>
        <v>#N/A</v>
      </c>
      <c r="AG554" s="306">
        <f t="shared" ca="1" si="259"/>
        <v>1.9387153567985278</v>
      </c>
      <c r="AH554" s="304">
        <f t="shared" ca="1" si="260"/>
        <v>-7.8307401657785318</v>
      </c>
    </row>
    <row r="555" spans="1:34" x14ac:dyDescent="0.2">
      <c r="A555" s="347">
        <f t="shared" ca="1" si="238"/>
        <v>1E-4</v>
      </c>
      <c r="B555" s="304">
        <f t="shared" ca="1" si="239"/>
        <v>34.502600000000307</v>
      </c>
      <c r="D555" s="306">
        <f t="shared" ca="1" si="240"/>
        <v>-0.71121082896086729</v>
      </c>
      <c r="E555" s="307">
        <f t="shared" ca="1" si="241"/>
        <v>-2.011589090558247</v>
      </c>
      <c r="F555" s="304">
        <f t="shared" ca="1" si="242"/>
        <v>2.1336146588557545</v>
      </c>
      <c r="G555" s="306">
        <f t="shared" ca="1" si="243"/>
        <v>10.93498155773773</v>
      </c>
      <c r="H555" s="307">
        <f t="shared" ca="1" si="244"/>
        <v>-119.90281039002811</v>
      </c>
      <c r="I555" s="304">
        <f t="shared" ca="1" si="245"/>
        <v>120.4004059839297</v>
      </c>
      <c r="J555" s="306">
        <f t="shared" ca="1" si="246"/>
        <v>770.52896740167785</v>
      </c>
      <c r="K555" s="307">
        <f t="shared" ca="1" si="247"/>
        <v>-9.3746933861228179</v>
      </c>
      <c r="L555" s="304">
        <f t="shared" ca="1" si="232"/>
        <v>770.58599421555789</v>
      </c>
      <c r="M555" s="306">
        <f t="shared" ca="1" si="248"/>
        <v>-1.4798492025608729</v>
      </c>
      <c r="N555" s="304">
        <f t="shared" ca="1" si="249"/>
        <v>-84.78911362253848</v>
      </c>
      <c r="P555" s="310">
        <f t="shared" ca="1" si="250"/>
        <v>23</v>
      </c>
      <c r="Q555" s="304">
        <f t="shared" ca="1" si="251"/>
        <v>0</v>
      </c>
      <c r="R555" s="306">
        <f t="shared" ca="1" si="252"/>
        <v>0</v>
      </c>
      <c r="S555" s="307">
        <f t="shared" ca="1" si="253"/>
        <v>7.4499999999999984</v>
      </c>
      <c r="T555" s="304">
        <f t="shared" ca="1" si="233"/>
        <v>73.084499999999991</v>
      </c>
      <c r="U555" s="311">
        <f t="shared" ca="1" si="234"/>
        <v>0</v>
      </c>
      <c r="V555" s="306">
        <f t="shared" ca="1" si="235"/>
        <v>1.2261489384871018</v>
      </c>
      <c r="W555" s="304">
        <f t="shared" ca="1" si="236"/>
        <v>58.339529890092727</v>
      </c>
      <c r="Y555" s="314" t="str">
        <f t="shared" ca="1" si="254"/>
        <v/>
      </c>
      <c r="Z555" s="315" t="str">
        <f t="shared" ca="1" si="255"/>
        <v/>
      </c>
      <c r="AA555" s="316" t="str">
        <f t="shared" ca="1" si="256"/>
        <v/>
      </c>
      <c r="AC555" s="310" t="e">
        <f t="shared" ca="1" si="257"/>
        <v>#N/A</v>
      </c>
      <c r="AD555" s="323" t="e">
        <f t="shared" ca="1" si="258"/>
        <v>#N/A</v>
      </c>
      <c r="AE555" s="324" t="e">
        <f t="shared" ca="1" si="237"/>
        <v>#N/A</v>
      </c>
      <c r="AG555" s="306">
        <f t="shared" ca="1" si="259"/>
        <v>1.9386814082514983</v>
      </c>
      <c r="AH555" s="304">
        <f t="shared" ca="1" si="260"/>
        <v>-7.830774773656267</v>
      </c>
    </row>
    <row r="556" spans="1:34" x14ac:dyDescent="0.2">
      <c r="A556" s="347">
        <f t="shared" ca="1" si="238"/>
        <v>1E-4</v>
      </c>
      <c r="B556" s="304">
        <f t="shared" ca="1" si="239"/>
        <v>34.50270000000031</v>
      </c>
      <c r="D556" s="306">
        <f t="shared" ca="1" si="240"/>
        <v>-0.71120820121848427</v>
      </c>
      <c r="E556" s="307">
        <f t="shared" ca="1" si="241"/>
        <v>-2.0115540997240622</v>
      </c>
      <c r="F556" s="304">
        <f t="shared" ca="1" si="242"/>
        <v>2.1335807933136994</v>
      </c>
      <c r="G556" s="306">
        <f t="shared" ca="1" si="243"/>
        <v>10.934910436917608</v>
      </c>
      <c r="H556" s="307">
        <f t="shared" ca="1" si="244"/>
        <v>-119.90301154543808</v>
      </c>
      <c r="I556" s="304">
        <f t="shared" ca="1" si="245"/>
        <v>120.40059984870867</v>
      </c>
      <c r="J556" s="306">
        <f t="shared" ca="1" si="246"/>
        <v>770.52896740167785</v>
      </c>
      <c r="K556" s="307">
        <f t="shared" ca="1" si="247"/>
        <v>-9.3866836772195921</v>
      </c>
      <c r="L556" s="304">
        <f t="shared" ca="1" si="232"/>
        <v>770.58614017872924</v>
      </c>
      <c r="M556" s="306">
        <f t="shared" ca="1" si="248"/>
        <v>-1.479849942558727</v>
      </c>
      <c r="N556" s="304">
        <f t="shared" ca="1" si="249"/>
        <v>-84.789156021292371</v>
      </c>
      <c r="P556" s="310">
        <f t="shared" ca="1" si="250"/>
        <v>23</v>
      </c>
      <c r="Q556" s="304">
        <f t="shared" ca="1" si="251"/>
        <v>0</v>
      </c>
      <c r="R556" s="306">
        <f t="shared" ca="1" si="252"/>
        <v>0</v>
      </c>
      <c r="S556" s="307">
        <f t="shared" ca="1" si="253"/>
        <v>7.4499999999999984</v>
      </c>
      <c r="T556" s="304">
        <f t="shared" ca="1" si="233"/>
        <v>73.084499999999991</v>
      </c>
      <c r="U556" s="311">
        <f t="shared" ca="1" si="234"/>
        <v>0</v>
      </c>
      <c r="V556" s="306">
        <f t="shared" ca="1" si="235"/>
        <v>1.2261504086765771</v>
      </c>
      <c r="W556" s="304">
        <f t="shared" ca="1" si="236"/>
        <v>58.339787714110706</v>
      </c>
      <c r="Y556" s="314" t="str">
        <f t="shared" ca="1" si="254"/>
        <v/>
      </c>
      <c r="Z556" s="315" t="str">
        <f t="shared" ca="1" si="255"/>
        <v/>
      </c>
      <c r="AA556" s="316" t="str">
        <f t="shared" ca="1" si="256"/>
        <v/>
      </c>
      <c r="AC556" s="310" t="e">
        <f t="shared" ca="1" si="257"/>
        <v>#N/A</v>
      </c>
      <c r="AD556" s="323" t="e">
        <f t="shared" ca="1" si="258"/>
        <v>#N/A</v>
      </c>
      <c r="AE556" s="324" t="e">
        <f t="shared" ca="1" si="237"/>
        <v>#N/A</v>
      </c>
      <c r="AG556" s="306">
        <f t="shared" ca="1" si="259"/>
        <v>1.9386474600062131</v>
      </c>
      <c r="AH556" s="304">
        <f t="shared" ca="1" si="260"/>
        <v>-7.8308093812205017</v>
      </c>
    </row>
    <row r="557" spans="1:34" x14ac:dyDescent="0.2">
      <c r="A557" s="347">
        <f t="shared" ca="1" si="238"/>
        <v>1E-4</v>
      </c>
      <c r="B557" s="304">
        <f t="shared" ca="1" si="239"/>
        <v>34.502800000000313</v>
      </c>
      <c r="D557" s="306">
        <f t="shared" ca="1" si="240"/>
        <v>-0.71120557345234936</v>
      </c>
      <c r="E557" s="307">
        <f t="shared" ca="1" si="241"/>
        <v>-2.0115191092068185</v>
      </c>
      <c r="F557" s="304">
        <f t="shared" ca="1" si="242"/>
        <v>2.1335469281020929</v>
      </c>
      <c r="G557" s="306">
        <f t="shared" ca="1" si="243"/>
        <v>10.934839316360263</v>
      </c>
      <c r="H557" s="307">
        <f t="shared" ca="1" si="244"/>
        <v>-119.90321269734899</v>
      </c>
      <c r="I557" s="304">
        <f t="shared" ca="1" si="245"/>
        <v>120.40079371009284</v>
      </c>
      <c r="J557" s="306">
        <f t="shared" ca="1" si="246"/>
        <v>770.52896740167785</v>
      </c>
      <c r="K557" s="307">
        <f t="shared" ca="1" si="247"/>
        <v>-9.3986739884317316</v>
      </c>
      <c r="L557" s="304">
        <f t="shared" ca="1" si="232"/>
        <v>770.5862863286867</v>
      </c>
      <c r="M557" s="306">
        <f t="shared" ca="1" si="248"/>
        <v>-1.4798506825493853</v>
      </c>
      <c r="N557" s="304">
        <f t="shared" ca="1" si="249"/>
        <v>-84.789198419633962</v>
      </c>
      <c r="P557" s="310">
        <f t="shared" ca="1" si="250"/>
        <v>23</v>
      </c>
      <c r="Q557" s="304">
        <f t="shared" ca="1" si="251"/>
        <v>0</v>
      </c>
      <c r="R557" s="306">
        <f t="shared" ca="1" si="252"/>
        <v>0</v>
      </c>
      <c r="S557" s="307">
        <f t="shared" ca="1" si="253"/>
        <v>7.4499999999999984</v>
      </c>
      <c r="T557" s="304">
        <f t="shared" ca="1" si="233"/>
        <v>73.084499999999991</v>
      </c>
      <c r="U557" s="311">
        <f t="shared" ca="1" si="234"/>
        <v>0</v>
      </c>
      <c r="V557" s="306">
        <f t="shared" ca="1" si="235"/>
        <v>1.2261518788702817</v>
      </c>
      <c r="W557" s="304">
        <f t="shared" ca="1" si="236"/>
        <v>58.340045535793088</v>
      </c>
      <c r="Y557" s="314" t="str">
        <f t="shared" ca="1" si="254"/>
        <v/>
      </c>
      <c r="Z557" s="315" t="str">
        <f t="shared" ca="1" si="255"/>
        <v/>
      </c>
      <c r="AA557" s="316" t="str">
        <f t="shared" ca="1" si="256"/>
        <v/>
      </c>
      <c r="AC557" s="310" t="e">
        <f t="shared" ca="1" si="257"/>
        <v>#N/A</v>
      </c>
      <c r="AD557" s="323" t="e">
        <f t="shared" ca="1" si="258"/>
        <v>#N/A</v>
      </c>
      <c r="AE557" s="324" t="e">
        <f t="shared" ca="1" si="237"/>
        <v>#N/A</v>
      </c>
      <c r="AG557" s="306">
        <f t="shared" ca="1" si="259"/>
        <v>1.9386135120626626</v>
      </c>
      <c r="AH557" s="304">
        <f t="shared" ca="1" si="260"/>
        <v>-7.8308439884712371</v>
      </c>
    </row>
    <row r="558" spans="1:34" x14ac:dyDescent="0.2">
      <c r="A558" s="347">
        <f t="shared" ca="1" si="238"/>
        <v>1E-4</v>
      </c>
      <c r="B558" s="304">
        <f t="shared" ca="1" si="239"/>
        <v>34.502900000000317</v>
      </c>
      <c r="D558" s="306">
        <f t="shared" ca="1" si="240"/>
        <v>-0.71120294566246245</v>
      </c>
      <c r="E558" s="307">
        <f t="shared" ca="1" si="241"/>
        <v>-2.0114841190065169</v>
      </c>
      <c r="F558" s="304">
        <f t="shared" ca="1" si="242"/>
        <v>2.1335130632209371</v>
      </c>
      <c r="G558" s="306">
        <f t="shared" ca="1" si="243"/>
        <v>10.934768196065697</v>
      </c>
      <c r="H558" s="307">
        <f t="shared" ca="1" si="244"/>
        <v>-119.90341384576089</v>
      </c>
      <c r="I558" s="304">
        <f t="shared" ca="1" si="245"/>
        <v>120.40098756808224</v>
      </c>
      <c r="J558" s="306">
        <f t="shared" ca="1" si="246"/>
        <v>770.52896740167785</v>
      </c>
      <c r="K558" s="307">
        <f t="shared" ca="1" si="247"/>
        <v>-9.4106643197588866</v>
      </c>
      <c r="L558" s="304">
        <f t="shared" ca="1" si="232"/>
        <v>770.58643266543118</v>
      </c>
      <c r="M558" s="306">
        <f t="shared" ca="1" si="248"/>
        <v>-1.4798514225328476</v>
      </c>
      <c r="N558" s="304">
        <f t="shared" ca="1" si="249"/>
        <v>-84.789240817563268</v>
      </c>
      <c r="P558" s="310">
        <f t="shared" ca="1" si="250"/>
        <v>23</v>
      </c>
      <c r="Q558" s="304">
        <f t="shared" ca="1" si="251"/>
        <v>0</v>
      </c>
      <c r="R558" s="306">
        <f t="shared" ca="1" si="252"/>
        <v>0</v>
      </c>
      <c r="S558" s="307">
        <f t="shared" ca="1" si="253"/>
        <v>7.4499999999999984</v>
      </c>
      <c r="T558" s="304">
        <f t="shared" ca="1" si="233"/>
        <v>73.084499999999991</v>
      </c>
      <c r="U558" s="311">
        <f t="shared" ca="1" si="234"/>
        <v>0</v>
      </c>
      <c r="V558" s="306">
        <f t="shared" ca="1" si="235"/>
        <v>1.2261533490682168</v>
      </c>
      <c r="W558" s="304">
        <f t="shared" ca="1" si="236"/>
        <v>58.340303355139888</v>
      </c>
      <c r="Y558" s="314" t="str">
        <f t="shared" ca="1" si="254"/>
        <v/>
      </c>
      <c r="Z558" s="315" t="str">
        <f t="shared" ca="1" si="255"/>
        <v/>
      </c>
      <c r="AA558" s="316" t="str">
        <f t="shared" ca="1" si="256"/>
        <v/>
      </c>
      <c r="AC558" s="310" t="e">
        <f t="shared" ca="1" si="257"/>
        <v>#N/A</v>
      </c>
      <c r="AD558" s="323" t="e">
        <f t="shared" ca="1" si="258"/>
        <v>#N/A</v>
      </c>
      <c r="AE558" s="324" t="e">
        <f t="shared" ca="1" si="237"/>
        <v>#N/A</v>
      </c>
      <c r="AG558" s="306">
        <f t="shared" ca="1" si="259"/>
        <v>1.9385795644208548</v>
      </c>
      <c r="AH558" s="304">
        <f t="shared" ca="1" si="260"/>
        <v>-7.8308785954084703</v>
      </c>
    </row>
    <row r="559" spans="1:34" x14ac:dyDescent="0.2">
      <c r="A559" s="347">
        <f t="shared" ca="1" si="238"/>
        <v>1E-4</v>
      </c>
      <c r="B559" s="304">
        <f t="shared" ca="1" si="239"/>
        <v>34.50300000000032</v>
      </c>
      <c r="D559" s="306">
        <f t="shared" ca="1" si="240"/>
        <v>-0.71120031784882642</v>
      </c>
      <c r="E559" s="307">
        <f t="shared" ca="1" si="241"/>
        <v>-2.0114491291231582</v>
      </c>
      <c r="F559" s="304">
        <f t="shared" ca="1" si="242"/>
        <v>2.1334791986702339</v>
      </c>
      <c r="G559" s="306">
        <f t="shared" ca="1" si="243"/>
        <v>10.934697076033912</v>
      </c>
      <c r="H559" s="307">
        <f t="shared" ca="1" si="244"/>
        <v>-119.9036149906738</v>
      </c>
      <c r="I559" s="304">
        <f t="shared" ca="1" si="245"/>
        <v>120.40118142267691</v>
      </c>
      <c r="J559" s="306">
        <f t="shared" ca="1" si="246"/>
        <v>770.52896740167785</v>
      </c>
      <c r="K559" s="307">
        <f t="shared" ca="1" si="247"/>
        <v>-9.4226546712007089</v>
      </c>
      <c r="L559" s="304">
        <f t="shared" ca="1" si="232"/>
        <v>770.58657918896347</v>
      </c>
      <c r="M559" s="306">
        <f t="shared" ca="1" si="248"/>
        <v>-1.4798521625091143</v>
      </c>
      <c r="N559" s="304">
        <f t="shared" ca="1" si="249"/>
        <v>-84.789283215080289</v>
      </c>
      <c r="P559" s="310">
        <f t="shared" ca="1" si="250"/>
        <v>23</v>
      </c>
      <c r="Q559" s="304">
        <f t="shared" ca="1" si="251"/>
        <v>0</v>
      </c>
      <c r="R559" s="306">
        <f t="shared" ca="1" si="252"/>
        <v>0</v>
      </c>
      <c r="S559" s="307">
        <f t="shared" ca="1" si="253"/>
        <v>7.4499999999999984</v>
      </c>
      <c r="T559" s="304">
        <f t="shared" ca="1" si="233"/>
        <v>73.084499999999991</v>
      </c>
      <c r="U559" s="311">
        <f t="shared" ca="1" si="234"/>
        <v>0</v>
      </c>
      <c r="V559" s="306">
        <f t="shared" ca="1" si="235"/>
        <v>1.2261548192703819</v>
      </c>
      <c r="W559" s="304">
        <f t="shared" ca="1" si="236"/>
        <v>58.340561172151119</v>
      </c>
      <c r="Y559" s="314" t="str">
        <f t="shared" ca="1" si="254"/>
        <v/>
      </c>
      <c r="Z559" s="315" t="str">
        <f t="shared" ca="1" si="255"/>
        <v/>
      </c>
      <c r="AA559" s="316" t="str">
        <f t="shared" ca="1" si="256"/>
        <v/>
      </c>
      <c r="AC559" s="310" t="e">
        <f t="shared" ca="1" si="257"/>
        <v>#N/A</v>
      </c>
      <c r="AD559" s="323" t="e">
        <f t="shared" ca="1" si="258"/>
        <v>#N/A</v>
      </c>
      <c r="AE559" s="324" t="e">
        <f t="shared" ca="1" si="237"/>
        <v>#N/A</v>
      </c>
      <c r="AG559" s="306">
        <f t="shared" ca="1" si="259"/>
        <v>1.9385456170807878</v>
      </c>
      <c r="AH559" s="304">
        <f t="shared" ca="1" si="260"/>
        <v>-7.8309132020322014</v>
      </c>
    </row>
    <row r="560" spans="1:34" x14ac:dyDescent="0.2">
      <c r="A560" s="347">
        <f t="shared" ca="1" si="238"/>
        <v>1E-4</v>
      </c>
      <c r="B560" s="304">
        <f t="shared" ca="1" si="239"/>
        <v>34.503100000000323</v>
      </c>
      <c r="D560" s="306">
        <f t="shared" ca="1" si="240"/>
        <v>-0.71119769001143984</v>
      </c>
      <c r="E560" s="307">
        <f t="shared" ca="1" si="241"/>
        <v>-2.0114141395567389</v>
      </c>
      <c r="F560" s="304">
        <f t="shared" ca="1" si="242"/>
        <v>2.1334453344499793</v>
      </c>
      <c r="G560" s="306">
        <f t="shared" ca="1" si="243"/>
        <v>10.93462595626491</v>
      </c>
      <c r="H560" s="307">
        <f t="shared" ca="1" si="244"/>
        <v>-119.90381613208775</v>
      </c>
      <c r="I560" s="304">
        <f t="shared" ca="1" si="245"/>
        <v>120.40137527387688</v>
      </c>
      <c r="J560" s="306">
        <f t="shared" ca="1" si="246"/>
        <v>770.52896740167785</v>
      </c>
      <c r="K560" s="307">
        <f t="shared" ca="1" si="247"/>
        <v>-9.4346450427568467</v>
      </c>
      <c r="L560" s="304">
        <f t="shared" ca="1" si="232"/>
        <v>770.58672589928437</v>
      </c>
      <c r="M560" s="306">
        <f t="shared" ca="1" si="248"/>
        <v>-1.4798529024781852</v>
      </c>
      <c r="N560" s="304">
        <f t="shared" ca="1" si="249"/>
        <v>-84.789325612185024</v>
      </c>
      <c r="P560" s="310">
        <f t="shared" ca="1" si="250"/>
        <v>23</v>
      </c>
      <c r="Q560" s="304">
        <f t="shared" ca="1" si="251"/>
        <v>0</v>
      </c>
      <c r="R560" s="306">
        <f t="shared" ca="1" si="252"/>
        <v>0</v>
      </c>
      <c r="S560" s="307">
        <f t="shared" ca="1" si="253"/>
        <v>7.4499999999999984</v>
      </c>
      <c r="T560" s="304">
        <f t="shared" ca="1" si="233"/>
        <v>73.084499999999991</v>
      </c>
      <c r="U560" s="311">
        <f t="shared" ca="1" si="234"/>
        <v>0</v>
      </c>
      <c r="V560" s="306">
        <f t="shared" ca="1" si="235"/>
        <v>1.226156289476777</v>
      </c>
      <c r="W560" s="304">
        <f t="shared" ca="1" si="236"/>
        <v>58.34081898682679</v>
      </c>
      <c r="Y560" s="314" t="str">
        <f t="shared" ca="1" si="254"/>
        <v/>
      </c>
      <c r="Z560" s="315" t="str">
        <f t="shared" ca="1" si="255"/>
        <v/>
      </c>
      <c r="AA560" s="316" t="str">
        <f t="shared" ca="1" si="256"/>
        <v/>
      </c>
      <c r="AC560" s="310" t="e">
        <f t="shared" ca="1" si="257"/>
        <v>#N/A</v>
      </c>
      <c r="AD560" s="323" t="e">
        <f t="shared" ca="1" si="258"/>
        <v>#N/A</v>
      </c>
      <c r="AE560" s="324" t="e">
        <f t="shared" ca="1" si="237"/>
        <v>#N/A</v>
      </c>
      <c r="AG560" s="306">
        <f t="shared" ca="1" si="259"/>
        <v>1.9385116700424598</v>
      </c>
      <c r="AH560" s="304">
        <f t="shared" ca="1" si="260"/>
        <v>-7.830947808342434</v>
      </c>
    </row>
    <row r="561" spans="1:34" x14ac:dyDescent="0.2">
      <c r="A561" s="347">
        <f t="shared" ca="1" si="238"/>
        <v>1E-4</v>
      </c>
      <c r="B561" s="304">
        <f t="shared" ca="1" si="239"/>
        <v>34.503200000000326</v>
      </c>
      <c r="D561" s="306">
        <f t="shared" ca="1" si="240"/>
        <v>-0.7111950621503057</v>
      </c>
      <c r="E561" s="307">
        <f t="shared" ca="1" si="241"/>
        <v>-2.0113791503072598</v>
      </c>
      <c r="F561" s="304">
        <f t="shared" ca="1" si="242"/>
        <v>2.1334114705601759</v>
      </c>
      <c r="G561" s="306">
        <f t="shared" ca="1" si="243"/>
        <v>10.934554836758695</v>
      </c>
      <c r="H561" s="307">
        <f t="shared" ca="1" si="244"/>
        <v>-119.90401727000278</v>
      </c>
      <c r="I561" s="304">
        <f t="shared" ca="1" si="245"/>
        <v>120.40156912168217</v>
      </c>
      <c r="J561" s="306">
        <f t="shared" ca="1" si="246"/>
        <v>770.52896740167785</v>
      </c>
      <c r="K561" s="307">
        <f t="shared" ca="1" si="247"/>
        <v>-9.4466354344269519</v>
      </c>
      <c r="L561" s="304">
        <f t="shared" ca="1" si="232"/>
        <v>770.58687279639469</v>
      </c>
      <c r="M561" s="306">
        <f t="shared" ca="1" si="248"/>
        <v>-1.4798536424400608</v>
      </c>
      <c r="N561" s="304">
        <f t="shared" ca="1" si="249"/>
        <v>-84.789368008877489</v>
      </c>
      <c r="P561" s="310">
        <f t="shared" ca="1" si="250"/>
        <v>23</v>
      </c>
      <c r="Q561" s="304">
        <f t="shared" ca="1" si="251"/>
        <v>0</v>
      </c>
      <c r="R561" s="306">
        <f t="shared" ca="1" si="252"/>
        <v>0</v>
      </c>
      <c r="S561" s="307">
        <f t="shared" ca="1" si="253"/>
        <v>7.4499999999999984</v>
      </c>
      <c r="T561" s="304">
        <f t="shared" ca="1" si="233"/>
        <v>73.084499999999991</v>
      </c>
      <c r="U561" s="311">
        <f t="shared" ca="1" si="234"/>
        <v>0</v>
      </c>
      <c r="V561" s="306">
        <f t="shared" ca="1" si="235"/>
        <v>1.2261577596874016</v>
      </c>
      <c r="W561" s="304">
        <f t="shared" ca="1" si="236"/>
        <v>58.341076799166849</v>
      </c>
      <c r="Y561" s="314" t="str">
        <f t="shared" ca="1" si="254"/>
        <v/>
      </c>
      <c r="Z561" s="315" t="str">
        <f t="shared" ca="1" si="255"/>
        <v/>
      </c>
      <c r="AA561" s="316" t="str">
        <f t="shared" ca="1" si="256"/>
        <v/>
      </c>
      <c r="AC561" s="310" t="e">
        <f t="shared" ca="1" si="257"/>
        <v>#N/A</v>
      </c>
      <c r="AD561" s="323" t="e">
        <f t="shared" ca="1" si="258"/>
        <v>#N/A</v>
      </c>
      <c r="AE561" s="324" t="e">
        <f t="shared" ca="1" si="237"/>
        <v>#N/A</v>
      </c>
      <c r="AG561" s="306">
        <f t="shared" ca="1" si="259"/>
        <v>1.9384777233058674</v>
      </c>
      <c r="AH561" s="304">
        <f t="shared" ca="1" si="260"/>
        <v>-7.830982414339168</v>
      </c>
    </row>
    <row r="562" spans="1:34" x14ac:dyDescent="0.2">
      <c r="A562" s="347">
        <f t="shared" ca="1" si="238"/>
        <v>1E-4</v>
      </c>
      <c r="B562" s="304">
        <f t="shared" ca="1" si="239"/>
        <v>34.50330000000033</v>
      </c>
      <c r="D562" s="306">
        <f t="shared" ca="1" si="240"/>
        <v>-0.71119243426542145</v>
      </c>
      <c r="E562" s="307">
        <f t="shared" ca="1" si="241"/>
        <v>-2.0113441613747254</v>
      </c>
      <c r="F562" s="304">
        <f t="shared" ca="1" si="242"/>
        <v>2.1333776070008268</v>
      </c>
      <c r="G562" s="306">
        <f t="shared" ca="1" si="243"/>
        <v>10.934483717515269</v>
      </c>
      <c r="H562" s="307">
        <f t="shared" ca="1" si="244"/>
        <v>-119.90421840441893</v>
      </c>
      <c r="I562" s="304">
        <f t="shared" ca="1" si="245"/>
        <v>120.40176296609282</v>
      </c>
      <c r="J562" s="306">
        <f t="shared" ca="1" si="246"/>
        <v>770.52896740167785</v>
      </c>
      <c r="K562" s="307">
        <f t="shared" ca="1" si="247"/>
        <v>-9.4586258462106727</v>
      </c>
      <c r="L562" s="304">
        <f t="shared" ca="1" si="232"/>
        <v>770.58701988029532</v>
      </c>
      <c r="M562" s="306">
        <f t="shared" ca="1" si="248"/>
        <v>-1.4798543823947408</v>
      </c>
      <c r="N562" s="304">
        <f t="shared" ca="1" si="249"/>
        <v>-84.789410405157682</v>
      </c>
      <c r="P562" s="310">
        <f t="shared" ca="1" si="250"/>
        <v>23</v>
      </c>
      <c r="Q562" s="304">
        <f t="shared" ca="1" si="251"/>
        <v>0</v>
      </c>
      <c r="R562" s="306">
        <f t="shared" ca="1" si="252"/>
        <v>0</v>
      </c>
      <c r="S562" s="307">
        <f t="shared" ca="1" si="253"/>
        <v>7.4499999999999984</v>
      </c>
      <c r="T562" s="304">
        <f t="shared" ca="1" si="233"/>
        <v>73.084499999999991</v>
      </c>
      <c r="U562" s="311">
        <f t="shared" ca="1" si="234"/>
        <v>0</v>
      </c>
      <c r="V562" s="306">
        <f t="shared" ca="1" si="235"/>
        <v>1.2261592299022566</v>
      </c>
      <c r="W562" s="304">
        <f t="shared" ca="1" si="236"/>
        <v>58.341334609171369</v>
      </c>
      <c r="Y562" s="314" t="str">
        <f t="shared" ca="1" si="254"/>
        <v/>
      </c>
      <c r="Z562" s="315" t="str">
        <f t="shared" ca="1" si="255"/>
        <v/>
      </c>
      <c r="AA562" s="316" t="str">
        <f t="shared" ca="1" si="256"/>
        <v/>
      </c>
      <c r="AC562" s="310" t="e">
        <f t="shared" ca="1" si="257"/>
        <v>#N/A</v>
      </c>
      <c r="AD562" s="323" t="e">
        <f t="shared" ca="1" si="258"/>
        <v>#N/A</v>
      </c>
      <c r="AE562" s="324" t="e">
        <f t="shared" ca="1" si="237"/>
        <v>#N/A</v>
      </c>
      <c r="AG562" s="306">
        <f t="shared" ca="1" si="259"/>
        <v>1.9384437768710239</v>
      </c>
      <c r="AH562" s="304">
        <f t="shared" ca="1" si="260"/>
        <v>-7.8310170200223972</v>
      </c>
    </row>
    <row r="563" spans="1:34" x14ac:dyDescent="0.2">
      <c r="A563" s="347">
        <f t="shared" ca="1" si="238"/>
        <v>1E-4</v>
      </c>
      <c r="B563" s="304">
        <f t="shared" ca="1" si="239"/>
        <v>34.503400000000333</v>
      </c>
      <c r="D563" s="306">
        <f t="shared" ca="1" si="240"/>
        <v>-0.71118980635679108</v>
      </c>
      <c r="E563" s="307">
        <f t="shared" ca="1" si="241"/>
        <v>-2.0113091727591277</v>
      </c>
      <c r="F563" s="304">
        <f t="shared" ca="1" si="242"/>
        <v>2.1333437437719258</v>
      </c>
      <c r="G563" s="306">
        <f t="shared" ca="1" si="243"/>
        <v>10.934412598534633</v>
      </c>
      <c r="H563" s="307">
        <f t="shared" ca="1" si="244"/>
        <v>-119.9044195353362</v>
      </c>
      <c r="I563" s="304">
        <f t="shared" ca="1" si="245"/>
        <v>120.40195680710886</v>
      </c>
      <c r="J563" s="306">
        <f t="shared" ca="1" si="246"/>
        <v>770.52896740167785</v>
      </c>
      <c r="K563" s="307">
        <f t="shared" ca="1" si="247"/>
        <v>-9.470616278107661</v>
      </c>
      <c r="L563" s="304">
        <f t="shared" ca="1" si="232"/>
        <v>770.58716715098694</v>
      </c>
      <c r="M563" s="306">
        <f t="shared" ca="1" si="248"/>
        <v>-1.4798551223422256</v>
      </c>
      <c r="N563" s="304">
        <f t="shared" ca="1" si="249"/>
        <v>-84.789452801025618</v>
      </c>
      <c r="P563" s="310">
        <f t="shared" ca="1" si="250"/>
        <v>23</v>
      </c>
      <c r="Q563" s="304">
        <f t="shared" ca="1" si="251"/>
        <v>0</v>
      </c>
      <c r="R563" s="306">
        <f t="shared" ca="1" si="252"/>
        <v>0</v>
      </c>
      <c r="S563" s="307">
        <f t="shared" ca="1" si="253"/>
        <v>7.4499999999999984</v>
      </c>
      <c r="T563" s="304">
        <f t="shared" ca="1" si="233"/>
        <v>73.084499999999991</v>
      </c>
      <c r="U563" s="311">
        <f t="shared" ca="1" si="234"/>
        <v>0</v>
      </c>
      <c r="V563" s="306">
        <f t="shared" ca="1" si="235"/>
        <v>1.2261607001213415</v>
      </c>
      <c r="W563" s="304">
        <f t="shared" ca="1" si="236"/>
        <v>58.341592416840342</v>
      </c>
      <c r="Y563" s="314" t="str">
        <f t="shared" ca="1" si="254"/>
        <v/>
      </c>
      <c r="Z563" s="315" t="str">
        <f t="shared" ca="1" si="255"/>
        <v/>
      </c>
      <c r="AA563" s="316" t="str">
        <f t="shared" ca="1" si="256"/>
        <v/>
      </c>
      <c r="AC563" s="310" t="e">
        <f t="shared" ca="1" si="257"/>
        <v>#N/A</v>
      </c>
      <c r="AD563" s="323" t="e">
        <f t="shared" ca="1" si="258"/>
        <v>#N/A</v>
      </c>
      <c r="AE563" s="324" t="e">
        <f t="shared" ca="1" si="237"/>
        <v>#N/A</v>
      </c>
      <c r="AG563" s="306">
        <f t="shared" ca="1" si="259"/>
        <v>1.9384098307379141</v>
      </c>
      <c r="AH563" s="304">
        <f t="shared" ca="1" si="260"/>
        <v>-7.8310516253921314</v>
      </c>
    </row>
    <row r="564" spans="1:34" x14ac:dyDescent="0.2">
      <c r="A564" s="347">
        <f t="shared" ca="1" si="238"/>
        <v>1E-4</v>
      </c>
      <c r="B564" s="304">
        <f t="shared" ca="1" si="239"/>
        <v>34.503500000000336</v>
      </c>
      <c r="D564" s="306">
        <f t="shared" ca="1" si="240"/>
        <v>-0.7111871784244127</v>
      </c>
      <c r="E564" s="307">
        <f t="shared" ca="1" si="241"/>
        <v>-2.0112741844604658</v>
      </c>
      <c r="F564" s="304">
        <f t="shared" ca="1" si="242"/>
        <v>2.1333098808734725</v>
      </c>
      <c r="G564" s="306">
        <f t="shared" ca="1" si="243"/>
        <v>10.934341479816791</v>
      </c>
      <c r="H564" s="307">
        <f t="shared" ca="1" si="244"/>
        <v>-119.90462066275465</v>
      </c>
      <c r="I564" s="304">
        <f t="shared" ca="1" si="245"/>
        <v>120.40215064473031</v>
      </c>
      <c r="J564" s="306">
        <f t="shared" ca="1" si="246"/>
        <v>770.52896740167785</v>
      </c>
      <c r="K564" s="307">
        <f t="shared" ca="1" si="247"/>
        <v>-9.4826067301175652</v>
      </c>
      <c r="L564" s="304">
        <f t="shared" ca="1" si="232"/>
        <v>770.58731460847059</v>
      </c>
      <c r="M564" s="306">
        <f t="shared" ca="1" si="248"/>
        <v>-1.4798558622825151</v>
      </c>
      <c r="N564" s="304">
        <f t="shared" ca="1" si="249"/>
        <v>-84.789495196481298</v>
      </c>
      <c r="P564" s="310">
        <f t="shared" ca="1" si="250"/>
        <v>23</v>
      </c>
      <c r="Q564" s="304">
        <f t="shared" ca="1" si="251"/>
        <v>0</v>
      </c>
      <c r="R564" s="306">
        <f t="shared" ca="1" si="252"/>
        <v>0</v>
      </c>
      <c r="S564" s="307">
        <f t="shared" ca="1" si="253"/>
        <v>7.4499999999999984</v>
      </c>
      <c r="T564" s="304">
        <f t="shared" ca="1" si="233"/>
        <v>73.084499999999991</v>
      </c>
      <c r="U564" s="311">
        <f t="shared" ca="1" si="234"/>
        <v>0</v>
      </c>
      <c r="V564" s="306">
        <f t="shared" ca="1" si="235"/>
        <v>1.2261621703446561</v>
      </c>
      <c r="W564" s="304">
        <f t="shared" ca="1" si="236"/>
        <v>58.34185022217374</v>
      </c>
      <c r="Y564" s="314" t="str">
        <f t="shared" ca="1" si="254"/>
        <v/>
      </c>
      <c r="Z564" s="315" t="str">
        <f t="shared" ca="1" si="255"/>
        <v/>
      </c>
      <c r="AA564" s="316" t="str">
        <f t="shared" ca="1" si="256"/>
        <v/>
      </c>
      <c r="AC564" s="310" t="e">
        <f t="shared" ca="1" si="257"/>
        <v>#N/A</v>
      </c>
      <c r="AD564" s="323" t="e">
        <f t="shared" ca="1" si="258"/>
        <v>#N/A</v>
      </c>
      <c r="AE564" s="324" t="e">
        <f t="shared" ca="1" si="237"/>
        <v>#N/A</v>
      </c>
      <c r="AG564" s="306">
        <f t="shared" ca="1" si="259"/>
        <v>1.9383758849065424</v>
      </c>
      <c r="AH564" s="304">
        <f t="shared" ca="1" si="260"/>
        <v>-7.8310862304483697</v>
      </c>
    </row>
    <row r="565" spans="1:34" x14ac:dyDescent="0.2">
      <c r="A565" s="347">
        <f t="shared" ca="1" si="238"/>
        <v>1E-4</v>
      </c>
      <c r="B565" s="304">
        <f t="shared" ca="1" si="239"/>
        <v>34.50360000000034</v>
      </c>
      <c r="D565" s="306">
        <f t="shared" ca="1" si="240"/>
        <v>-0.71118455046828899</v>
      </c>
      <c r="E565" s="307">
        <f t="shared" ca="1" si="241"/>
        <v>-2.0112391964787451</v>
      </c>
      <c r="F565" s="304">
        <f t="shared" ca="1" si="242"/>
        <v>2.1332760183054726</v>
      </c>
      <c r="G565" s="306">
        <f t="shared" ca="1" si="243"/>
        <v>10.934270361361744</v>
      </c>
      <c r="H565" s="307">
        <f t="shared" ca="1" si="244"/>
        <v>-119.9048217866743</v>
      </c>
      <c r="I565" s="304">
        <f t="shared" ca="1" si="245"/>
        <v>120.4023444789572</v>
      </c>
      <c r="J565" s="306">
        <f t="shared" ca="1" si="246"/>
        <v>770.52896740167785</v>
      </c>
      <c r="K565" s="307">
        <f t="shared" ca="1" si="247"/>
        <v>-9.4945972022400369</v>
      </c>
      <c r="L565" s="304">
        <f t="shared" ca="1" si="232"/>
        <v>770.58746225274695</v>
      </c>
      <c r="M565" s="306">
        <f t="shared" ca="1" si="248"/>
        <v>-1.4798566022156097</v>
      </c>
      <c r="N565" s="304">
        <f t="shared" ca="1" si="249"/>
        <v>-84.789537591524748</v>
      </c>
      <c r="P565" s="310">
        <f t="shared" ca="1" si="250"/>
        <v>23</v>
      </c>
      <c r="Q565" s="304">
        <f t="shared" ca="1" si="251"/>
        <v>0</v>
      </c>
      <c r="R565" s="306">
        <f t="shared" ca="1" si="252"/>
        <v>0</v>
      </c>
      <c r="S565" s="307">
        <f t="shared" ca="1" si="253"/>
        <v>7.4499999999999984</v>
      </c>
      <c r="T565" s="304">
        <f t="shared" ca="1" si="233"/>
        <v>73.084499999999991</v>
      </c>
      <c r="U565" s="311">
        <f t="shared" ca="1" si="234"/>
        <v>0</v>
      </c>
      <c r="V565" s="306">
        <f t="shared" ca="1" si="235"/>
        <v>1.2261636405722005</v>
      </c>
      <c r="W565" s="304">
        <f t="shared" ca="1" si="236"/>
        <v>58.342108025171562</v>
      </c>
      <c r="Y565" s="314" t="str">
        <f t="shared" ca="1" si="254"/>
        <v/>
      </c>
      <c r="Z565" s="315" t="str">
        <f t="shared" ca="1" si="255"/>
        <v/>
      </c>
      <c r="AA565" s="316" t="str">
        <f t="shared" ca="1" si="256"/>
        <v/>
      </c>
      <c r="AC565" s="310" t="e">
        <f t="shared" ca="1" si="257"/>
        <v>#N/A</v>
      </c>
      <c r="AD565" s="323" t="e">
        <f t="shared" ca="1" si="258"/>
        <v>#N/A</v>
      </c>
      <c r="AE565" s="324" t="e">
        <f t="shared" ca="1" si="237"/>
        <v>#N/A</v>
      </c>
      <c r="AG565" s="306">
        <f t="shared" ca="1" si="259"/>
        <v>1.9383419393769099</v>
      </c>
      <c r="AH565" s="304">
        <f t="shared" ca="1" si="260"/>
        <v>-7.8311208351911077</v>
      </c>
    </row>
    <row r="566" spans="1:34" x14ac:dyDescent="0.2">
      <c r="A566" s="347">
        <f t="shared" ca="1" si="238"/>
        <v>1E-4</v>
      </c>
      <c r="B566" s="304">
        <f t="shared" ca="1" si="239"/>
        <v>34.503700000000343</v>
      </c>
      <c r="D566" s="306">
        <f t="shared" ca="1" si="240"/>
        <v>-0.71118192248841794</v>
      </c>
      <c r="E566" s="307">
        <f t="shared" ca="1" si="241"/>
        <v>-2.0112042088139663</v>
      </c>
      <c r="F566" s="304">
        <f t="shared" ca="1" si="242"/>
        <v>2.1332421560679262</v>
      </c>
      <c r="G566" s="306">
        <f t="shared" ca="1" si="243"/>
        <v>10.934199243169495</v>
      </c>
      <c r="H566" s="307">
        <f t="shared" ca="1" si="244"/>
        <v>-119.90502290709519</v>
      </c>
      <c r="I566" s="304">
        <f t="shared" ca="1" si="245"/>
        <v>120.40253830978959</v>
      </c>
      <c r="J566" s="306">
        <f t="shared" ca="1" si="246"/>
        <v>770.52896740167785</v>
      </c>
      <c r="K566" s="307">
        <f t="shared" ca="1" si="247"/>
        <v>-9.5065876944747245</v>
      </c>
      <c r="L566" s="304">
        <f t="shared" ca="1" si="232"/>
        <v>770.58761008381691</v>
      </c>
      <c r="M566" s="306">
        <f t="shared" ca="1" si="248"/>
        <v>-1.4798573421415091</v>
      </c>
      <c r="N566" s="304">
        <f t="shared" ca="1" si="249"/>
        <v>-84.789579986155928</v>
      </c>
      <c r="P566" s="310">
        <f t="shared" ca="1" si="250"/>
        <v>23</v>
      </c>
      <c r="Q566" s="304">
        <f t="shared" ca="1" si="251"/>
        <v>0</v>
      </c>
      <c r="R566" s="306">
        <f t="shared" ca="1" si="252"/>
        <v>0</v>
      </c>
      <c r="S566" s="307">
        <f t="shared" ca="1" si="253"/>
        <v>7.4499999999999984</v>
      </c>
      <c r="T566" s="304">
        <f t="shared" ca="1" si="233"/>
        <v>73.084499999999991</v>
      </c>
      <c r="U566" s="311">
        <f t="shared" ca="1" si="234"/>
        <v>0</v>
      </c>
      <c r="V566" s="306">
        <f t="shared" ca="1" si="235"/>
        <v>1.2261651108039751</v>
      </c>
      <c r="W566" s="304">
        <f t="shared" ca="1" si="236"/>
        <v>58.342365825833866</v>
      </c>
      <c r="Y566" s="314" t="str">
        <f t="shared" ca="1" si="254"/>
        <v/>
      </c>
      <c r="Z566" s="315" t="str">
        <f t="shared" ca="1" si="255"/>
        <v/>
      </c>
      <c r="AA566" s="316" t="str">
        <f t="shared" ca="1" si="256"/>
        <v/>
      </c>
      <c r="AC566" s="310" t="e">
        <f t="shared" ca="1" si="257"/>
        <v>#N/A</v>
      </c>
      <c r="AD566" s="323" t="e">
        <f t="shared" ca="1" si="258"/>
        <v>#N/A</v>
      </c>
      <c r="AE566" s="324" t="e">
        <f t="shared" ca="1" si="237"/>
        <v>#N/A</v>
      </c>
      <c r="AG566" s="306">
        <f t="shared" ca="1" si="259"/>
        <v>1.9383079941490182</v>
      </c>
      <c r="AH566" s="304">
        <f t="shared" ca="1" si="260"/>
        <v>-7.8311554396203453</v>
      </c>
    </row>
    <row r="567" spans="1:34" x14ac:dyDescent="0.2">
      <c r="A567" s="347">
        <f t="shared" ca="1" si="238"/>
        <v>1E-4</v>
      </c>
      <c r="B567" s="304">
        <f t="shared" ca="1" si="239"/>
        <v>34.503800000000346</v>
      </c>
      <c r="D567" s="306">
        <f t="shared" ca="1" si="240"/>
        <v>-0.71117929448480344</v>
      </c>
      <c r="E567" s="307">
        <f t="shared" ca="1" si="241"/>
        <v>-2.011169221466119</v>
      </c>
      <c r="F567" s="304">
        <f t="shared" ca="1" si="242"/>
        <v>2.1332082941608252</v>
      </c>
      <c r="G567" s="306">
        <f t="shared" ca="1" si="243"/>
        <v>10.934128125240047</v>
      </c>
      <c r="H567" s="307">
        <f t="shared" ca="1" si="244"/>
        <v>-119.90522402401733</v>
      </c>
      <c r="I567" s="304">
        <f t="shared" ca="1" si="245"/>
        <v>120.40273213722747</v>
      </c>
      <c r="J567" s="306">
        <f t="shared" ca="1" si="246"/>
        <v>770.52896740167785</v>
      </c>
      <c r="K567" s="307">
        <f t="shared" ca="1" si="247"/>
        <v>-9.5185782068212799</v>
      </c>
      <c r="L567" s="304">
        <f t="shared" ca="1" si="232"/>
        <v>770.58775810168129</v>
      </c>
      <c r="M567" s="306">
        <f t="shared" ca="1" si="248"/>
        <v>-1.4798580820602136</v>
      </c>
      <c r="N567" s="304">
        <f t="shared" ca="1" si="249"/>
        <v>-84.789622380374894</v>
      </c>
      <c r="P567" s="310">
        <f t="shared" ca="1" si="250"/>
        <v>23</v>
      </c>
      <c r="Q567" s="304">
        <f t="shared" ca="1" si="251"/>
        <v>0</v>
      </c>
      <c r="R567" s="306">
        <f t="shared" ca="1" si="252"/>
        <v>0</v>
      </c>
      <c r="S567" s="307">
        <f t="shared" ca="1" si="253"/>
        <v>7.4499999999999984</v>
      </c>
      <c r="T567" s="304">
        <f t="shared" ca="1" si="233"/>
        <v>73.084499999999991</v>
      </c>
      <c r="U567" s="311">
        <f t="shared" ca="1" si="234"/>
        <v>0</v>
      </c>
      <c r="V567" s="306">
        <f t="shared" ca="1" si="235"/>
        <v>1.2261665810399791</v>
      </c>
      <c r="W567" s="304">
        <f t="shared" ca="1" si="236"/>
        <v>58.342623624160609</v>
      </c>
      <c r="Y567" s="314" t="str">
        <f t="shared" ca="1" si="254"/>
        <v/>
      </c>
      <c r="Z567" s="315" t="str">
        <f t="shared" ca="1" si="255"/>
        <v/>
      </c>
      <c r="AA567" s="316" t="str">
        <f t="shared" ca="1" si="256"/>
        <v/>
      </c>
      <c r="AC567" s="310" t="e">
        <f t="shared" ca="1" si="257"/>
        <v>#N/A</v>
      </c>
      <c r="AD567" s="323" t="e">
        <f t="shared" ca="1" si="258"/>
        <v>#N/A</v>
      </c>
      <c r="AE567" s="324" t="e">
        <f t="shared" ca="1" si="237"/>
        <v>#N/A</v>
      </c>
      <c r="AG567" s="306">
        <f t="shared" ca="1" si="259"/>
        <v>1.9382740492228603</v>
      </c>
      <c r="AH567" s="304">
        <f t="shared" ca="1" si="260"/>
        <v>-7.8311900437360915</v>
      </c>
    </row>
    <row r="568" spans="1:34" x14ac:dyDescent="0.2">
      <c r="A568" s="347">
        <f t="shared" ca="1" si="238"/>
        <v>1E-4</v>
      </c>
      <c r="B568" s="304">
        <f t="shared" ca="1" si="239"/>
        <v>34.50390000000035</v>
      </c>
      <c r="D568" s="306">
        <f t="shared" ca="1" si="240"/>
        <v>-0.7111766664574446</v>
      </c>
      <c r="E568" s="307">
        <f t="shared" ca="1" si="241"/>
        <v>-2.0111342344352128</v>
      </c>
      <c r="F568" s="304">
        <f t="shared" ca="1" si="242"/>
        <v>2.1331744325841786</v>
      </c>
      <c r="G568" s="306">
        <f t="shared" ca="1" si="243"/>
        <v>10.934057007573401</v>
      </c>
      <c r="H568" s="307">
        <f t="shared" ca="1" si="244"/>
        <v>-119.90542513744077</v>
      </c>
      <c r="I568" s="304">
        <f t="shared" ca="1" si="245"/>
        <v>120.40292596127088</v>
      </c>
      <c r="J568" s="306">
        <f t="shared" ca="1" si="246"/>
        <v>770.52896740167785</v>
      </c>
      <c r="K568" s="307">
        <f t="shared" ca="1" si="247"/>
        <v>-9.530568739279353</v>
      </c>
      <c r="L568" s="304">
        <f t="shared" ca="1" si="232"/>
        <v>770.58790630634098</v>
      </c>
      <c r="M568" s="306">
        <f t="shared" ca="1" si="248"/>
        <v>-1.4798588219717235</v>
      </c>
      <c r="N568" s="304">
        <f t="shared" ca="1" si="249"/>
        <v>-84.789664774181617</v>
      </c>
      <c r="P568" s="310">
        <f t="shared" ca="1" si="250"/>
        <v>23</v>
      </c>
      <c r="Q568" s="304">
        <f t="shared" ca="1" si="251"/>
        <v>0</v>
      </c>
      <c r="R568" s="306">
        <f t="shared" ca="1" si="252"/>
        <v>0</v>
      </c>
      <c r="S568" s="307">
        <f t="shared" ca="1" si="253"/>
        <v>7.4499999999999984</v>
      </c>
      <c r="T568" s="304">
        <f t="shared" ca="1" si="233"/>
        <v>73.084499999999991</v>
      </c>
      <c r="U568" s="311">
        <f t="shared" ca="1" si="234"/>
        <v>0</v>
      </c>
      <c r="V568" s="306">
        <f t="shared" ca="1" si="235"/>
        <v>1.2261680512802127</v>
      </c>
      <c r="W568" s="304">
        <f t="shared" ca="1" si="236"/>
        <v>58.342881420151762</v>
      </c>
      <c r="Y568" s="314" t="str">
        <f t="shared" ca="1" si="254"/>
        <v/>
      </c>
      <c r="Z568" s="315" t="str">
        <f t="shared" ca="1" si="255"/>
        <v/>
      </c>
      <c r="AA568" s="316" t="str">
        <f t="shared" ca="1" si="256"/>
        <v/>
      </c>
      <c r="AC568" s="310" t="e">
        <f t="shared" ca="1" si="257"/>
        <v>#N/A</v>
      </c>
      <c r="AD568" s="323" t="e">
        <f t="shared" ca="1" si="258"/>
        <v>#N/A</v>
      </c>
      <c r="AE568" s="324" t="e">
        <f t="shared" ca="1" si="237"/>
        <v>#N/A</v>
      </c>
      <c r="AG568" s="306">
        <f t="shared" ca="1" si="259"/>
        <v>1.9382401045984405</v>
      </c>
      <c r="AH568" s="304">
        <f t="shared" ca="1" si="260"/>
        <v>-7.8312246475383382</v>
      </c>
    </row>
    <row r="569" spans="1:34" x14ac:dyDescent="0.2">
      <c r="A569" s="347">
        <f t="shared" ca="1" si="238"/>
        <v>1E-4</v>
      </c>
      <c r="B569" s="304">
        <f t="shared" ca="1" si="239"/>
        <v>34.504000000000353</v>
      </c>
      <c r="D569" s="306">
        <f t="shared" ca="1" si="240"/>
        <v>-0.71117403840634086</v>
      </c>
      <c r="E569" s="307">
        <f t="shared" ca="1" si="241"/>
        <v>-2.0110992477212477</v>
      </c>
      <c r="F569" s="304">
        <f t="shared" ca="1" si="242"/>
        <v>2.1331405713379867</v>
      </c>
      <c r="G569" s="306">
        <f t="shared" ca="1" si="243"/>
        <v>10.933985890169559</v>
      </c>
      <c r="H569" s="307">
        <f t="shared" ca="1" si="244"/>
        <v>-119.90562624736555</v>
      </c>
      <c r="I569" s="304">
        <f t="shared" ca="1" si="245"/>
        <v>120.40311978191987</v>
      </c>
      <c r="J569" s="306">
        <f t="shared" ca="1" si="246"/>
        <v>770.52896740167785</v>
      </c>
      <c r="K569" s="307">
        <f t="shared" ca="1" si="247"/>
        <v>-9.542559291848594</v>
      </c>
      <c r="L569" s="304">
        <f t="shared" ca="1" si="232"/>
        <v>770.58805469779657</v>
      </c>
      <c r="M569" s="306">
        <f t="shared" ca="1" si="248"/>
        <v>-1.4798595618760386</v>
      </c>
      <c r="N569" s="304">
        <f t="shared" ca="1" si="249"/>
        <v>-84.789707167576111</v>
      </c>
      <c r="P569" s="310">
        <f t="shared" ca="1" si="250"/>
        <v>23</v>
      </c>
      <c r="Q569" s="304">
        <f t="shared" ca="1" si="251"/>
        <v>0</v>
      </c>
      <c r="R569" s="306">
        <f t="shared" ca="1" si="252"/>
        <v>0</v>
      </c>
      <c r="S569" s="307">
        <f t="shared" ca="1" si="253"/>
        <v>7.4499999999999984</v>
      </c>
      <c r="T569" s="304">
        <f t="shared" ca="1" si="233"/>
        <v>73.084499999999991</v>
      </c>
      <c r="U569" s="311">
        <f t="shared" ca="1" si="234"/>
        <v>0</v>
      </c>
      <c r="V569" s="306">
        <f t="shared" ca="1" si="235"/>
        <v>1.226169521524676</v>
      </c>
      <c r="W569" s="304">
        <f t="shared" ca="1" si="236"/>
        <v>58.34313921380739</v>
      </c>
      <c r="Y569" s="314" t="str">
        <f t="shared" ca="1" si="254"/>
        <v/>
      </c>
      <c r="Z569" s="315" t="str">
        <f t="shared" ca="1" si="255"/>
        <v/>
      </c>
      <c r="AA569" s="316" t="str">
        <f t="shared" ca="1" si="256"/>
        <v/>
      </c>
      <c r="AC569" s="310" t="e">
        <f t="shared" ca="1" si="257"/>
        <v>#N/A</v>
      </c>
      <c r="AD569" s="323" t="e">
        <f t="shared" ca="1" si="258"/>
        <v>#N/A</v>
      </c>
      <c r="AE569" s="324" t="e">
        <f t="shared" ca="1" si="237"/>
        <v>#N/A</v>
      </c>
      <c r="AG569" s="306">
        <f t="shared" ca="1" si="259"/>
        <v>1.9382061602757679</v>
      </c>
      <c r="AH569" s="304">
        <f t="shared" ca="1" si="260"/>
        <v>-7.8312592510270838</v>
      </c>
    </row>
    <row r="570" spans="1:34" x14ac:dyDescent="0.2">
      <c r="A570" s="347">
        <f t="shared" ca="1" si="238"/>
        <v>1E-4</v>
      </c>
      <c r="B570" s="304">
        <f t="shared" ca="1" si="239"/>
        <v>34.504100000000356</v>
      </c>
      <c r="D570" s="306">
        <f t="shared" ca="1" si="240"/>
        <v>-0.71117141033149445</v>
      </c>
      <c r="E570" s="307">
        <f t="shared" ca="1" si="241"/>
        <v>-2.0110642613242167</v>
      </c>
      <c r="F570" s="304">
        <f t="shared" ca="1" si="242"/>
        <v>2.1331067104222434</v>
      </c>
      <c r="G570" s="306">
        <f t="shared" ca="1" si="243"/>
        <v>10.933914773028526</v>
      </c>
      <c r="H570" s="307">
        <f t="shared" ca="1" si="244"/>
        <v>-119.90582735379168</v>
      </c>
      <c r="I570" s="304">
        <f t="shared" ca="1" si="245"/>
        <v>120.40331359917445</v>
      </c>
      <c r="J570" s="306">
        <f t="shared" ca="1" si="246"/>
        <v>770.52896740167785</v>
      </c>
      <c r="K570" s="307">
        <f t="shared" ca="1" si="247"/>
        <v>-9.5545498645286511</v>
      </c>
      <c r="L570" s="304">
        <f t="shared" ca="1" si="232"/>
        <v>770.58820327604917</v>
      </c>
      <c r="M570" s="306">
        <f t="shared" ca="1" si="248"/>
        <v>-1.4798603017731591</v>
      </c>
      <c r="N570" s="304">
        <f t="shared" ca="1" si="249"/>
        <v>-84.789749560558391</v>
      </c>
      <c r="P570" s="310">
        <f t="shared" ca="1" si="250"/>
        <v>23</v>
      </c>
      <c r="Q570" s="304">
        <f t="shared" ca="1" si="251"/>
        <v>0</v>
      </c>
      <c r="R570" s="306">
        <f t="shared" ca="1" si="252"/>
        <v>0</v>
      </c>
      <c r="S570" s="307">
        <f t="shared" ca="1" si="253"/>
        <v>7.4499999999999984</v>
      </c>
      <c r="T570" s="304">
        <f t="shared" ca="1" si="233"/>
        <v>73.084499999999991</v>
      </c>
      <c r="U570" s="311">
        <f t="shared" ca="1" si="234"/>
        <v>0</v>
      </c>
      <c r="V570" s="306">
        <f t="shared" ca="1" si="235"/>
        <v>1.2261709917733694</v>
      </c>
      <c r="W570" s="304">
        <f t="shared" ca="1" si="236"/>
        <v>58.343397005127493</v>
      </c>
      <c r="Y570" s="314" t="str">
        <f t="shared" ca="1" si="254"/>
        <v/>
      </c>
      <c r="Z570" s="315" t="str">
        <f t="shared" ca="1" si="255"/>
        <v/>
      </c>
      <c r="AA570" s="316" t="str">
        <f t="shared" ca="1" si="256"/>
        <v/>
      </c>
      <c r="AC570" s="310" t="e">
        <f t="shared" ca="1" si="257"/>
        <v>#N/A</v>
      </c>
      <c r="AD570" s="323" t="e">
        <f t="shared" ca="1" si="258"/>
        <v>#N/A</v>
      </c>
      <c r="AE570" s="324" t="e">
        <f t="shared" ca="1" si="237"/>
        <v>#N/A</v>
      </c>
      <c r="AG570" s="306">
        <f t="shared" ca="1" si="259"/>
        <v>1.9381722162548307</v>
      </c>
      <c r="AH570" s="304">
        <f t="shared" ca="1" si="260"/>
        <v>-7.831293854202336</v>
      </c>
    </row>
    <row r="571" spans="1:34" x14ac:dyDescent="0.2">
      <c r="A571" s="347">
        <f t="shared" ca="1" si="238"/>
        <v>1E-4</v>
      </c>
      <c r="B571" s="304">
        <f t="shared" ca="1" si="239"/>
        <v>34.50420000000036</v>
      </c>
      <c r="D571" s="306">
        <f t="shared" ca="1" si="240"/>
        <v>-0.71116878223290692</v>
      </c>
      <c r="E571" s="307">
        <f t="shared" ca="1" si="241"/>
        <v>-2.0110292752441197</v>
      </c>
      <c r="F571" s="304">
        <f t="shared" ca="1" si="242"/>
        <v>2.1330728498369496</v>
      </c>
      <c r="G571" s="306">
        <f t="shared" ca="1" si="243"/>
        <v>10.933843656150303</v>
      </c>
      <c r="H571" s="307">
        <f t="shared" ca="1" si="244"/>
        <v>-119.9060284567192</v>
      </c>
      <c r="I571" s="304">
        <f t="shared" ca="1" si="245"/>
        <v>120.40350741303466</v>
      </c>
      <c r="J571" s="306">
        <f t="shared" ca="1" si="246"/>
        <v>770.52896740167785</v>
      </c>
      <c r="K571" s="307">
        <f t="shared" ca="1" si="247"/>
        <v>-9.5665404573191761</v>
      </c>
      <c r="L571" s="304">
        <f t="shared" ca="1" si="232"/>
        <v>770.58835204109948</v>
      </c>
      <c r="M571" s="306">
        <f t="shared" ca="1" si="248"/>
        <v>-1.4798610416630849</v>
      </c>
      <c r="N571" s="304">
        <f t="shared" ca="1" si="249"/>
        <v>-84.789791953128443</v>
      </c>
      <c r="P571" s="310">
        <f t="shared" ca="1" si="250"/>
        <v>23</v>
      </c>
      <c r="Q571" s="304">
        <f t="shared" ca="1" si="251"/>
        <v>0</v>
      </c>
      <c r="R571" s="306">
        <f t="shared" ca="1" si="252"/>
        <v>0</v>
      </c>
      <c r="S571" s="307">
        <f t="shared" ca="1" si="253"/>
        <v>7.4499999999999984</v>
      </c>
      <c r="T571" s="304">
        <f t="shared" ca="1" si="233"/>
        <v>73.084499999999991</v>
      </c>
      <c r="U571" s="311">
        <f t="shared" ca="1" si="234"/>
        <v>0</v>
      </c>
      <c r="V571" s="306">
        <f t="shared" ca="1" si="235"/>
        <v>1.2261724620262922</v>
      </c>
      <c r="W571" s="304">
        <f t="shared" ca="1" si="236"/>
        <v>58.343654794112055</v>
      </c>
      <c r="Y571" s="314" t="str">
        <f t="shared" ca="1" si="254"/>
        <v/>
      </c>
      <c r="Z571" s="315" t="str">
        <f t="shared" ca="1" si="255"/>
        <v/>
      </c>
      <c r="AA571" s="316" t="str">
        <f t="shared" ca="1" si="256"/>
        <v/>
      </c>
      <c r="AC571" s="310" t="e">
        <f t="shared" ca="1" si="257"/>
        <v>#N/A</v>
      </c>
      <c r="AD571" s="323" t="e">
        <f t="shared" ca="1" si="258"/>
        <v>#N/A</v>
      </c>
      <c r="AE571" s="324" t="e">
        <f t="shared" ca="1" si="237"/>
        <v>#N/A</v>
      </c>
      <c r="AG571" s="306">
        <f t="shared" ca="1" si="259"/>
        <v>1.9381382725356273</v>
      </c>
      <c r="AH571" s="304">
        <f t="shared" ca="1" si="260"/>
        <v>-7.8313284570640951</v>
      </c>
    </row>
    <row r="572" spans="1:34" x14ac:dyDescent="0.2">
      <c r="A572" s="347">
        <f t="shared" ca="1" si="238"/>
        <v>1E-4</v>
      </c>
      <c r="B572" s="304">
        <f t="shared" ca="1" si="239"/>
        <v>34.504300000000363</v>
      </c>
      <c r="D572" s="306">
        <f t="shared" ca="1" si="240"/>
        <v>-0.71116615411057937</v>
      </c>
      <c r="E572" s="307">
        <f t="shared" ca="1" si="241"/>
        <v>-2.0109942894809603</v>
      </c>
      <c r="F572" s="304">
        <f t="shared" ca="1" si="242"/>
        <v>2.1330389895821091</v>
      </c>
      <c r="G572" s="306">
        <f t="shared" ca="1" si="243"/>
        <v>10.933772539534893</v>
      </c>
      <c r="H572" s="307">
        <f t="shared" ca="1" si="244"/>
        <v>-119.90622955614815</v>
      </c>
      <c r="I572" s="304">
        <f t="shared" ca="1" si="245"/>
        <v>120.40370122350053</v>
      </c>
      <c r="J572" s="306">
        <f t="shared" ca="1" si="246"/>
        <v>770.52896740167785</v>
      </c>
      <c r="K572" s="307">
        <f t="shared" ca="1" si="247"/>
        <v>-9.5785310702198192</v>
      </c>
      <c r="L572" s="304">
        <f t="shared" ca="1" si="232"/>
        <v>770.58850099294841</v>
      </c>
      <c r="M572" s="306">
        <f t="shared" ca="1" si="248"/>
        <v>-1.4798617815458166</v>
      </c>
      <c r="N572" s="304">
        <f t="shared" ca="1" si="249"/>
        <v>-84.789834345286309</v>
      </c>
      <c r="P572" s="310">
        <f t="shared" ca="1" si="250"/>
        <v>23</v>
      </c>
      <c r="Q572" s="304">
        <f t="shared" ca="1" si="251"/>
        <v>0</v>
      </c>
      <c r="R572" s="306">
        <f t="shared" ca="1" si="252"/>
        <v>0</v>
      </c>
      <c r="S572" s="307">
        <f t="shared" ca="1" si="253"/>
        <v>7.4499999999999984</v>
      </c>
      <c r="T572" s="304">
        <f t="shared" ca="1" si="233"/>
        <v>73.084499999999991</v>
      </c>
      <c r="U572" s="311">
        <f t="shared" ca="1" si="234"/>
        <v>0</v>
      </c>
      <c r="V572" s="306">
        <f t="shared" ca="1" si="235"/>
        <v>1.2261739322834446</v>
      </c>
      <c r="W572" s="304">
        <f t="shared" ca="1" si="236"/>
        <v>58.343912580761078</v>
      </c>
      <c r="Y572" s="314" t="str">
        <f t="shared" ca="1" si="254"/>
        <v/>
      </c>
      <c r="Z572" s="315" t="str">
        <f t="shared" ca="1" si="255"/>
        <v/>
      </c>
      <c r="AA572" s="316" t="str">
        <f t="shared" ca="1" si="256"/>
        <v/>
      </c>
      <c r="AC572" s="310" t="e">
        <f t="shared" ca="1" si="257"/>
        <v>#N/A</v>
      </c>
      <c r="AD572" s="323" t="e">
        <f t="shared" ca="1" si="258"/>
        <v>#N/A</v>
      </c>
      <c r="AE572" s="324" t="e">
        <f t="shared" ca="1" si="237"/>
        <v>#N/A</v>
      </c>
      <c r="AG572" s="306">
        <f t="shared" ca="1" si="259"/>
        <v>1.9381043291181603</v>
      </c>
      <c r="AH572" s="304">
        <f t="shared" ca="1" si="260"/>
        <v>-7.8313630596123582</v>
      </c>
    </row>
    <row r="573" spans="1:34" x14ac:dyDescent="0.2">
      <c r="A573" s="347">
        <f t="shared" ca="1" si="238"/>
        <v>1E-4</v>
      </c>
      <c r="B573" s="304">
        <f t="shared" ca="1" si="239"/>
        <v>34.504400000000366</v>
      </c>
      <c r="D573" s="306">
        <f t="shared" ca="1" si="240"/>
        <v>-0.71116352596450805</v>
      </c>
      <c r="E573" s="307">
        <f t="shared" ca="1" si="241"/>
        <v>-2.0109593040347358</v>
      </c>
      <c r="F573" s="304">
        <f t="shared" ca="1" si="242"/>
        <v>2.1330051296577186</v>
      </c>
      <c r="G573" s="306">
        <f t="shared" ca="1" si="243"/>
        <v>10.933701423182296</v>
      </c>
      <c r="H573" s="307">
        <f t="shared" ca="1" si="244"/>
        <v>-119.90643065207855</v>
      </c>
      <c r="I573" s="304">
        <f t="shared" ca="1" si="245"/>
        <v>120.40389503057209</v>
      </c>
      <c r="J573" s="306">
        <f t="shared" ca="1" si="246"/>
        <v>770.52896740167785</v>
      </c>
      <c r="K573" s="307">
        <f t="shared" ca="1" si="247"/>
        <v>-9.5905217032302303</v>
      </c>
      <c r="L573" s="304">
        <f t="shared" ca="1" si="232"/>
        <v>770.58865013159652</v>
      </c>
      <c r="M573" s="306">
        <f t="shared" ca="1" si="248"/>
        <v>-1.4798625214213539</v>
      </c>
      <c r="N573" s="304">
        <f t="shared" ca="1" si="249"/>
        <v>-84.78987673703196</v>
      </c>
      <c r="P573" s="310">
        <f t="shared" ca="1" si="250"/>
        <v>23</v>
      </c>
      <c r="Q573" s="304">
        <f t="shared" ca="1" si="251"/>
        <v>0</v>
      </c>
      <c r="R573" s="306">
        <f t="shared" ca="1" si="252"/>
        <v>0</v>
      </c>
      <c r="S573" s="307">
        <f t="shared" ca="1" si="253"/>
        <v>7.4499999999999984</v>
      </c>
      <c r="T573" s="304">
        <f t="shared" ca="1" si="233"/>
        <v>73.084499999999991</v>
      </c>
      <c r="U573" s="311">
        <f t="shared" ca="1" si="234"/>
        <v>0</v>
      </c>
      <c r="V573" s="306">
        <f t="shared" ca="1" si="235"/>
        <v>1.2261754025448266</v>
      </c>
      <c r="W573" s="304">
        <f t="shared" ca="1" si="236"/>
        <v>58.34417036507454</v>
      </c>
      <c r="Y573" s="314" t="str">
        <f t="shared" ca="1" si="254"/>
        <v/>
      </c>
      <c r="Z573" s="315" t="str">
        <f t="shared" ca="1" si="255"/>
        <v/>
      </c>
      <c r="AA573" s="316" t="str">
        <f t="shared" ca="1" si="256"/>
        <v/>
      </c>
      <c r="AC573" s="310" t="e">
        <f t="shared" ca="1" si="257"/>
        <v>#N/A</v>
      </c>
      <c r="AD573" s="323" t="e">
        <f t="shared" ca="1" si="258"/>
        <v>#N/A</v>
      </c>
      <c r="AE573" s="324" t="e">
        <f t="shared" ca="1" si="237"/>
        <v>#N/A</v>
      </c>
      <c r="AG573" s="306">
        <f t="shared" ca="1" si="259"/>
        <v>1.9380703860024342</v>
      </c>
      <c r="AH573" s="304">
        <f t="shared" ca="1" si="260"/>
        <v>-7.8313976618471264</v>
      </c>
    </row>
    <row r="574" spans="1:34" x14ac:dyDescent="0.2">
      <c r="A574" s="347">
        <f t="shared" ca="1" si="238"/>
        <v>1E-4</v>
      </c>
      <c r="B574" s="304">
        <f t="shared" ca="1" si="239"/>
        <v>34.50450000000037</v>
      </c>
      <c r="D574" s="306">
        <f t="shared" ca="1" si="240"/>
        <v>-0.7111608977946976</v>
      </c>
      <c r="E574" s="307">
        <f t="shared" ca="1" si="241"/>
        <v>-2.0109243189054506</v>
      </c>
      <c r="F574" s="304">
        <f t="shared" ca="1" si="242"/>
        <v>2.1329712700637837</v>
      </c>
      <c r="G574" s="306">
        <f t="shared" ca="1" si="243"/>
        <v>10.933630307092516</v>
      </c>
      <c r="H574" s="307">
        <f t="shared" ca="1" si="244"/>
        <v>-119.90663174451045</v>
      </c>
      <c r="I574" s="304">
        <f t="shared" ca="1" si="245"/>
        <v>120.40408883424936</v>
      </c>
      <c r="J574" s="306">
        <f t="shared" ca="1" si="246"/>
        <v>770.52896740167785</v>
      </c>
      <c r="K574" s="307">
        <f t="shared" ca="1" si="247"/>
        <v>-9.6025123563500596</v>
      </c>
      <c r="L574" s="304">
        <f t="shared" ca="1" si="232"/>
        <v>770.58879945704496</v>
      </c>
      <c r="M574" s="306">
        <f t="shared" ca="1" si="248"/>
        <v>-1.4798632612896969</v>
      </c>
      <c r="N574" s="304">
        <f t="shared" ca="1" si="249"/>
        <v>-84.789919128365412</v>
      </c>
      <c r="P574" s="310">
        <f t="shared" ca="1" si="250"/>
        <v>23</v>
      </c>
      <c r="Q574" s="304">
        <f t="shared" ca="1" si="251"/>
        <v>0</v>
      </c>
      <c r="R574" s="306">
        <f t="shared" ca="1" si="252"/>
        <v>0</v>
      </c>
      <c r="S574" s="307">
        <f t="shared" ca="1" si="253"/>
        <v>7.4499999999999984</v>
      </c>
      <c r="T574" s="304">
        <f t="shared" ca="1" si="233"/>
        <v>73.084499999999991</v>
      </c>
      <c r="U574" s="311">
        <f t="shared" ca="1" si="234"/>
        <v>0</v>
      </c>
      <c r="V574" s="306">
        <f t="shared" ca="1" si="235"/>
        <v>1.2261768728104381</v>
      </c>
      <c r="W574" s="304">
        <f t="shared" ca="1" si="236"/>
        <v>58.344428147052504</v>
      </c>
      <c r="Y574" s="314" t="str">
        <f t="shared" ca="1" si="254"/>
        <v/>
      </c>
      <c r="Z574" s="315" t="str">
        <f t="shared" ca="1" si="255"/>
        <v/>
      </c>
      <c r="AA574" s="316" t="str">
        <f t="shared" ca="1" si="256"/>
        <v/>
      </c>
      <c r="AC574" s="310" t="e">
        <f t="shared" ca="1" si="257"/>
        <v>#N/A</v>
      </c>
      <c r="AD574" s="323" t="e">
        <f t="shared" ca="1" si="258"/>
        <v>#N/A</v>
      </c>
      <c r="AE574" s="324" t="e">
        <f t="shared" ca="1" si="237"/>
        <v>#N/A</v>
      </c>
      <c r="AG574" s="306">
        <f t="shared" ca="1" si="259"/>
        <v>1.9380364431884489</v>
      </c>
      <c r="AH574" s="304">
        <f t="shared" ca="1" si="260"/>
        <v>-7.831432263768396</v>
      </c>
    </row>
    <row r="575" spans="1:34" x14ac:dyDescent="0.2">
      <c r="A575" s="347">
        <f t="shared" ca="1" si="238"/>
        <v>1E-4</v>
      </c>
      <c r="B575" s="304">
        <f t="shared" ca="1" si="239"/>
        <v>34.504600000000373</v>
      </c>
      <c r="D575" s="306">
        <f t="shared" ca="1" si="240"/>
        <v>-0.71115826960114881</v>
      </c>
      <c r="E575" s="307">
        <f t="shared" ca="1" si="241"/>
        <v>-2.0108893340930942</v>
      </c>
      <c r="F575" s="304">
        <f t="shared" ca="1" si="242"/>
        <v>2.1329374108002952</v>
      </c>
      <c r="G575" s="306">
        <f t="shared" ca="1" si="243"/>
        <v>10.933559191265555</v>
      </c>
      <c r="H575" s="307">
        <f t="shared" ca="1" si="244"/>
        <v>-119.90683283344386</v>
      </c>
      <c r="I575" s="304">
        <f t="shared" ca="1" si="245"/>
        <v>120.40428263453239</v>
      </c>
      <c r="J575" s="306">
        <f t="shared" ca="1" si="246"/>
        <v>770.52896740167785</v>
      </c>
      <c r="K575" s="307">
        <f t="shared" ca="1" si="247"/>
        <v>-9.6145030295789571</v>
      </c>
      <c r="L575" s="304">
        <f t="shared" ca="1" si="232"/>
        <v>770.58894896929439</v>
      </c>
      <c r="M575" s="306">
        <f t="shared" ca="1" si="248"/>
        <v>-1.4798640011508459</v>
      </c>
      <c r="N575" s="304">
        <f t="shared" ca="1" si="249"/>
        <v>-84.789961519286678</v>
      </c>
      <c r="P575" s="310">
        <f t="shared" ca="1" si="250"/>
        <v>23</v>
      </c>
      <c r="Q575" s="304">
        <f t="shared" ca="1" si="251"/>
        <v>0</v>
      </c>
      <c r="R575" s="306">
        <f t="shared" ca="1" si="252"/>
        <v>0</v>
      </c>
      <c r="S575" s="307">
        <f t="shared" ca="1" si="253"/>
        <v>7.4499999999999984</v>
      </c>
      <c r="T575" s="304">
        <f t="shared" ca="1" si="233"/>
        <v>73.084499999999991</v>
      </c>
      <c r="U575" s="311">
        <f t="shared" ca="1" si="234"/>
        <v>0</v>
      </c>
      <c r="V575" s="306">
        <f t="shared" ca="1" si="235"/>
        <v>1.2261783430802791</v>
      </c>
      <c r="W575" s="304">
        <f t="shared" ca="1" si="236"/>
        <v>58.344685926694943</v>
      </c>
      <c r="Y575" s="314" t="str">
        <f t="shared" ca="1" si="254"/>
        <v/>
      </c>
      <c r="Z575" s="315" t="str">
        <f t="shared" ca="1" si="255"/>
        <v/>
      </c>
      <c r="AA575" s="316" t="str">
        <f t="shared" ca="1" si="256"/>
        <v/>
      </c>
      <c r="AC575" s="310" t="e">
        <f t="shared" ca="1" si="257"/>
        <v>#N/A</v>
      </c>
      <c r="AD575" s="323" t="e">
        <f t="shared" ca="1" si="258"/>
        <v>#N/A</v>
      </c>
      <c r="AE575" s="324" t="e">
        <f t="shared" ca="1" si="237"/>
        <v>#N/A</v>
      </c>
      <c r="AG575" s="306">
        <f t="shared" ca="1" si="259"/>
        <v>1.9380025006761965</v>
      </c>
      <c r="AH575" s="304">
        <f t="shared" ca="1" si="260"/>
        <v>-7.8314668653761768</v>
      </c>
    </row>
    <row r="576" spans="1:34" x14ac:dyDescent="0.2">
      <c r="A576" s="347">
        <f t="shared" ca="1" si="238"/>
        <v>1E-4</v>
      </c>
      <c r="B576" s="304">
        <f t="shared" ca="1" si="239"/>
        <v>34.504700000000376</v>
      </c>
      <c r="D576" s="306">
        <f t="shared" ca="1" si="240"/>
        <v>-0.71115564138386067</v>
      </c>
      <c r="E576" s="307">
        <f t="shared" ca="1" si="241"/>
        <v>-2.0108543495976736</v>
      </c>
      <c r="F576" s="304">
        <f t="shared" ca="1" si="242"/>
        <v>2.1329035518672597</v>
      </c>
      <c r="G576" s="306">
        <f t="shared" ca="1" si="243"/>
        <v>10.933488075701417</v>
      </c>
      <c r="H576" s="307">
        <f t="shared" ca="1" si="244"/>
        <v>-119.90703391887882</v>
      </c>
      <c r="I576" s="304">
        <f t="shared" ca="1" si="245"/>
        <v>120.4044764314212</v>
      </c>
      <c r="J576" s="306">
        <f t="shared" ca="1" si="246"/>
        <v>770.52896740167785</v>
      </c>
      <c r="K576" s="307">
        <f t="shared" ca="1" si="247"/>
        <v>-9.6264937229165728</v>
      </c>
      <c r="L576" s="304">
        <f t="shared" ca="1" si="232"/>
        <v>770.58909866834563</v>
      </c>
      <c r="M576" s="306">
        <f t="shared" ca="1" si="248"/>
        <v>-1.4798647410048009</v>
      </c>
      <c r="N576" s="304">
        <f t="shared" ca="1" si="249"/>
        <v>-84.790003909795757</v>
      </c>
      <c r="P576" s="310">
        <f t="shared" ca="1" si="250"/>
        <v>23</v>
      </c>
      <c r="Q576" s="304">
        <f t="shared" ca="1" si="251"/>
        <v>0</v>
      </c>
      <c r="R576" s="306">
        <f t="shared" ca="1" si="252"/>
        <v>0</v>
      </c>
      <c r="S576" s="307">
        <f t="shared" ca="1" si="253"/>
        <v>7.4499999999999984</v>
      </c>
      <c r="T576" s="304">
        <f t="shared" ca="1" si="233"/>
        <v>73.084499999999991</v>
      </c>
      <c r="U576" s="311">
        <f t="shared" ca="1" si="234"/>
        <v>0</v>
      </c>
      <c r="V576" s="306">
        <f t="shared" ca="1" si="235"/>
        <v>1.22617981335435</v>
      </c>
      <c r="W576" s="304">
        <f t="shared" ca="1" si="236"/>
        <v>58.344943704001864</v>
      </c>
      <c r="Y576" s="314" t="str">
        <f t="shared" ca="1" si="254"/>
        <v/>
      </c>
      <c r="Z576" s="315" t="str">
        <f t="shared" ca="1" si="255"/>
        <v/>
      </c>
      <c r="AA576" s="316" t="str">
        <f t="shared" ca="1" si="256"/>
        <v/>
      </c>
      <c r="AC576" s="310" t="e">
        <f t="shared" ca="1" si="257"/>
        <v>#N/A</v>
      </c>
      <c r="AD576" s="323" t="e">
        <f t="shared" ca="1" si="258"/>
        <v>#N/A</v>
      </c>
      <c r="AE576" s="324" t="e">
        <f t="shared" ca="1" si="237"/>
        <v>#N/A</v>
      </c>
      <c r="AG576" s="306">
        <f t="shared" ca="1" si="259"/>
        <v>1.9379685584656787</v>
      </c>
      <c r="AH576" s="304">
        <f t="shared" ca="1" si="260"/>
        <v>-7.8315014666704634</v>
      </c>
    </row>
    <row r="577" spans="1:34" x14ac:dyDescent="0.2">
      <c r="A577" s="347">
        <f t="shared" ca="1" si="238"/>
        <v>1E-4</v>
      </c>
      <c r="B577" s="304">
        <f t="shared" ca="1" si="239"/>
        <v>34.50480000000038</v>
      </c>
      <c r="D577" s="306">
        <f t="shared" ca="1" si="240"/>
        <v>-0.71115301314283497</v>
      </c>
      <c r="E577" s="307">
        <f t="shared" ca="1" si="241"/>
        <v>-2.0108193654191853</v>
      </c>
      <c r="F577" s="304">
        <f t="shared" ca="1" si="242"/>
        <v>2.1328696932646749</v>
      </c>
      <c r="G577" s="306">
        <f t="shared" ca="1" si="243"/>
        <v>10.933416960400104</v>
      </c>
      <c r="H577" s="307">
        <f t="shared" ca="1" si="244"/>
        <v>-119.90723500081536</v>
      </c>
      <c r="I577" s="304">
        <f t="shared" ca="1" si="245"/>
        <v>120.40467022491579</v>
      </c>
      <c r="J577" s="306">
        <f t="shared" ca="1" si="246"/>
        <v>770.52896740167785</v>
      </c>
      <c r="K577" s="307">
        <f t="shared" ca="1" si="247"/>
        <v>-9.6384844363625568</v>
      </c>
      <c r="L577" s="304">
        <f t="shared" ca="1" si="232"/>
        <v>770.58924855419957</v>
      </c>
      <c r="M577" s="306">
        <f t="shared" ca="1" si="248"/>
        <v>-1.4798654808515621</v>
      </c>
      <c r="N577" s="304">
        <f t="shared" ca="1" si="249"/>
        <v>-84.790046299892651</v>
      </c>
      <c r="P577" s="310">
        <f t="shared" ca="1" si="250"/>
        <v>23</v>
      </c>
      <c r="Q577" s="304">
        <f t="shared" ca="1" si="251"/>
        <v>0</v>
      </c>
      <c r="R577" s="306">
        <f t="shared" ca="1" si="252"/>
        <v>0</v>
      </c>
      <c r="S577" s="307">
        <f t="shared" ca="1" si="253"/>
        <v>7.4499999999999984</v>
      </c>
      <c r="T577" s="304">
        <f t="shared" ca="1" si="233"/>
        <v>73.084499999999991</v>
      </c>
      <c r="U577" s="311">
        <f t="shared" ca="1" si="234"/>
        <v>0</v>
      </c>
      <c r="V577" s="306">
        <f t="shared" ca="1" si="235"/>
        <v>1.22618128363265</v>
      </c>
      <c r="W577" s="304">
        <f t="shared" ca="1" si="236"/>
        <v>58.345201478973223</v>
      </c>
      <c r="Y577" s="314" t="str">
        <f t="shared" ca="1" si="254"/>
        <v/>
      </c>
      <c r="Z577" s="315" t="str">
        <f t="shared" ca="1" si="255"/>
        <v/>
      </c>
      <c r="AA577" s="316" t="str">
        <f t="shared" ca="1" si="256"/>
        <v/>
      </c>
      <c r="AC577" s="310" t="e">
        <f t="shared" ca="1" si="257"/>
        <v>#N/A</v>
      </c>
      <c r="AD577" s="323" t="e">
        <f t="shared" ca="1" si="258"/>
        <v>#N/A</v>
      </c>
      <c r="AE577" s="324" t="e">
        <f t="shared" ca="1" si="237"/>
        <v>#N/A</v>
      </c>
      <c r="AG577" s="306">
        <f t="shared" ca="1" si="259"/>
        <v>1.9379346165569</v>
      </c>
      <c r="AH577" s="304">
        <f t="shared" ca="1" si="260"/>
        <v>-7.8315360676512586</v>
      </c>
    </row>
    <row r="578" spans="1:34" x14ac:dyDescent="0.2">
      <c r="A578" s="347">
        <f t="shared" ca="1" si="238"/>
        <v>1E-4</v>
      </c>
      <c r="B578" s="304">
        <f t="shared" ca="1" si="239"/>
        <v>34.504900000000383</v>
      </c>
      <c r="D578" s="306">
        <f t="shared" ca="1" si="240"/>
        <v>-0.7111503848780707</v>
      </c>
      <c r="E578" s="307">
        <f t="shared" ca="1" si="241"/>
        <v>-2.0107843815576354</v>
      </c>
      <c r="F578" s="304">
        <f t="shared" ca="1" si="242"/>
        <v>2.1328358349925458</v>
      </c>
      <c r="G578" s="306">
        <f t="shared" ca="1" si="243"/>
        <v>10.933345845361616</v>
      </c>
      <c r="H578" s="307">
        <f t="shared" ca="1" si="244"/>
        <v>-119.90743607925351</v>
      </c>
      <c r="I578" s="304">
        <f t="shared" ca="1" si="245"/>
        <v>120.40486401501624</v>
      </c>
      <c r="J578" s="306">
        <f t="shared" ca="1" si="246"/>
        <v>770.52896740167785</v>
      </c>
      <c r="K578" s="307">
        <f t="shared" ca="1" si="247"/>
        <v>-9.650475169916561</v>
      </c>
      <c r="L578" s="304">
        <f t="shared" ca="1" si="232"/>
        <v>770.58939862685702</v>
      </c>
      <c r="M578" s="306">
        <f t="shared" ca="1" si="248"/>
        <v>-1.4798662206911295</v>
      </c>
      <c r="N578" s="304">
        <f t="shared" ca="1" si="249"/>
        <v>-84.790088689577388</v>
      </c>
      <c r="P578" s="310">
        <f t="shared" ca="1" si="250"/>
        <v>23</v>
      </c>
      <c r="Q578" s="304">
        <f t="shared" ca="1" si="251"/>
        <v>0</v>
      </c>
      <c r="R578" s="306">
        <f t="shared" ca="1" si="252"/>
        <v>0</v>
      </c>
      <c r="S578" s="307">
        <f t="shared" ca="1" si="253"/>
        <v>7.4499999999999984</v>
      </c>
      <c r="T578" s="304">
        <f t="shared" ca="1" si="233"/>
        <v>73.084499999999991</v>
      </c>
      <c r="U578" s="311">
        <f t="shared" ca="1" si="234"/>
        <v>0</v>
      </c>
      <c r="V578" s="306">
        <f t="shared" ca="1" si="235"/>
        <v>1.2261827539151795</v>
      </c>
      <c r="W578" s="304">
        <f t="shared" ca="1" si="236"/>
        <v>58.345459251609086</v>
      </c>
      <c r="Y578" s="314" t="str">
        <f t="shared" ca="1" si="254"/>
        <v/>
      </c>
      <c r="Z578" s="315" t="str">
        <f t="shared" ca="1" si="255"/>
        <v/>
      </c>
      <c r="AA578" s="316" t="str">
        <f t="shared" ca="1" si="256"/>
        <v/>
      </c>
      <c r="AC578" s="310" t="e">
        <f t="shared" ca="1" si="257"/>
        <v>#N/A</v>
      </c>
      <c r="AD578" s="323" t="e">
        <f t="shared" ca="1" si="258"/>
        <v>#N/A</v>
      </c>
      <c r="AE578" s="324" t="e">
        <f t="shared" ca="1" si="237"/>
        <v>#N/A</v>
      </c>
      <c r="AG578" s="306">
        <f t="shared" ca="1" si="259"/>
        <v>1.9379006749498604</v>
      </c>
      <c r="AH578" s="304">
        <f t="shared" ca="1" si="260"/>
        <v>-7.8315706683185553</v>
      </c>
    </row>
    <row r="579" spans="1:34" x14ac:dyDescent="0.2">
      <c r="A579" s="347">
        <f t="shared" ca="1" si="238"/>
        <v>1E-4</v>
      </c>
      <c r="B579" s="304">
        <f t="shared" ca="1" si="239"/>
        <v>34.505000000000386</v>
      </c>
      <c r="D579" s="306">
        <f t="shared" ca="1" si="240"/>
        <v>-0.71114775658957019</v>
      </c>
      <c r="E579" s="307">
        <f t="shared" ca="1" si="241"/>
        <v>-2.0107493980130169</v>
      </c>
      <c r="F579" s="304">
        <f t="shared" ca="1" si="242"/>
        <v>2.1328019770508675</v>
      </c>
      <c r="G579" s="306">
        <f t="shared" ca="1" si="243"/>
        <v>10.933274730585957</v>
      </c>
      <c r="H579" s="307">
        <f t="shared" ca="1" si="244"/>
        <v>-119.90763715419331</v>
      </c>
      <c r="I579" s="304">
        <f t="shared" ca="1" si="245"/>
        <v>120.40505780172255</v>
      </c>
      <c r="J579" s="306">
        <f t="shared" ca="1" si="246"/>
        <v>770.52896740167785</v>
      </c>
      <c r="K579" s="307">
        <f t="shared" ca="1" si="247"/>
        <v>-9.6624659235782335</v>
      </c>
      <c r="L579" s="304">
        <f t="shared" ca="1" si="232"/>
        <v>770.58954888631877</v>
      </c>
      <c r="M579" s="306">
        <f t="shared" ca="1" si="248"/>
        <v>-1.4798669605235031</v>
      </c>
      <c r="N579" s="304">
        <f t="shared" ca="1" si="249"/>
        <v>-84.790131078849939</v>
      </c>
      <c r="P579" s="310">
        <f t="shared" ca="1" si="250"/>
        <v>23</v>
      </c>
      <c r="Q579" s="304">
        <f t="shared" ca="1" si="251"/>
        <v>0</v>
      </c>
      <c r="R579" s="306">
        <f t="shared" ca="1" si="252"/>
        <v>0</v>
      </c>
      <c r="S579" s="307">
        <f t="shared" ca="1" si="253"/>
        <v>7.4499999999999984</v>
      </c>
      <c r="T579" s="304">
        <f t="shared" ca="1" si="233"/>
        <v>73.084499999999991</v>
      </c>
      <c r="U579" s="311">
        <f t="shared" ca="1" si="234"/>
        <v>0</v>
      </c>
      <c r="V579" s="306">
        <f t="shared" ca="1" si="235"/>
        <v>1.2261842242019383</v>
      </c>
      <c r="W579" s="304">
        <f t="shared" ca="1" si="236"/>
        <v>58.345717021909422</v>
      </c>
      <c r="Y579" s="314" t="str">
        <f t="shared" ca="1" si="254"/>
        <v/>
      </c>
      <c r="Z579" s="315" t="str">
        <f t="shared" ca="1" si="255"/>
        <v/>
      </c>
      <c r="AA579" s="316" t="str">
        <f t="shared" ca="1" si="256"/>
        <v/>
      </c>
      <c r="AC579" s="310" t="e">
        <f t="shared" ca="1" si="257"/>
        <v>#N/A</v>
      </c>
      <c r="AD579" s="323" t="e">
        <f t="shared" ca="1" si="258"/>
        <v>#N/A</v>
      </c>
      <c r="AE579" s="324" t="e">
        <f t="shared" ca="1" si="237"/>
        <v>#N/A</v>
      </c>
      <c r="AG579" s="306">
        <f t="shared" ca="1" si="259"/>
        <v>1.9378667336445581</v>
      </c>
      <c r="AH579" s="304">
        <f t="shared" ca="1" si="260"/>
        <v>-7.8316052686723623</v>
      </c>
    </row>
    <row r="580" spans="1:34" x14ac:dyDescent="0.2">
      <c r="A580" s="347">
        <f t="shared" ca="1" si="238"/>
        <v>1E-4</v>
      </c>
      <c r="B580" s="304">
        <f t="shared" ca="1" si="239"/>
        <v>34.50510000000039</v>
      </c>
      <c r="D580" s="306">
        <f t="shared" ca="1" si="240"/>
        <v>-0.71114512827733456</v>
      </c>
      <c r="E580" s="307">
        <f t="shared" ca="1" si="241"/>
        <v>-2.0107144147853315</v>
      </c>
      <c r="F580" s="304">
        <f t="shared" ca="1" si="242"/>
        <v>2.1327681194396417</v>
      </c>
      <c r="G580" s="306">
        <f t="shared" ca="1" si="243"/>
        <v>10.933203616073129</v>
      </c>
      <c r="H580" s="307">
        <f t="shared" ca="1" si="244"/>
        <v>-119.90783822563479</v>
      </c>
      <c r="I580" s="304">
        <f t="shared" ca="1" si="245"/>
        <v>120.40525158503478</v>
      </c>
      <c r="J580" s="306">
        <f t="shared" ca="1" si="246"/>
        <v>770.52896740167785</v>
      </c>
      <c r="K580" s="307">
        <f t="shared" ca="1" si="247"/>
        <v>-9.6744566973472246</v>
      </c>
      <c r="L580" s="304">
        <f t="shared" ref="L580:L643" ca="1" si="261">SQRT(pos_x^2+pos_z^2)</f>
        <v>770.58969933258572</v>
      </c>
      <c r="M580" s="306">
        <f t="shared" ca="1" si="248"/>
        <v>-1.4798677003486833</v>
      </c>
      <c r="N580" s="304">
        <f t="shared" ca="1" si="249"/>
        <v>-84.790173467710346</v>
      </c>
      <c r="P580" s="310">
        <f t="shared" ca="1" si="250"/>
        <v>23</v>
      </c>
      <c r="Q580" s="304">
        <f t="shared" ca="1" si="251"/>
        <v>0</v>
      </c>
      <c r="R580" s="306">
        <f t="shared" ca="1" si="252"/>
        <v>0</v>
      </c>
      <c r="S580" s="307">
        <f t="shared" ca="1" si="253"/>
        <v>7.4499999999999984</v>
      </c>
      <c r="T580" s="304">
        <f t="shared" ref="T580:T643" ca="1" si="262">m*g</f>
        <v>73.084499999999991</v>
      </c>
      <c r="U580" s="311">
        <f t="shared" ref="U580:U643" ca="1" si="263">IF(pos_xz&lt;L_rampe,Poids*COS(Beta),0)</f>
        <v>0</v>
      </c>
      <c r="V580" s="306">
        <f t="shared" ref="V580:V643" ca="1" si="264">Rho_moyen*(20000-Alt_rampe-pos_z)/(20000+Alt_rampe+pos_z)</f>
        <v>1.2261856944929266</v>
      </c>
      <c r="W580" s="304">
        <f t="shared" ref="W580:W643" ca="1" si="265">1/2*Rho*Sref*Cx*vit_xz^2</f>
        <v>58.345974789874262</v>
      </c>
      <c r="Y580" s="314" t="str">
        <f t="shared" ca="1" si="254"/>
        <v/>
      </c>
      <c r="Z580" s="315" t="str">
        <f t="shared" ca="1" si="255"/>
        <v/>
      </c>
      <c r="AA580" s="316" t="str">
        <f t="shared" ca="1" si="256"/>
        <v/>
      </c>
      <c r="AC580" s="310" t="e">
        <f t="shared" ca="1" si="257"/>
        <v>#N/A</v>
      </c>
      <c r="AD580" s="323" t="e">
        <f t="shared" ca="1" si="258"/>
        <v>#N/A</v>
      </c>
      <c r="AE580" s="324" t="e">
        <f t="shared" ref="AE580:AE643" ca="1" si="266">IF(t&lt;T_para, pos_z, NA())</f>
        <v>#N/A</v>
      </c>
      <c r="AG580" s="306">
        <f t="shared" ca="1" si="259"/>
        <v>1.9378327926409895</v>
      </c>
      <c r="AH580" s="304">
        <f t="shared" ca="1" si="260"/>
        <v>-7.831639868712676</v>
      </c>
    </row>
    <row r="581" spans="1:34" x14ac:dyDescent="0.2">
      <c r="A581" s="347">
        <f t="shared" ref="A581:A644" ca="1" si="267">IF(B580+0.01&lt;=T_ini+ROUNDUP(Temps_fin_propu,0), 0.01, IF(K580&gt;0, 0.1, 0.0001))</f>
        <v>1E-4</v>
      </c>
      <c r="B581" s="304">
        <f t="shared" ref="B581:B644" ca="1" si="268">B580+pas</f>
        <v>34.505200000000393</v>
      </c>
      <c r="D581" s="306">
        <f t="shared" ref="D581:D644" ca="1" si="269">IF(AND(L580&lt;L_rampe,Poussee&lt;Poids*SIN(M580)),0,(-W580+Poussee)/m*COS(M580)-U580/m*SIN(M580))</f>
        <v>-0.71114249994136214</v>
      </c>
      <c r="E581" s="307">
        <f t="shared" ref="E581:E644" ca="1" si="270">IF(AND(L580&lt;L_rampe,Poussee&lt;Poids*SIN(M580)),0,(-W580+Poussee)/m*SIN(M580)+U580/m*COS(M580)-Poids/m)</f>
        <v>-2.0106794318745767</v>
      </c>
      <c r="F581" s="304">
        <f t="shared" ref="F581:F644" ca="1" si="271">SQRT(acc_x^2+acc_z^2)</f>
        <v>2.1327342621588654</v>
      </c>
      <c r="G581" s="306">
        <f t="shared" ref="G581:G644" ca="1" si="272">G580+acc_x*pas</f>
        <v>10.933132501823135</v>
      </c>
      <c r="H581" s="307">
        <f t="shared" ref="H581:H644" ca="1" si="273">H580+acc_z*pas</f>
        <v>-119.90803929357797</v>
      </c>
      <c r="I581" s="304">
        <f t="shared" ref="I581:I644" ca="1" si="274">SQRT(vit_x^2+vit_z^2)</f>
        <v>120.40544536495291</v>
      </c>
      <c r="J581" s="306">
        <f t="shared" ref="J581:J644" ca="1" si="275">J580+0.5*(vit_x+G580)*pas*(K580&gt;=0)</f>
        <v>770.52896740167785</v>
      </c>
      <c r="K581" s="307">
        <f t="shared" ref="K581:K644" ca="1" si="276">K580+0.5*(vit_z+H580)*pas</f>
        <v>-9.6864474912231859</v>
      </c>
      <c r="L581" s="304">
        <f t="shared" ca="1" si="261"/>
        <v>770.58984996565857</v>
      </c>
      <c r="M581" s="306">
        <f t="shared" ref="M581:M644" ca="1" si="277">IF(AND(L580&gt;L_rampe,G581&gt;0),ATAN2(G581,H581),$M$4)</f>
        <v>-1.47986844016667</v>
      </c>
      <c r="N581" s="304">
        <f t="shared" ref="N581:N644" ca="1" si="278">DEGREES(Beta)</f>
        <v>-84.790215856158582</v>
      </c>
      <c r="P581" s="310">
        <f t="shared" ref="P581:P644" ca="1" si="279">MATCH(t-pas/2-T_ini,CdP_t)</f>
        <v>23</v>
      </c>
      <c r="Q581" s="304">
        <f t="shared" ref="Q581:Q644" ca="1" si="280">(INDEX(CdP,2,i_P+1)-INDEX(CdP,2,i_P+0))/(INDEX(CdP,1,i_P+1)-INDEX(CdP,1,i_P+0))*(t-pas/2-T_ini-INDEX(CdP,1,i_P+0))+INDEX(CdP,2,i_P+0)</f>
        <v>0</v>
      </c>
      <c r="R581" s="306">
        <f t="shared" ref="R581:R644" ca="1" si="281">Poussee/(g*ISP)</f>
        <v>0</v>
      </c>
      <c r="S581" s="307">
        <f t="shared" ref="S581:S644" ca="1" si="282">S580-Débit*pas</f>
        <v>7.4499999999999984</v>
      </c>
      <c r="T581" s="304">
        <f t="shared" ca="1" si="262"/>
        <v>73.084499999999991</v>
      </c>
      <c r="U581" s="311">
        <f t="shared" ca="1" si="263"/>
        <v>0</v>
      </c>
      <c r="V581" s="306">
        <f t="shared" ca="1" si="264"/>
        <v>1.2261871647881439</v>
      </c>
      <c r="W581" s="304">
        <f t="shared" ca="1" si="265"/>
        <v>58.346232555503583</v>
      </c>
      <c r="Y581" s="314" t="str">
        <f t="shared" ref="Y581:Y644" ca="1" si="283">IF(AND(pos_z&lt;=0,K580&gt;0),"Impact balistique","") &amp; IF(AND(H582&lt;0,vit_z&gt;=0),"Apogée","") &amp; IF(AND(Poussee=0,Q580&gt;0),"Fin de propulsion","") &amp; IF(AND(L582&gt;L_rampe,pos_xz&lt;=L_rampe),"Sortie de rampe","")</f>
        <v/>
      </c>
      <c r="Z581" s="315" t="str">
        <f t="shared" ref="Z581:Z644" ca="1" si="284">IF(ABS(t-T_para)&lt;pas/2,"Para","")</f>
        <v/>
      </c>
      <c r="AA581" s="316" t="str">
        <f t="shared" ref="AA581:AA644" ca="1" si="285">IF(ABS(t-T_satellite)&lt;pas/2,"Satellite","")</f>
        <v/>
      </c>
      <c r="AC581" s="310" t="e">
        <f t="shared" ref="AC581:AC644" ca="1" si="286">IF(ABS(t-ROUND(t,0))&lt;0.001,t,NA())</f>
        <v>#N/A</v>
      </c>
      <c r="AD581" s="323" t="e">
        <f t="shared" ref="AD581:AD644" ca="1" si="287">IF(ABS(t-ROUND(t,0))&lt;0.001,pos_x,NA())</f>
        <v>#N/A</v>
      </c>
      <c r="AE581" s="324" t="e">
        <f t="shared" ca="1" si="266"/>
        <v>#N/A</v>
      </c>
      <c r="AG581" s="306">
        <f t="shared" ref="AG581:AG644" ca="1" si="288">IF(AND(L580&lt;L_rampe,Poussee&lt;Poids*SIN(M580)),0,(-W580+Poussee)/m-Poids*SIN(M580)/m)</f>
        <v>1.93779885193916</v>
      </c>
      <c r="AH581" s="304">
        <f t="shared" ref="AH581:AH644" ca="1" si="289">IF(AND(L580&lt;L_rampe,Poussee&lt;Poids*SIN(M580)), g*SIN(M580), (-W580+Poussee)/m)</f>
        <v>-7.8316744684395001</v>
      </c>
    </row>
    <row r="582" spans="1:34" x14ac:dyDescent="0.2">
      <c r="A582" s="347">
        <f t="shared" ca="1" si="267"/>
        <v>1E-4</v>
      </c>
      <c r="B582" s="304">
        <f t="shared" ca="1" si="268"/>
        <v>34.505300000000396</v>
      </c>
      <c r="D582" s="306">
        <f t="shared" ca="1" si="269"/>
        <v>-0.71113987158165581</v>
      </c>
      <c r="E582" s="307">
        <f t="shared" ca="1" si="270"/>
        <v>-2.0106444492807558</v>
      </c>
      <c r="F582" s="304">
        <f t="shared" ca="1" si="271"/>
        <v>2.1327004052085439</v>
      </c>
      <c r="G582" s="306">
        <f t="shared" ca="1" si="272"/>
        <v>10.933061387835977</v>
      </c>
      <c r="H582" s="307">
        <f t="shared" ca="1" si="273"/>
        <v>-119.90824035802289</v>
      </c>
      <c r="I582" s="304">
        <f t="shared" ca="1" si="274"/>
        <v>120.40563914147701</v>
      </c>
      <c r="J582" s="306">
        <f t="shared" ca="1" si="275"/>
        <v>770.52896740167785</v>
      </c>
      <c r="K582" s="307">
        <f t="shared" ca="1" si="276"/>
        <v>-9.6984383052057659</v>
      </c>
      <c r="L582" s="304">
        <f t="shared" ca="1" si="261"/>
        <v>770.59000078553822</v>
      </c>
      <c r="M582" s="306">
        <f t="shared" ca="1" si="277"/>
        <v>-1.479869179977463</v>
      </c>
      <c r="N582" s="304">
        <f t="shared" ca="1" si="278"/>
        <v>-84.790258244194661</v>
      </c>
      <c r="P582" s="310">
        <f t="shared" ca="1" si="279"/>
        <v>23</v>
      </c>
      <c r="Q582" s="304">
        <f t="shared" ca="1" si="280"/>
        <v>0</v>
      </c>
      <c r="R582" s="306">
        <f t="shared" ca="1" si="281"/>
        <v>0</v>
      </c>
      <c r="S582" s="307">
        <f t="shared" ca="1" si="282"/>
        <v>7.4499999999999984</v>
      </c>
      <c r="T582" s="304">
        <f t="shared" ca="1" si="262"/>
        <v>73.084499999999991</v>
      </c>
      <c r="U582" s="311">
        <f t="shared" ca="1" si="263"/>
        <v>0</v>
      </c>
      <c r="V582" s="306">
        <f t="shared" ca="1" si="264"/>
        <v>1.2261886350875908</v>
      </c>
      <c r="W582" s="304">
        <f t="shared" ca="1" si="265"/>
        <v>58.3464903187974</v>
      </c>
      <c r="Y582" s="314" t="str">
        <f t="shared" ca="1" si="283"/>
        <v/>
      </c>
      <c r="Z582" s="315" t="str">
        <f t="shared" ca="1" si="284"/>
        <v/>
      </c>
      <c r="AA582" s="316" t="str">
        <f t="shared" ca="1" si="285"/>
        <v/>
      </c>
      <c r="AC582" s="310" t="e">
        <f t="shared" ca="1" si="286"/>
        <v>#N/A</v>
      </c>
      <c r="AD582" s="323" t="e">
        <f t="shared" ca="1" si="287"/>
        <v>#N/A</v>
      </c>
      <c r="AE582" s="324" t="e">
        <f t="shared" ca="1" si="266"/>
        <v>#N/A</v>
      </c>
      <c r="AG582" s="306">
        <f t="shared" ca="1" si="288"/>
        <v>1.9377649115390634</v>
      </c>
      <c r="AH582" s="304">
        <f t="shared" ca="1" si="289"/>
        <v>-7.8317090678528318</v>
      </c>
    </row>
    <row r="583" spans="1:34" x14ac:dyDescent="0.2">
      <c r="A583" s="347">
        <f t="shared" ca="1" si="267"/>
        <v>1E-4</v>
      </c>
      <c r="B583" s="304">
        <f t="shared" ca="1" si="268"/>
        <v>34.5054000000004</v>
      </c>
      <c r="D583" s="306">
        <f t="shared" ca="1" si="269"/>
        <v>-0.71113724319821714</v>
      </c>
      <c r="E583" s="307">
        <f t="shared" ca="1" si="270"/>
        <v>-2.0106094670038646</v>
      </c>
      <c r="F583" s="304">
        <f t="shared" ca="1" si="271"/>
        <v>2.1326665485886735</v>
      </c>
      <c r="G583" s="306">
        <f t="shared" ca="1" si="272"/>
        <v>10.932990274111658</v>
      </c>
      <c r="H583" s="307">
        <f t="shared" ca="1" si="273"/>
        <v>-119.90844141896959</v>
      </c>
      <c r="I583" s="304">
        <f t="shared" ca="1" si="274"/>
        <v>120.40583291460709</v>
      </c>
      <c r="J583" s="306">
        <f t="shared" ca="1" si="275"/>
        <v>770.52896740167785</v>
      </c>
      <c r="K583" s="307">
        <f t="shared" ca="1" si="276"/>
        <v>-9.7104291392946163</v>
      </c>
      <c r="L583" s="304">
        <f t="shared" ca="1" si="261"/>
        <v>770.59015179222547</v>
      </c>
      <c r="M583" s="306">
        <f t="shared" ca="1" si="277"/>
        <v>-1.4798699197810632</v>
      </c>
      <c r="N583" s="304">
        <f t="shared" ca="1" si="278"/>
        <v>-84.790300631818624</v>
      </c>
      <c r="P583" s="310">
        <f t="shared" ca="1" si="279"/>
        <v>23</v>
      </c>
      <c r="Q583" s="304">
        <f t="shared" ca="1" si="280"/>
        <v>0</v>
      </c>
      <c r="R583" s="306">
        <f t="shared" ca="1" si="281"/>
        <v>0</v>
      </c>
      <c r="S583" s="307">
        <f t="shared" ca="1" si="282"/>
        <v>7.4499999999999984</v>
      </c>
      <c r="T583" s="304">
        <f t="shared" ca="1" si="262"/>
        <v>73.084499999999991</v>
      </c>
      <c r="U583" s="311">
        <f t="shared" ca="1" si="263"/>
        <v>0</v>
      </c>
      <c r="V583" s="306">
        <f t="shared" ca="1" si="264"/>
        <v>1.2261901053912669</v>
      </c>
      <c r="W583" s="304">
        <f t="shared" ca="1" si="265"/>
        <v>58.346748079755706</v>
      </c>
      <c r="Y583" s="314" t="str">
        <f t="shared" ca="1" si="283"/>
        <v/>
      </c>
      <c r="Z583" s="315" t="str">
        <f t="shared" ca="1" si="284"/>
        <v/>
      </c>
      <c r="AA583" s="316" t="str">
        <f t="shared" ca="1" si="285"/>
        <v/>
      </c>
      <c r="AC583" s="310" t="e">
        <f t="shared" ca="1" si="286"/>
        <v>#N/A</v>
      </c>
      <c r="AD583" s="323" t="e">
        <f t="shared" ca="1" si="287"/>
        <v>#N/A</v>
      </c>
      <c r="AE583" s="324" t="e">
        <f t="shared" ca="1" si="266"/>
        <v>#N/A</v>
      </c>
      <c r="AG583" s="306">
        <f t="shared" ca="1" si="288"/>
        <v>1.9377309714407049</v>
      </c>
      <c r="AH583" s="304">
        <f t="shared" ca="1" si="289"/>
        <v>-7.831743666952673</v>
      </c>
    </row>
    <row r="584" spans="1:34" x14ac:dyDescent="0.2">
      <c r="A584" s="347">
        <f t="shared" ca="1" si="267"/>
        <v>1E-4</v>
      </c>
      <c r="B584" s="304">
        <f t="shared" ca="1" si="268"/>
        <v>34.505500000000403</v>
      </c>
      <c r="D584" s="306">
        <f t="shared" ca="1" si="269"/>
        <v>-0.71113461479104245</v>
      </c>
      <c r="E584" s="307">
        <f t="shared" ca="1" si="270"/>
        <v>-2.0105744850439065</v>
      </c>
      <c r="F584" s="304">
        <f t="shared" ca="1" si="271"/>
        <v>2.1326326922992562</v>
      </c>
      <c r="G584" s="306">
        <f t="shared" ca="1" si="272"/>
        <v>10.932919160650179</v>
      </c>
      <c r="H584" s="307">
        <f t="shared" ca="1" si="273"/>
        <v>-119.90864247641809</v>
      </c>
      <c r="I584" s="304">
        <f t="shared" ca="1" si="274"/>
        <v>120.40602668434322</v>
      </c>
      <c r="J584" s="306">
        <f t="shared" ca="1" si="275"/>
        <v>770.52896740167785</v>
      </c>
      <c r="K584" s="307">
        <f t="shared" ca="1" si="276"/>
        <v>-9.7224199934893853</v>
      </c>
      <c r="L584" s="304">
        <f t="shared" ca="1" si="261"/>
        <v>770.59030298572134</v>
      </c>
      <c r="M584" s="306">
        <f t="shared" ca="1" si="277"/>
        <v>-1.47987065957747</v>
      </c>
      <c r="N584" s="304">
        <f t="shared" ca="1" si="278"/>
        <v>-84.790343019030431</v>
      </c>
      <c r="P584" s="310">
        <f t="shared" ca="1" si="279"/>
        <v>23</v>
      </c>
      <c r="Q584" s="304">
        <f t="shared" ca="1" si="280"/>
        <v>0</v>
      </c>
      <c r="R584" s="306">
        <f t="shared" ca="1" si="281"/>
        <v>0</v>
      </c>
      <c r="S584" s="307">
        <f t="shared" ca="1" si="282"/>
        <v>7.4499999999999984</v>
      </c>
      <c r="T584" s="304">
        <f t="shared" ca="1" si="262"/>
        <v>73.084499999999991</v>
      </c>
      <c r="U584" s="311">
        <f t="shared" ca="1" si="263"/>
        <v>0</v>
      </c>
      <c r="V584" s="306">
        <f t="shared" ca="1" si="264"/>
        <v>1.2261915756991728</v>
      </c>
      <c r="W584" s="304">
        <f t="shared" ca="1" si="265"/>
        <v>58.347005838378564</v>
      </c>
      <c r="Y584" s="314" t="str">
        <f t="shared" ca="1" si="283"/>
        <v/>
      </c>
      <c r="Z584" s="315" t="str">
        <f t="shared" ca="1" si="284"/>
        <v/>
      </c>
      <c r="AA584" s="316" t="str">
        <f t="shared" ca="1" si="285"/>
        <v/>
      </c>
      <c r="AC584" s="310" t="e">
        <f t="shared" ca="1" si="286"/>
        <v>#N/A</v>
      </c>
      <c r="AD584" s="323" t="e">
        <f t="shared" ca="1" si="287"/>
        <v>#N/A</v>
      </c>
      <c r="AE584" s="324" t="e">
        <f t="shared" ca="1" si="266"/>
        <v>#N/A</v>
      </c>
      <c r="AG584" s="306">
        <f t="shared" ca="1" si="288"/>
        <v>1.9376970316440838</v>
      </c>
      <c r="AH584" s="304">
        <f t="shared" ca="1" si="289"/>
        <v>-7.8317782657390227</v>
      </c>
    </row>
    <row r="585" spans="1:34" x14ac:dyDescent="0.2">
      <c r="A585" s="347">
        <f t="shared" ca="1" si="267"/>
        <v>1E-4</v>
      </c>
      <c r="B585" s="304">
        <f t="shared" ca="1" si="268"/>
        <v>34.505600000000406</v>
      </c>
      <c r="D585" s="306">
        <f t="shared" ca="1" si="269"/>
        <v>-0.7111319863601373</v>
      </c>
      <c r="E585" s="307">
        <f t="shared" ca="1" si="270"/>
        <v>-2.0105395034008717</v>
      </c>
      <c r="F585" s="304">
        <f t="shared" ca="1" si="271"/>
        <v>2.1325988363402852</v>
      </c>
      <c r="G585" s="306">
        <f t="shared" ca="1" si="272"/>
        <v>10.932848047451543</v>
      </c>
      <c r="H585" s="307">
        <f t="shared" ca="1" si="273"/>
        <v>-119.90884353036843</v>
      </c>
      <c r="I585" s="304">
        <f t="shared" ca="1" si="274"/>
        <v>120.40622045068537</v>
      </c>
      <c r="J585" s="306">
        <f t="shared" ca="1" si="275"/>
        <v>770.52896740167785</v>
      </c>
      <c r="K585" s="307">
        <f t="shared" ca="1" si="276"/>
        <v>-9.734410867789725</v>
      </c>
      <c r="L585" s="304">
        <f t="shared" ca="1" si="261"/>
        <v>770.59045436602628</v>
      </c>
      <c r="M585" s="306">
        <f t="shared" ca="1" si="277"/>
        <v>-1.4798713993666837</v>
      </c>
      <c r="N585" s="304">
        <f t="shared" ca="1" si="278"/>
        <v>-84.790385405830108</v>
      </c>
      <c r="P585" s="310">
        <f t="shared" ca="1" si="279"/>
        <v>23</v>
      </c>
      <c r="Q585" s="304">
        <f t="shared" ca="1" si="280"/>
        <v>0</v>
      </c>
      <c r="R585" s="306">
        <f t="shared" ca="1" si="281"/>
        <v>0</v>
      </c>
      <c r="S585" s="307">
        <f t="shared" ca="1" si="282"/>
        <v>7.4499999999999984</v>
      </c>
      <c r="T585" s="304">
        <f t="shared" ca="1" si="262"/>
        <v>73.084499999999991</v>
      </c>
      <c r="U585" s="311">
        <f t="shared" ca="1" si="263"/>
        <v>0</v>
      </c>
      <c r="V585" s="306">
        <f t="shared" ca="1" si="264"/>
        <v>1.2261930460113071</v>
      </c>
      <c r="W585" s="304">
        <f t="shared" ca="1" si="265"/>
        <v>58.347263594665868</v>
      </c>
      <c r="Y585" s="314" t="str">
        <f t="shared" ca="1" si="283"/>
        <v/>
      </c>
      <c r="Z585" s="315" t="str">
        <f t="shared" ca="1" si="284"/>
        <v/>
      </c>
      <c r="AA585" s="316" t="str">
        <f t="shared" ca="1" si="285"/>
        <v/>
      </c>
      <c r="AC585" s="310" t="e">
        <f t="shared" ca="1" si="286"/>
        <v>#N/A</v>
      </c>
      <c r="AD585" s="323" t="e">
        <f t="shared" ca="1" si="287"/>
        <v>#N/A</v>
      </c>
      <c r="AE585" s="324" t="e">
        <f t="shared" ca="1" si="266"/>
        <v>#N/A</v>
      </c>
      <c r="AG585" s="306">
        <f t="shared" ca="1" si="288"/>
        <v>1.9376630921491911</v>
      </c>
      <c r="AH585" s="304">
        <f t="shared" ca="1" si="289"/>
        <v>-7.8318128642118898</v>
      </c>
    </row>
    <row r="586" spans="1:34" x14ac:dyDescent="0.2">
      <c r="A586" s="347">
        <f t="shared" ca="1" si="267"/>
        <v>1E-4</v>
      </c>
      <c r="B586" s="304">
        <f t="shared" ca="1" si="268"/>
        <v>34.505700000000409</v>
      </c>
      <c r="D586" s="306">
        <f t="shared" ca="1" si="269"/>
        <v>-0.71112935790550025</v>
      </c>
      <c r="E586" s="307">
        <f t="shared" ca="1" si="270"/>
        <v>-2.0105045220747746</v>
      </c>
      <c r="F586" s="304">
        <f t="shared" ca="1" si="271"/>
        <v>2.1325649807117735</v>
      </c>
      <c r="G586" s="306">
        <f t="shared" ca="1" si="272"/>
        <v>10.932776934515752</v>
      </c>
      <c r="H586" s="307">
        <f t="shared" ca="1" si="273"/>
        <v>-119.90904458082063</v>
      </c>
      <c r="I586" s="304">
        <f t="shared" ca="1" si="274"/>
        <v>120.40641421363361</v>
      </c>
      <c r="J586" s="306">
        <f t="shared" ca="1" si="275"/>
        <v>770.52896740167785</v>
      </c>
      <c r="K586" s="307">
        <f t="shared" ca="1" si="276"/>
        <v>-9.7464017621952852</v>
      </c>
      <c r="L586" s="304">
        <f t="shared" ca="1" si="261"/>
        <v>770.59060593314143</v>
      </c>
      <c r="M586" s="306">
        <f t="shared" ca="1" si="277"/>
        <v>-1.4798721391487044</v>
      </c>
      <c r="N586" s="304">
        <f t="shared" ca="1" si="278"/>
        <v>-84.790427792217656</v>
      </c>
      <c r="P586" s="310">
        <f t="shared" ca="1" si="279"/>
        <v>23</v>
      </c>
      <c r="Q586" s="304">
        <f t="shared" ca="1" si="280"/>
        <v>0</v>
      </c>
      <c r="R586" s="306">
        <f t="shared" ca="1" si="281"/>
        <v>0</v>
      </c>
      <c r="S586" s="307">
        <f t="shared" ca="1" si="282"/>
        <v>7.4499999999999984</v>
      </c>
      <c r="T586" s="304">
        <f t="shared" ca="1" si="262"/>
        <v>73.084499999999991</v>
      </c>
      <c r="U586" s="311">
        <f t="shared" ca="1" si="263"/>
        <v>0</v>
      </c>
      <c r="V586" s="306">
        <f t="shared" ca="1" si="264"/>
        <v>1.2261945163276713</v>
      </c>
      <c r="W586" s="304">
        <f t="shared" ca="1" si="265"/>
        <v>58.347521348617704</v>
      </c>
      <c r="Y586" s="314" t="str">
        <f t="shared" ca="1" si="283"/>
        <v/>
      </c>
      <c r="Z586" s="315" t="str">
        <f t="shared" ca="1" si="284"/>
        <v/>
      </c>
      <c r="AA586" s="316" t="str">
        <f t="shared" ca="1" si="285"/>
        <v/>
      </c>
      <c r="AC586" s="310" t="e">
        <f t="shared" ca="1" si="286"/>
        <v>#N/A</v>
      </c>
      <c r="AD586" s="323" t="e">
        <f t="shared" ca="1" si="287"/>
        <v>#N/A</v>
      </c>
      <c r="AE586" s="324" t="e">
        <f t="shared" ca="1" si="266"/>
        <v>#N/A</v>
      </c>
      <c r="AG586" s="306">
        <f t="shared" ca="1" si="288"/>
        <v>1.9376291529560419</v>
      </c>
      <c r="AH586" s="304">
        <f t="shared" ca="1" si="289"/>
        <v>-7.8318474623712593</v>
      </c>
    </row>
    <row r="587" spans="1:34" x14ac:dyDescent="0.2">
      <c r="A587" s="347">
        <f t="shared" ca="1" si="267"/>
        <v>1E-4</v>
      </c>
      <c r="B587" s="304">
        <f t="shared" ca="1" si="268"/>
        <v>34.505800000000413</v>
      </c>
      <c r="D587" s="306">
        <f t="shared" ca="1" si="269"/>
        <v>-0.71112672942713184</v>
      </c>
      <c r="E587" s="307">
        <f t="shared" ca="1" si="270"/>
        <v>-2.0104695410656044</v>
      </c>
      <c r="F587" s="304">
        <f t="shared" ca="1" si="271"/>
        <v>2.1325311254137116</v>
      </c>
      <c r="G587" s="306">
        <f t="shared" ca="1" si="272"/>
        <v>10.932705821842809</v>
      </c>
      <c r="H587" s="307">
        <f t="shared" ca="1" si="273"/>
        <v>-119.90924562777474</v>
      </c>
      <c r="I587" s="304">
        <f t="shared" ca="1" si="274"/>
        <v>120.40660797318796</v>
      </c>
      <c r="J587" s="306">
        <f t="shared" ca="1" si="275"/>
        <v>770.52896740167785</v>
      </c>
      <c r="K587" s="307">
        <f t="shared" ca="1" si="276"/>
        <v>-9.7583926767057143</v>
      </c>
      <c r="L587" s="304">
        <f t="shared" ca="1" si="261"/>
        <v>770.59075768706748</v>
      </c>
      <c r="M587" s="306">
        <f t="shared" ca="1" si="277"/>
        <v>-1.4798728789235325</v>
      </c>
      <c r="N587" s="304">
        <f t="shared" ca="1" si="278"/>
        <v>-84.79047017819309</v>
      </c>
      <c r="P587" s="310">
        <f t="shared" ca="1" si="279"/>
        <v>23</v>
      </c>
      <c r="Q587" s="304">
        <f t="shared" ca="1" si="280"/>
        <v>0</v>
      </c>
      <c r="R587" s="306">
        <f t="shared" ca="1" si="281"/>
        <v>0</v>
      </c>
      <c r="S587" s="307">
        <f t="shared" ca="1" si="282"/>
        <v>7.4499999999999984</v>
      </c>
      <c r="T587" s="304">
        <f t="shared" ca="1" si="262"/>
        <v>73.084499999999991</v>
      </c>
      <c r="U587" s="311">
        <f t="shared" ca="1" si="263"/>
        <v>0</v>
      </c>
      <c r="V587" s="306">
        <f t="shared" ca="1" si="264"/>
        <v>1.2261959866482641</v>
      </c>
      <c r="W587" s="304">
        <f t="shared" ca="1" si="265"/>
        <v>58.347779100234035</v>
      </c>
      <c r="Y587" s="314" t="str">
        <f t="shared" ca="1" si="283"/>
        <v/>
      </c>
      <c r="Z587" s="315" t="str">
        <f t="shared" ca="1" si="284"/>
        <v/>
      </c>
      <c r="AA587" s="316" t="str">
        <f t="shared" ca="1" si="285"/>
        <v/>
      </c>
      <c r="AC587" s="310" t="e">
        <f t="shared" ca="1" si="286"/>
        <v>#N/A</v>
      </c>
      <c r="AD587" s="323" t="e">
        <f t="shared" ca="1" si="287"/>
        <v>#N/A</v>
      </c>
      <c r="AE587" s="324" t="e">
        <f t="shared" ca="1" si="266"/>
        <v>#N/A</v>
      </c>
      <c r="AG587" s="306">
        <f t="shared" ca="1" si="288"/>
        <v>1.937595214064622</v>
      </c>
      <c r="AH587" s="304">
        <f t="shared" ca="1" si="289"/>
        <v>-7.8318820602171435</v>
      </c>
    </row>
    <row r="588" spans="1:34" x14ac:dyDescent="0.2">
      <c r="A588" s="347">
        <f t="shared" ca="1" si="267"/>
        <v>1E-4</v>
      </c>
      <c r="B588" s="304">
        <f t="shared" ca="1" si="268"/>
        <v>34.505900000000416</v>
      </c>
      <c r="D588" s="306">
        <f t="shared" ca="1" si="269"/>
        <v>-0.71112410092503131</v>
      </c>
      <c r="E588" s="307">
        <f t="shared" ca="1" si="270"/>
        <v>-2.0104345603733647</v>
      </c>
      <c r="F588" s="304">
        <f t="shared" ca="1" si="271"/>
        <v>2.1324972704461027</v>
      </c>
      <c r="G588" s="306">
        <f t="shared" ca="1" si="272"/>
        <v>10.932634709432717</v>
      </c>
      <c r="H588" s="307">
        <f t="shared" ca="1" si="273"/>
        <v>-119.90944667123077</v>
      </c>
      <c r="I588" s="304">
        <f t="shared" ca="1" si="274"/>
        <v>120.40680172934844</v>
      </c>
      <c r="J588" s="306">
        <f t="shared" ca="1" si="275"/>
        <v>770.52896740167785</v>
      </c>
      <c r="K588" s="307">
        <f t="shared" ca="1" si="276"/>
        <v>-9.7703836113206641</v>
      </c>
      <c r="L588" s="304">
        <f t="shared" ca="1" si="261"/>
        <v>770.59090962780533</v>
      </c>
      <c r="M588" s="306">
        <f t="shared" ca="1" si="277"/>
        <v>-1.4798736186911676</v>
      </c>
      <c r="N588" s="304">
        <f t="shared" ca="1" si="278"/>
        <v>-84.790512563756408</v>
      </c>
      <c r="P588" s="310">
        <f t="shared" ca="1" si="279"/>
        <v>23</v>
      </c>
      <c r="Q588" s="304">
        <f t="shared" ca="1" si="280"/>
        <v>0</v>
      </c>
      <c r="R588" s="306">
        <f t="shared" ca="1" si="281"/>
        <v>0</v>
      </c>
      <c r="S588" s="307">
        <f t="shared" ca="1" si="282"/>
        <v>7.4499999999999984</v>
      </c>
      <c r="T588" s="304">
        <f t="shared" ca="1" si="262"/>
        <v>73.084499999999991</v>
      </c>
      <c r="U588" s="311">
        <f t="shared" ca="1" si="263"/>
        <v>0</v>
      </c>
      <c r="V588" s="306">
        <f t="shared" ca="1" si="264"/>
        <v>1.2261974569730862</v>
      </c>
      <c r="W588" s="304">
        <f t="shared" ca="1" si="265"/>
        <v>58.348036849514884</v>
      </c>
      <c r="Y588" s="314" t="str">
        <f t="shared" ca="1" si="283"/>
        <v/>
      </c>
      <c r="Z588" s="315" t="str">
        <f t="shared" ca="1" si="284"/>
        <v/>
      </c>
      <c r="AA588" s="316" t="str">
        <f t="shared" ca="1" si="285"/>
        <v/>
      </c>
      <c r="AC588" s="310" t="e">
        <f t="shared" ca="1" si="286"/>
        <v>#N/A</v>
      </c>
      <c r="AD588" s="323" t="e">
        <f t="shared" ca="1" si="287"/>
        <v>#N/A</v>
      </c>
      <c r="AE588" s="324" t="e">
        <f t="shared" ca="1" si="266"/>
        <v>#N/A</v>
      </c>
      <c r="AG588" s="306">
        <f t="shared" ca="1" si="288"/>
        <v>1.9375612754749429</v>
      </c>
      <c r="AH588" s="304">
        <f t="shared" ca="1" si="289"/>
        <v>-7.8319166577495363</v>
      </c>
    </row>
    <row r="589" spans="1:34" x14ac:dyDescent="0.2">
      <c r="A589" s="347">
        <f t="shared" ca="1" si="267"/>
        <v>1E-4</v>
      </c>
      <c r="B589" s="304">
        <f t="shared" ca="1" si="268"/>
        <v>34.506000000000419</v>
      </c>
      <c r="D589" s="306">
        <f t="shared" ca="1" si="269"/>
        <v>-0.71112147239920243</v>
      </c>
      <c r="E589" s="307">
        <f t="shared" ca="1" si="270"/>
        <v>-2.0103995799980536</v>
      </c>
      <c r="F589" s="304">
        <f t="shared" ca="1" si="271"/>
        <v>2.1324634158089468</v>
      </c>
      <c r="G589" s="306">
        <f t="shared" ca="1" si="272"/>
        <v>10.932563597285478</v>
      </c>
      <c r="H589" s="307">
        <f t="shared" ca="1" si="273"/>
        <v>-119.90964771118877</v>
      </c>
      <c r="I589" s="304">
        <f t="shared" ca="1" si="274"/>
        <v>120.40699548211512</v>
      </c>
      <c r="J589" s="306">
        <f t="shared" ca="1" si="275"/>
        <v>770.52896740167785</v>
      </c>
      <c r="K589" s="307">
        <f t="shared" ca="1" si="276"/>
        <v>-9.7823745660397847</v>
      </c>
      <c r="L589" s="304">
        <f t="shared" ca="1" si="261"/>
        <v>770.59106175535555</v>
      </c>
      <c r="M589" s="306">
        <f t="shared" ca="1" si="277"/>
        <v>-1.4798743584516101</v>
      </c>
      <c r="N589" s="304">
        <f t="shared" ca="1" si="278"/>
        <v>-84.790554948907612</v>
      </c>
      <c r="P589" s="310">
        <f t="shared" ca="1" si="279"/>
        <v>23</v>
      </c>
      <c r="Q589" s="304">
        <f t="shared" ca="1" si="280"/>
        <v>0</v>
      </c>
      <c r="R589" s="306">
        <f t="shared" ca="1" si="281"/>
        <v>0</v>
      </c>
      <c r="S589" s="307">
        <f t="shared" ca="1" si="282"/>
        <v>7.4499999999999984</v>
      </c>
      <c r="T589" s="304">
        <f t="shared" ca="1" si="262"/>
        <v>73.084499999999991</v>
      </c>
      <c r="U589" s="311">
        <f t="shared" ca="1" si="263"/>
        <v>0</v>
      </c>
      <c r="V589" s="306">
        <f t="shared" ca="1" si="264"/>
        <v>1.2261989273021372</v>
      </c>
      <c r="W589" s="304">
        <f t="shared" ca="1" si="265"/>
        <v>58.348294596460264</v>
      </c>
      <c r="Y589" s="314" t="str">
        <f t="shared" ca="1" si="283"/>
        <v/>
      </c>
      <c r="Z589" s="315" t="str">
        <f t="shared" ca="1" si="284"/>
        <v/>
      </c>
      <c r="AA589" s="316" t="str">
        <f t="shared" ca="1" si="285"/>
        <v/>
      </c>
      <c r="AC589" s="310" t="e">
        <f t="shared" ca="1" si="286"/>
        <v>#N/A</v>
      </c>
      <c r="AD589" s="323" t="e">
        <f t="shared" ca="1" si="287"/>
        <v>#N/A</v>
      </c>
      <c r="AE589" s="324" t="e">
        <f t="shared" ca="1" si="266"/>
        <v>#N/A</v>
      </c>
      <c r="AG589" s="306">
        <f t="shared" ca="1" si="288"/>
        <v>1.937527337186995</v>
      </c>
      <c r="AH589" s="304">
        <f t="shared" ca="1" si="289"/>
        <v>-7.831951254968442</v>
      </c>
    </row>
    <row r="590" spans="1:34" x14ac:dyDescent="0.2">
      <c r="A590" s="347">
        <f t="shared" ca="1" si="267"/>
        <v>1E-4</v>
      </c>
      <c r="B590" s="304">
        <f t="shared" ca="1" si="268"/>
        <v>34.506100000000423</v>
      </c>
      <c r="D590" s="306">
        <f t="shared" ca="1" si="269"/>
        <v>-0.71111884384964474</v>
      </c>
      <c r="E590" s="307">
        <f t="shared" ca="1" si="270"/>
        <v>-2.0103645999396687</v>
      </c>
      <c r="F590" s="304">
        <f t="shared" ca="1" si="271"/>
        <v>2.1324295615022408</v>
      </c>
      <c r="G590" s="306">
        <f t="shared" ca="1" si="272"/>
        <v>10.932492485401093</v>
      </c>
      <c r="H590" s="307">
        <f t="shared" ca="1" si="273"/>
        <v>-119.90984874764877</v>
      </c>
      <c r="I590" s="304">
        <f t="shared" ca="1" si="274"/>
        <v>120.40718923148798</v>
      </c>
      <c r="J590" s="306">
        <f t="shared" ca="1" si="275"/>
        <v>770.52896740167785</v>
      </c>
      <c r="K590" s="307">
        <f t="shared" ca="1" si="276"/>
        <v>-9.7943655408627261</v>
      </c>
      <c r="L590" s="304">
        <f t="shared" ca="1" si="261"/>
        <v>770.5912140697194</v>
      </c>
      <c r="M590" s="306">
        <f t="shared" ca="1" si="277"/>
        <v>-1.4798750982048601</v>
      </c>
      <c r="N590" s="304">
        <f t="shared" ca="1" si="278"/>
        <v>-84.790597333646716</v>
      </c>
      <c r="P590" s="310">
        <f t="shared" ca="1" si="279"/>
        <v>23</v>
      </c>
      <c r="Q590" s="304">
        <f t="shared" ca="1" si="280"/>
        <v>0</v>
      </c>
      <c r="R590" s="306">
        <f t="shared" ca="1" si="281"/>
        <v>0</v>
      </c>
      <c r="S590" s="307">
        <f t="shared" ca="1" si="282"/>
        <v>7.4499999999999984</v>
      </c>
      <c r="T590" s="304">
        <f t="shared" ca="1" si="262"/>
        <v>73.084499999999991</v>
      </c>
      <c r="U590" s="311">
        <f t="shared" ca="1" si="263"/>
        <v>0</v>
      </c>
      <c r="V590" s="306">
        <f t="shared" ca="1" si="264"/>
        <v>1.2262003976354177</v>
      </c>
      <c r="W590" s="304">
        <f t="shared" ca="1" si="265"/>
        <v>58.348552341070153</v>
      </c>
      <c r="Y590" s="314" t="str">
        <f t="shared" ca="1" si="283"/>
        <v/>
      </c>
      <c r="Z590" s="315" t="str">
        <f t="shared" ca="1" si="284"/>
        <v/>
      </c>
      <c r="AA590" s="316" t="str">
        <f t="shared" ca="1" si="285"/>
        <v/>
      </c>
      <c r="AC590" s="310" t="e">
        <f t="shared" ca="1" si="286"/>
        <v>#N/A</v>
      </c>
      <c r="AD590" s="323" t="e">
        <f t="shared" ca="1" si="287"/>
        <v>#N/A</v>
      </c>
      <c r="AE590" s="324" t="e">
        <f t="shared" ca="1" si="266"/>
        <v>#N/A</v>
      </c>
      <c r="AG590" s="306">
        <f t="shared" ca="1" si="288"/>
        <v>1.9374933992007817</v>
      </c>
      <c r="AH590" s="304">
        <f t="shared" ca="1" si="289"/>
        <v>-7.8319858518738625</v>
      </c>
    </row>
    <row r="591" spans="1:34" x14ac:dyDescent="0.2">
      <c r="A591" s="347">
        <f t="shared" ca="1" si="267"/>
        <v>1E-4</v>
      </c>
      <c r="B591" s="304">
        <f t="shared" ca="1" si="268"/>
        <v>34.506200000000426</v>
      </c>
      <c r="D591" s="306">
        <f t="shared" ca="1" si="269"/>
        <v>-0.71111621527635804</v>
      </c>
      <c r="E591" s="307">
        <f t="shared" ca="1" si="270"/>
        <v>-2.0103296201982124</v>
      </c>
      <c r="F591" s="304">
        <f t="shared" ca="1" si="271"/>
        <v>2.1323957075259883</v>
      </c>
      <c r="G591" s="306">
        <f t="shared" ca="1" si="272"/>
        <v>10.932421373779565</v>
      </c>
      <c r="H591" s="307">
        <f t="shared" ca="1" si="273"/>
        <v>-119.91004978061079</v>
      </c>
      <c r="I591" s="304">
        <f t="shared" ca="1" si="274"/>
        <v>120.40738297746708</v>
      </c>
      <c r="J591" s="306">
        <f t="shared" ca="1" si="275"/>
        <v>770.52896740167785</v>
      </c>
      <c r="K591" s="307">
        <f t="shared" ca="1" si="276"/>
        <v>-9.8063565357891385</v>
      </c>
      <c r="L591" s="304">
        <f t="shared" ca="1" si="261"/>
        <v>770.59136657089721</v>
      </c>
      <c r="M591" s="306">
        <f t="shared" ca="1" si="277"/>
        <v>-1.4798758379509176</v>
      </c>
      <c r="N591" s="304">
        <f t="shared" ca="1" si="278"/>
        <v>-84.790639717973718</v>
      </c>
      <c r="P591" s="310">
        <f t="shared" ca="1" si="279"/>
        <v>23</v>
      </c>
      <c r="Q591" s="304">
        <f t="shared" ca="1" si="280"/>
        <v>0</v>
      </c>
      <c r="R591" s="306">
        <f t="shared" ca="1" si="281"/>
        <v>0</v>
      </c>
      <c r="S591" s="307">
        <f t="shared" ca="1" si="282"/>
        <v>7.4499999999999984</v>
      </c>
      <c r="T591" s="304">
        <f t="shared" ca="1" si="262"/>
        <v>73.084499999999991</v>
      </c>
      <c r="U591" s="311">
        <f t="shared" ca="1" si="263"/>
        <v>0</v>
      </c>
      <c r="V591" s="306">
        <f t="shared" ca="1" si="264"/>
        <v>1.2262018679729267</v>
      </c>
      <c r="W591" s="304">
        <f t="shared" ca="1" si="265"/>
        <v>58.34881008334456</v>
      </c>
      <c r="Y591" s="314" t="str">
        <f t="shared" ca="1" si="283"/>
        <v/>
      </c>
      <c r="Z591" s="315" t="str">
        <f t="shared" ca="1" si="284"/>
        <v/>
      </c>
      <c r="AA591" s="316" t="str">
        <f t="shared" ca="1" si="285"/>
        <v/>
      </c>
      <c r="AC591" s="310" t="e">
        <f t="shared" ca="1" si="286"/>
        <v>#N/A</v>
      </c>
      <c r="AD591" s="323" t="e">
        <f t="shared" ca="1" si="287"/>
        <v>#N/A</v>
      </c>
      <c r="AE591" s="324" t="e">
        <f t="shared" ca="1" si="266"/>
        <v>#N/A</v>
      </c>
      <c r="AG591" s="306">
        <f t="shared" ca="1" si="288"/>
        <v>1.9374594615163012</v>
      </c>
      <c r="AH591" s="304">
        <f t="shared" ca="1" si="289"/>
        <v>-7.8320204484657943</v>
      </c>
    </row>
    <row r="592" spans="1:34" x14ac:dyDescent="0.2">
      <c r="A592" s="347">
        <f t="shared" ca="1" si="267"/>
        <v>1E-4</v>
      </c>
      <c r="B592" s="304">
        <f t="shared" ca="1" si="268"/>
        <v>34.506300000000429</v>
      </c>
      <c r="D592" s="306">
        <f t="shared" ca="1" si="269"/>
        <v>-0.71111358667934355</v>
      </c>
      <c r="E592" s="307">
        <f t="shared" ca="1" si="270"/>
        <v>-2.0102946407736848</v>
      </c>
      <c r="F592" s="304">
        <f t="shared" ca="1" si="271"/>
        <v>2.1323618538801896</v>
      </c>
      <c r="G592" s="306">
        <f t="shared" ca="1" si="272"/>
        <v>10.932350262420897</v>
      </c>
      <c r="H592" s="307">
        <f t="shared" ca="1" si="273"/>
        <v>-119.91025081007487</v>
      </c>
      <c r="I592" s="304">
        <f t="shared" ca="1" si="274"/>
        <v>120.40757672005245</v>
      </c>
      <c r="J592" s="306">
        <f t="shared" ca="1" si="275"/>
        <v>770.52896740167785</v>
      </c>
      <c r="K592" s="307">
        <f t="shared" ca="1" si="276"/>
        <v>-9.8183475508186735</v>
      </c>
      <c r="L592" s="304">
        <f t="shared" ca="1" si="261"/>
        <v>770.59151925889023</v>
      </c>
      <c r="M592" s="306">
        <f t="shared" ca="1" si="277"/>
        <v>-1.4798765776897826</v>
      </c>
      <c r="N592" s="304">
        <f t="shared" ca="1" si="278"/>
        <v>-84.790682101888635</v>
      </c>
      <c r="P592" s="310">
        <f t="shared" ca="1" si="279"/>
        <v>23</v>
      </c>
      <c r="Q592" s="304">
        <f t="shared" ca="1" si="280"/>
        <v>0</v>
      </c>
      <c r="R592" s="306">
        <f t="shared" ca="1" si="281"/>
        <v>0</v>
      </c>
      <c r="S592" s="307">
        <f t="shared" ca="1" si="282"/>
        <v>7.4499999999999984</v>
      </c>
      <c r="T592" s="304">
        <f t="shared" ca="1" si="262"/>
        <v>73.084499999999991</v>
      </c>
      <c r="U592" s="311">
        <f t="shared" ca="1" si="263"/>
        <v>0</v>
      </c>
      <c r="V592" s="306">
        <f t="shared" ca="1" si="264"/>
        <v>1.2262033383146653</v>
      </c>
      <c r="W592" s="304">
        <f t="shared" ca="1" si="265"/>
        <v>58.349067823283519</v>
      </c>
      <c r="Y592" s="314" t="str">
        <f t="shared" ca="1" si="283"/>
        <v/>
      </c>
      <c r="Z592" s="315" t="str">
        <f t="shared" ca="1" si="284"/>
        <v/>
      </c>
      <c r="AA592" s="316" t="str">
        <f t="shared" ca="1" si="285"/>
        <v/>
      </c>
      <c r="AC592" s="310" t="e">
        <f t="shared" ca="1" si="286"/>
        <v>#N/A</v>
      </c>
      <c r="AD592" s="323" t="e">
        <f t="shared" ca="1" si="287"/>
        <v>#N/A</v>
      </c>
      <c r="AE592" s="324" t="e">
        <f t="shared" ca="1" si="266"/>
        <v>#N/A</v>
      </c>
      <c r="AG592" s="306">
        <f t="shared" ca="1" si="288"/>
        <v>1.9374255241335598</v>
      </c>
      <c r="AH592" s="304">
        <f t="shared" ca="1" si="289"/>
        <v>-7.8320550447442381</v>
      </c>
    </row>
    <row r="593" spans="1:34" x14ac:dyDescent="0.2">
      <c r="A593" s="347">
        <f t="shared" ca="1" si="267"/>
        <v>1E-4</v>
      </c>
      <c r="B593" s="304">
        <f t="shared" ca="1" si="268"/>
        <v>34.506400000000433</v>
      </c>
      <c r="D593" s="306">
        <f t="shared" ca="1" si="269"/>
        <v>-0.71111095805860336</v>
      </c>
      <c r="E593" s="307">
        <f t="shared" ca="1" si="270"/>
        <v>-2.0102596616660806</v>
      </c>
      <c r="F593" s="304">
        <f t="shared" ca="1" si="271"/>
        <v>2.1323280005648404</v>
      </c>
      <c r="G593" s="306">
        <f t="shared" ca="1" si="272"/>
        <v>10.932279151325091</v>
      </c>
      <c r="H593" s="307">
        <f t="shared" ca="1" si="273"/>
        <v>-119.91045183604103</v>
      </c>
      <c r="I593" s="304">
        <f t="shared" ca="1" si="274"/>
        <v>120.40777045924409</v>
      </c>
      <c r="J593" s="306">
        <f t="shared" ca="1" si="275"/>
        <v>770.52896740167785</v>
      </c>
      <c r="K593" s="307">
        <f t="shared" ca="1" si="276"/>
        <v>-9.8303385859509795</v>
      </c>
      <c r="L593" s="304">
        <f t="shared" ca="1" si="261"/>
        <v>770.59167213369915</v>
      </c>
      <c r="M593" s="306">
        <f t="shared" ca="1" si="277"/>
        <v>-1.4798773174214557</v>
      </c>
      <c r="N593" s="304">
        <f t="shared" ca="1" si="278"/>
        <v>-84.790724485391465</v>
      </c>
      <c r="P593" s="310">
        <f t="shared" ca="1" si="279"/>
        <v>23</v>
      </c>
      <c r="Q593" s="304">
        <f t="shared" ca="1" si="280"/>
        <v>0</v>
      </c>
      <c r="R593" s="306">
        <f t="shared" ca="1" si="281"/>
        <v>0</v>
      </c>
      <c r="S593" s="307">
        <f t="shared" ca="1" si="282"/>
        <v>7.4499999999999984</v>
      </c>
      <c r="T593" s="304">
        <f t="shared" ca="1" si="262"/>
        <v>73.084499999999991</v>
      </c>
      <c r="U593" s="311">
        <f t="shared" ca="1" si="263"/>
        <v>0</v>
      </c>
      <c r="V593" s="306">
        <f t="shared" ca="1" si="264"/>
        <v>1.2262048086606323</v>
      </c>
      <c r="W593" s="304">
        <f t="shared" ca="1" si="265"/>
        <v>58.349325560886982</v>
      </c>
      <c r="Y593" s="314" t="str">
        <f t="shared" ca="1" si="283"/>
        <v/>
      </c>
      <c r="Z593" s="315" t="str">
        <f t="shared" ca="1" si="284"/>
        <v/>
      </c>
      <c r="AA593" s="316" t="str">
        <f t="shared" ca="1" si="285"/>
        <v/>
      </c>
      <c r="AC593" s="310" t="e">
        <f t="shared" ca="1" si="286"/>
        <v>#N/A</v>
      </c>
      <c r="AD593" s="323" t="e">
        <f t="shared" ca="1" si="287"/>
        <v>#N/A</v>
      </c>
      <c r="AE593" s="324" t="e">
        <f t="shared" ca="1" si="266"/>
        <v>#N/A</v>
      </c>
      <c r="AG593" s="306">
        <f t="shared" ca="1" si="288"/>
        <v>1.9373915870525451</v>
      </c>
      <c r="AH593" s="304">
        <f t="shared" ca="1" si="289"/>
        <v>-7.8320896407091993</v>
      </c>
    </row>
    <row r="594" spans="1:34" x14ac:dyDescent="0.2">
      <c r="A594" s="347">
        <f t="shared" ca="1" si="267"/>
        <v>1E-4</v>
      </c>
      <c r="B594" s="304">
        <f t="shared" ca="1" si="268"/>
        <v>34.506500000000436</v>
      </c>
      <c r="D594" s="306">
        <f t="shared" ca="1" si="269"/>
        <v>-0.71110832941413471</v>
      </c>
      <c r="E594" s="307">
        <f t="shared" ca="1" si="270"/>
        <v>-2.0102246828754078</v>
      </c>
      <c r="F594" s="304">
        <f t="shared" ca="1" si="271"/>
        <v>2.1322941475799473</v>
      </c>
      <c r="G594" s="306">
        <f t="shared" ca="1" si="272"/>
        <v>10.932208040492149</v>
      </c>
      <c r="H594" s="307">
        <f t="shared" ca="1" si="273"/>
        <v>-119.91065285850932</v>
      </c>
      <c r="I594" s="304">
        <f t="shared" ca="1" si="274"/>
        <v>120.40796419504207</v>
      </c>
      <c r="J594" s="306">
        <f t="shared" ca="1" si="275"/>
        <v>770.52896740167785</v>
      </c>
      <c r="K594" s="307">
        <f t="shared" ca="1" si="276"/>
        <v>-9.8423296411857066</v>
      </c>
      <c r="L594" s="304">
        <f t="shared" ca="1" si="261"/>
        <v>770.59182519532465</v>
      </c>
      <c r="M594" s="306">
        <f t="shared" ca="1" si="277"/>
        <v>-1.4798780571459365</v>
      </c>
      <c r="N594" s="304">
        <f t="shared" ca="1" si="278"/>
        <v>-84.790766868482223</v>
      </c>
      <c r="P594" s="310">
        <f t="shared" ca="1" si="279"/>
        <v>23</v>
      </c>
      <c r="Q594" s="304">
        <f t="shared" ca="1" si="280"/>
        <v>0</v>
      </c>
      <c r="R594" s="306">
        <f t="shared" ca="1" si="281"/>
        <v>0</v>
      </c>
      <c r="S594" s="307">
        <f t="shared" ca="1" si="282"/>
        <v>7.4499999999999984</v>
      </c>
      <c r="T594" s="304">
        <f t="shared" ca="1" si="262"/>
        <v>73.084499999999991</v>
      </c>
      <c r="U594" s="311">
        <f t="shared" ca="1" si="263"/>
        <v>0</v>
      </c>
      <c r="V594" s="306">
        <f t="shared" ca="1" si="264"/>
        <v>1.2262062790108283</v>
      </c>
      <c r="W594" s="304">
        <f t="shared" ca="1" si="265"/>
        <v>58.349583296154975</v>
      </c>
      <c r="Y594" s="314" t="str">
        <f t="shared" ca="1" si="283"/>
        <v/>
      </c>
      <c r="Z594" s="315" t="str">
        <f t="shared" ca="1" si="284"/>
        <v/>
      </c>
      <c r="AA594" s="316" t="str">
        <f t="shared" ca="1" si="285"/>
        <v/>
      </c>
      <c r="AC594" s="310" t="e">
        <f t="shared" ca="1" si="286"/>
        <v>#N/A</v>
      </c>
      <c r="AD594" s="323" t="e">
        <f t="shared" ca="1" si="287"/>
        <v>#N/A</v>
      </c>
      <c r="AE594" s="324" t="e">
        <f t="shared" ca="1" si="266"/>
        <v>#N/A</v>
      </c>
      <c r="AG594" s="306">
        <f t="shared" ca="1" si="288"/>
        <v>1.9373576502732739</v>
      </c>
      <c r="AH594" s="304">
        <f t="shared" ca="1" si="289"/>
        <v>-7.83212423636067</v>
      </c>
    </row>
    <row r="595" spans="1:34" x14ac:dyDescent="0.2">
      <c r="A595" s="347">
        <f t="shared" ca="1" si="267"/>
        <v>1E-4</v>
      </c>
      <c r="B595" s="304">
        <f t="shared" ca="1" si="268"/>
        <v>34.506600000000439</v>
      </c>
      <c r="D595" s="306">
        <f t="shared" ca="1" si="269"/>
        <v>-0.71110570074594115</v>
      </c>
      <c r="E595" s="307">
        <f t="shared" ca="1" si="270"/>
        <v>-2.0101897044016592</v>
      </c>
      <c r="F595" s="304">
        <f t="shared" ca="1" si="271"/>
        <v>2.1322602949255063</v>
      </c>
      <c r="G595" s="306">
        <f t="shared" ca="1" si="272"/>
        <v>10.932136929922075</v>
      </c>
      <c r="H595" s="307">
        <f t="shared" ca="1" si="273"/>
        <v>-119.91085387747977</v>
      </c>
      <c r="I595" s="304">
        <f t="shared" ca="1" si="274"/>
        <v>120.4081579274464</v>
      </c>
      <c r="J595" s="306">
        <f t="shared" ca="1" si="275"/>
        <v>770.52896740167785</v>
      </c>
      <c r="K595" s="307">
        <f t="shared" ca="1" si="276"/>
        <v>-9.8543207165225066</v>
      </c>
      <c r="L595" s="304">
        <f t="shared" ca="1" si="261"/>
        <v>770.59197844376763</v>
      </c>
      <c r="M595" s="306">
        <f t="shared" ca="1" si="277"/>
        <v>-1.479878796863225</v>
      </c>
      <c r="N595" s="304">
        <f t="shared" ca="1" si="278"/>
        <v>-84.79080925116088</v>
      </c>
      <c r="P595" s="310">
        <f t="shared" ca="1" si="279"/>
        <v>23</v>
      </c>
      <c r="Q595" s="304">
        <f t="shared" ca="1" si="280"/>
        <v>0</v>
      </c>
      <c r="R595" s="306">
        <f t="shared" ca="1" si="281"/>
        <v>0</v>
      </c>
      <c r="S595" s="307">
        <f t="shared" ca="1" si="282"/>
        <v>7.4499999999999984</v>
      </c>
      <c r="T595" s="304">
        <f t="shared" ca="1" si="262"/>
        <v>73.084499999999991</v>
      </c>
      <c r="U595" s="311">
        <f t="shared" ca="1" si="263"/>
        <v>0</v>
      </c>
      <c r="V595" s="306">
        <f t="shared" ca="1" si="264"/>
        <v>1.2262077493652539</v>
      </c>
      <c r="W595" s="304">
        <f t="shared" ca="1" si="265"/>
        <v>58.349841029087536</v>
      </c>
      <c r="Y595" s="314" t="str">
        <f t="shared" ca="1" si="283"/>
        <v/>
      </c>
      <c r="Z595" s="315" t="str">
        <f t="shared" ca="1" si="284"/>
        <v/>
      </c>
      <c r="AA595" s="316" t="str">
        <f t="shared" ca="1" si="285"/>
        <v/>
      </c>
      <c r="AC595" s="310" t="e">
        <f t="shared" ca="1" si="286"/>
        <v>#N/A</v>
      </c>
      <c r="AD595" s="323" t="e">
        <f t="shared" ca="1" si="287"/>
        <v>#N/A</v>
      </c>
      <c r="AE595" s="324" t="e">
        <f t="shared" ca="1" si="266"/>
        <v>#N/A</v>
      </c>
      <c r="AG595" s="306">
        <f t="shared" ca="1" si="288"/>
        <v>1.9373237137957311</v>
      </c>
      <c r="AH595" s="304">
        <f t="shared" ca="1" si="289"/>
        <v>-7.8321588316986563</v>
      </c>
    </row>
    <row r="596" spans="1:34" x14ac:dyDescent="0.2">
      <c r="A596" s="347">
        <f t="shared" ca="1" si="267"/>
        <v>1E-4</v>
      </c>
      <c r="B596" s="304">
        <f t="shared" ca="1" si="268"/>
        <v>34.506700000000443</v>
      </c>
      <c r="D596" s="306">
        <f t="shared" ca="1" si="269"/>
        <v>-0.71110307205402457</v>
      </c>
      <c r="E596" s="307">
        <f t="shared" ca="1" si="270"/>
        <v>-2.0101547262448332</v>
      </c>
      <c r="F596" s="304">
        <f t="shared" ca="1" si="271"/>
        <v>2.1322264426015147</v>
      </c>
      <c r="G596" s="306">
        <f t="shared" ca="1" si="272"/>
        <v>10.93206581961487</v>
      </c>
      <c r="H596" s="307">
        <f t="shared" ca="1" si="273"/>
        <v>-119.91105489295239</v>
      </c>
      <c r="I596" s="304">
        <f t="shared" ca="1" si="274"/>
        <v>120.40835165645709</v>
      </c>
      <c r="J596" s="306">
        <f t="shared" ca="1" si="275"/>
        <v>770.52896740167785</v>
      </c>
      <c r="K596" s="307">
        <f t="shared" ca="1" si="276"/>
        <v>-9.8663118119610278</v>
      </c>
      <c r="L596" s="304">
        <f t="shared" ca="1" si="261"/>
        <v>770.59213187902901</v>
      </c>
      <c r="M596" s="306">
        <f t="shared" ca="1" si="277"/>
        <v>-1.4798795365733219</v>
      </c>
      <c r="N596" s="304">
        <f t="shared" ca="1" si="278"/>
        <v>-84.790851633427508</v>
      </c>
      <c r="P596" s="310">
        <f t="shared" ca="1" si="279"/>
        <v>23</v>
      </c>
      <c r="Q596" s="304">
        <f t="shared" ca="1" si="280"/>
        <v>0</v>
      </c>
      <c r="R596" s="306">
        <f t="shared" ca="1" si="281"/>
        <v>0</v>
      </c>
      <c r="S596" s="307">
        <f t="shared" ca="1" si="282"/>
        <v>7.4499999999999984</v>
      </c>
      <c r="T596" s="304">
        <f t="shared" ca="1" si="262"/>
        <v>73.084499999999991</v>
      </c>
      <c r="U596" s="311">
        <f t="shared" ca="1" si="263"/>
        <v>0</v>
      </c>
      <c r="V596" s="306">
        <f t="shared" ca="1" si="264"/>
        <v>1.2262092197239078</v>
      </c>
      <c r="W596" s="304">
        <f t="shared" ca="1" si="265"/>
        <v>58.350098759684599</v>
      </c>
      <c r="Y596" s="314" t="str">
        <f t="shared" ca="1" si="283"/>
        <v/>
      </c>
      <c r="Z596" s="315" t="str">
        <f t="shared" ca="1" si="284"/>
        <v/>
      </c>
      <c r="AA596" s="316" t="str">
        <f t="shared" ca="1" si="285"/>
        <v/>
      </c>
      <c r="AC596" s="310" t="e">
        <f t="shared" ca="1" si="286"/>
        <v>#N/A</v>
      </c>
      <c r="AD596" s="323" t="e">
        <f t="shared" ca="1" si="287"/>
        <v>#N/A</v>
      </c>
      <c r="AE596" s="324" t="e">
        <f t="shared" ca="1" si="266"/>
        <v>#N/A</v>
      </c>
      <c r="AG596" s="306">
        <f t="shared" ca="1" si="288"/>
        <v>1.9372897776199194</v>
      </c>
      <c r="AH596" s="304">
        <f t="shared" ca="1" si="289"/>
        <v>-7.832193426723161</v>
      </c>
    </row>
    <row r="597" spans="1:34" x14ac:dyDescent="0.2">
      <c r="A597" s="347">
        <f t="shared" ca="1" si="267"/>
        <v>1E-4</v>
      </c>
      <c r="B597" s="304">
        <f t="shared" ca="1" si="268"/>
        <v>34.506800000000446</v>
      </c>
      <c r="D597" s="306">
        <f t="shared" ca="1" si="269"/>
        <v>-0.71110044333838052</v>
      </c>
      <c r="E597" s="307">
        <f t="shared" ca="1" si="270"/>
        <v>-2.0101197484049367</v>
      </c>
      <c r="F597" s="304">
        <f t="shared" ca="1" si="271"/>
        <v>2.1321925906079793</v>
      </c>
      <c r="G597" s="306">
        <f t="shared" ca="1" si="272"/>
        <v>10.931994709570535</v>
      </c>
      <c r="H597" s="307">
        <f t="shared" ca="1" si="273"/>
        <v>-119.91125590492723</v>
      </c>
      <c r="I597" s="304">
        <f t="shared" ca="1" si="274"/>
        <v>120.40854538207421</v>
      </c>
      <c r="J597" s="306">
        <f t="shared" ca="1" si="275"/>
        <v>770.52896740167785</v>
      </c>
      <c r="K597" s="307">
        <f t="shared" ca="1" si="276"/>
        <v>-9.878302927500922</v>
      </c>
      <c r="L597" s="304">
        <f t="shared" ca="1" si="261"/>
        <v>770.59228550110947</v>
      </c>
      <c r="M597" s="306">
        <f t="shared" ca="1" si="277"/>
        <v>-1.4798802762762269</v>
      </c>
      <c r="N597" s="304">
        <f t="shared" ca="1" si="278"/>
        <v>-84.790894015282049</v>
      </c>
      <c r="P597" s="310">
        <f t="shared" ca="1" si="279"/>
        <v>23</v>
      </c>
      <c r="Q597" s="304">
        <f t="shared" ca="1" si="280"/>
        <v>0</v>
      </c>
      <c r="R597" s="306">
        <f t="shared" ca="1" si="281"/>
        <v>0</v>
      </c>
      <c r="S597" s="307">
        <f t="shared" ca="1" si="282"/>
        <v>7.4499999999999984</v>
      </c>
      <c r="T597" s="304">
        <f t="shared" ca="1" si="262"/>
        <v>73.084499999999991</v>
      </c>
      <c r="U597" s="311">
        <f t="shared" ca="1" si="263"/>
        <v>0</v>
      </c>
      <c r="V597" s="306">
        <f t="shared" ca="1" si="264"/>
        <v>1.2262106900867902</v>
      </c>
      <c r="W597" s="304">
        <f t="shared" ca="1" si="265"/>
        <v>58.350356487946186</v>
      </c>
      <c r="Y597" s="314" t="str">
        <f t="shared" ca="1" si="283"/>
        <v/>
      </c>
      <c r="Z597" s="315" t="str">
        <f t="shared" ca="1" si="284"/>
        <v/>
      </c>
      <c r="AA597" s="316" t="str">
        <f t="shared" ca="1" si="285"/>
        <v/>
      </c>
      <c r="AC597" s="310" t="e">
        <f t="shared" ca="1" si="286"/>
        <v>#N/A</v>
      </c>
      <c r="AD597" s="323" t="e">
        <f t="shared" ca="1" si="287"/>
        <v>#N/A</v>
      </c>
      <c r="AE597" s="324" t="e">
        <f t="shared" ca="1" si="266"/>
        <v>#N/A</v>
      </c>
      <c r="AG597" s="306">
        <f t="shared" ca="1" si="288"/>
        <v>1.9372558417458485</v>
      </c>
      <c r="AH597" s="304">
        <f t="shared" ca="1" si="289"/>
        <v>-7.832228021434176</v>
      </c>
    </row>
    <row r="598" spans="1:34" x14ac:dyDescent="0.2">
      <c r="A598" s="347">
        <f t="shared" ca="1" si="267"/>
        <v>1E-4</v>
      </c>
      <c r="B598" s="304">
        <f t="shared" ca="1" si="268"/>
        <v>34.506900000000449</v>
      </c>
      <c r="D598" s="306">
        <f t="shared" ca="1" si="269"/>
        <v>-0.711097814599014</v>
      </c>
      <c r="E598" s="307">
        <f t="shared" ca="1" si="270"/>
        <v>-2.0100847708819689</v>
      </c>
      <c r="F598" s="304">
        <f t="shared" ca="1" si="271"/>
        <v>2.1321587389449013</v>
      </c>
      <c r="G598" s="306">
        <f t="shared" ca="1" si="272"/>
        <v>10.931923599789075</v>
      </c>
      <c r="H598" s="307">
        <f t="shared" ca="1" si="273"/>
        <v>-119.91145691340432</v>
      </c>
      <c r="I598" s="304">
        <f t="shared" ca="1" si="274"/>
        <v>120.40873910429777</v>
      </c>
      <c r="J598" s="306">
        <f t="shared" ca="1" si="275"/>
        <v>770.52896740167785</v>
      </c>
      <c r="K598" s="307">
        <f t="shared" ca="1" si="276"/>
        <v>-9.8902940631418392</v>
      </c>
      <c r="L598" s="304">
        <f t="shared" ca="1" si="261"/>
        <v>770.59243931000992</v>
      </c>
      <c r="M598" s="306">
        <f t="shared" ca="1" si="277"/>
        <v>-1.47988101597194</v>
      </c>
      <c r="N598" s="304">
        <f t="shared" ca="1" si="278"/>
        <v>-84.790936396724533</v>
      </c>
      <c r="P598" s="310">
        <f t="shared" ca="1" si="279"/>
        <v>23</v>
      </c>
      <c r="Q598" s="304">
        <f t="shared" ca="1" si="280"/>
        <v>0</v>
      </c>
      <c r="R598" s="306">
        <f t="shared" ca="1" si="281"/>
        <v>0</v>
      </c>
      <c r="S598" s="307">
        <f t="shared" ca="1" si="282"/>
        <v>7.4499999999999984</v>
      </c>
      <c r="T598" s="304">
        <f t="shared" ca="1" si="262"/>
        <v>73.084499999999991</v>
      </c>
      <c r="U598" s="311">
        <f t="shared" ca="1" si="263"/>
        <v>0</v>
      </c>
      <c r="V598" s="306">
        <f t="shared" ca="1" si="264"/>
        <v>1.2262121604539018</v>
      </c>
      <c r="W598" s="304">
        <f t="shared" ca="1" si="265"/>
        <v>58.350614213872355</v>
      </c>
      <c r="Y598" s="314" t="str">
        <f t="shared" ca="1" si="283"/>
        <v/>
      </c>
      <c r="Z598" s="315" t="str">
        <f t="shared" ca="1" si="284"/>
        <v/>
      </c>
      <c r="AA598" s="316" t="str">
        <f t="shared" ca="1" si="285"/>
        <v/>
      </c>
      <c r="AC598" s="310" t="e">
        <f t="shared" ca="1" si="286"/>
        <v>#N/A</v>
      </c>
      <c r="AD598" s="323" t="e">
        <f t="shared" ca="1" si="287"/>
        <v>#N/A</v>
      </c>
      <c r="AE598" s="324" t="e">
        <f t="shared" ca="1" si="266"/>
        <v>#N/A</v>
      </c>
      <c r="AG598" s="306">
        <f t="shared" ca="1" si="288"/>
        <v>1.9372219061735079</v>
      </c>
      <c r="AH598" s="304">
        <f t="shared" ca="1" si="289"/>
        <v>-7.8322626158317048</v>
      </c>
    </row>
    <row r="599" spans="1:34" x14ac:dyDescent="0.2">
      <c r="A599" s="347">
        <f t="shared" ca="1" si="267"/>
        <v>1E-4</v>
      </c>
      <c r="B599" s="304">
        <f t="shared" ca="1" si="268"/>
        <v>34.507000000000453</v>
      </c>
      <c r="D599" s="306">
        <f t="shared" ca="1" si="269"/>
        <v>-0.71109518583592557</v>
      </c>
      <c r="E599" s="307">
        <f t="shared" ca="1" si="270"/>
        <v>-2.0100497936759201</v>
      </c>
      <c r="F599" s="304">
        <f t="shared" ca="1" si="271"/>
        <v>2.1321248876122709</v>
      </c>
      <c r="G599" s="306">
        <f t="shared" ca="1" si="272"/>
        <v>10.931852490270492</v>
      </c>
      <c r="H599" s="307">
        <f t="shared" ca="1" si="273"/>
        <v>-119.9116579183837</v>
      </c>
      <c r="I599" s="304">
        <f t="shared" ca="1" si="274"/>
        <v>120.4089328231278</v>
      </c>
      <c r="J599" s="306">
        <f t="shared" ca="1" si="275"/>
        <v>770.52896740167785</v>
      </c>
      <c r="K599" s="307">
        <f t="shared" ca="1" si="276"/>
        <v>-9.9022852188834278</v>
      </c>
      <c r="L599" s="304">
        <f t="shared" ca="1" si="261"/>
        <v>770.59259330573116</v>
      </c>
      <c r="M599" s="306">
        <f t="shared" ca="1" si="277"/>
        <v>-1.4798817556604615</v>
      </c>
      <c r="N599" s="304">
        <f t="shared" ca="1" si="278"/>
        <v>-84.790978777754972</v>
      </c>
      <c r="P599" s="310">
        <f t="shared" ca="1" si="279"/>
        <v>23</v>
      </c>
      <c r="Q599" s="304">
        <f t="shared" ca="1" si="280"/>
        <v>0</v>
      </c>
      <c r="R599" s="306">
        <f t="shared" ca="1" si="281"/>
        <v>0</v>
      </c>
      <c r="S599" s="307">
        <f t="shared" ca="1" si="282"/>
        <v>7.4499999999999984</v>
      </c>
      <c r="T599" s="304">
        <f t="shared" ca="1" si="262"/>
        <v>73.084499999999991</v>
      </c>
      <c r="U599" s="311">
        <f t="shared" ca="1" si="263"/>
        <v>0</v>
      </c>
      <c r="V599" s="306">
        <f t="shared" ca="1" si="264"/>
        <v>1.2262136308252425</v>
      </c>
      <c r="W599" s="304">
        <f t="shared" ca="1" si="265"/>
        <v>58.350871937463062</v>
      </c>
      <c r="Y599" s="314" t="str">
        <f t="shared" ca="1" si="283"/>
        <v/>
      </c>
      <c r="Z599" s="315" t="str">
        <f t="shared" ca="1" si="284"/>
        <v/>
      </c>
      <c r="AA599" s="316" t="str">
        <f t="shared" ca="1" si="285"/>
        <v/>
      </c>
      <c r="AC599" s="310" t="e">
        <f t="shared" ca="1" si="286"/>
        <v>#N/A</v>
      </c>
      <c r="AD599" s="323" t="e">
        <f t="shared" ca="1" si="287"/>
        <v>#N/A</v>
      </c>
      <c r="AE599" s="324" t="e">
        <f t="shared" ca="1" si="266"/>
        <v>#N/A</v>
      </c>
      <c r="AG599" s="306">
        <f t="shared" ca="1" si="288"/>
        <v>1.9371879709028983</v>
      </c>
      <c r="AH599" s="304">
        <f t="shared" ca="1" si="289"/>
        <v>-7.8322972099157537</v>
      </c>
    </row>
    <row r="600" spans="1:34" x14ac:dyDescent="0.2">
      <c r="A600" s="347">
        <f t="shared" ca="1" si="267"/>
        <v>1E-4</v>
      </c>
      <c r="B600" s="304">
        <f t="shared" ca="1" si="268"/>
        <v>34.507100000000456</v>
      </c>
      <c r="D600" s="306">
        <f t="shared" ca="1" si="269"/>
        <v>-0.71109255704911445</v>
      </c>
      <c r="E600" s="307">
        <f t="shared" ca="1" si="270"/>
        <v>-2.0100148167867955</v>
      </c>
      <c r="F600" s="304">
        <f t="shared" ca="1" si="271"/>
        <v>2.1320910366100936</v>
      </c>
      <c r="G600" s="306">
        <f t="shared" ca="1" si="272"/>
        <v>10.931781381014787</v>
      </c>
      <c r="H600" s="307">
        <f t="shared" ca="1" si="273"/>
        <v>-119.91185891986538</v>
      </c>
      <c r="I600" s="304">
        <f t="shared" ca="1" si="274"/>
        <v>120.40912653856435</v>
      </c>
      <c r="J600" s="306">
        <f t="shared" ca="1" si="275"/>
        <v>770.52896740167785</v>
      </c>
      <c r="K600" s="307">
        <f t="shared" ca="1" si="276"/>
        <v>-9.9142763947253396</v>
      </c>
      <c r="L600" s="304">
        <f t="shared" ca="1" si="261"/>
        <v>770.59274748827409</v>
      </c>
      <c r="M600" s="306">
        <f t="shared" ca="1" si="277"/>
        <v>-1.4798824953417915</v>
      </c>
      <c r="N600" s="304">
        <f t="shared" ca="1" si="278"/>
        <v>-84.791021158373368</v>
      </c>
      <c r="P600" s="310">
        <f t="shared" ca="1" si="279"/>
        <v>23</v>
      </c>
      <c r="Q600" s="304">
        <f t="shared" ca="1" si="280"/>
        <v>0</v>
      </c>
      <c r="R600" s="306">
        <f t="shared" ca="1" si="281"/>
        <v>0</v>
      </c>
      <c r="S600" s="307">
        <f t="shared" ca="1" si="282"/>
        <v>7.4499999999999984</v>
      </c>
      <c r="T600" s="304">
        <f t="shared" ca="1" si="262"/>
        <v>73.084499999999991</v>
      </c>
      <c r="U600" s="311">
        <f t="shared" ca="1" si="263"/>
        <v>0</v>
      </c>
      <c r="V600" s="306">
        <f t="shared" ca="1" si="264"/>
        <v>1.2262151012008113</v>
      </c>
      <c r="W600" s="304">
        <f t="shared" ca="1" si="265"/>
        <v>58.351129658718321</v>
      </c>
      <c r="Y600" s="314" t="str">
        <f t="shared" ca="1" si="283"/>
        <v/>
      </c>
      <c r="Z600" s="315" t="str">
        <f t="shared" ca="1" si="284"/>
        <v/>
      </c>
      <c r="AA600" s="316" t="str">
        <f t="shared" ca="1" si="285"/>
        <v/>
      </c>
      <c r="AC600" s="310" t="e">
        <f t="shared" ca="1" si="286"/>
        <v>#N/A</v>
      </c>
      <c r="AD600" s="323" t="e">
        <f t="shared" ca="1" si="287"/>
        <v>#N/A</v>
      </c>
      <c r="AE600" s="324" t="e">
        <f t="shared" ca="1" si="266"/>
        <v>#N/A</v>
      </c>
      <c r="AG600" s="306">
        <f t="shared" ca="1" si="288"/>
        <v>1.9371540359340242</v>
      </c>
      <c r="AH600" s="304">
        <f t="shared" ca="1" si="289"/>
        <v>-7.8323318036863183</v>
      </c>
    </row>
    <row r="601" spans="1:34" x14ac:dyDescent="0.2">
      <c r="A601" s="347">
        <f t="shared" ca="1" si="267"/>
        <v>1E-4</v>
      </c>
      <c r="B601" s="304">
        <f t="shared" ca="1" si="268"/>
        <v>34.507200000000459</v>
      </c>
      <c r="D601" s="306">
        <f t="shared" ca="1" si="269"/>
        <v>-0.71108992823858208</v>
      </c>
      <c r="E601" s="307">
        <f t="shared" ca="1" si="270"/>
        <v>-2.0099798402145952</v>
      </c>
      <c r="F601" s="304">
        <f t="shared" ca="1" si="271"/>
        <v>2.1320571859383701</v>
      </c>
      <c r="G601" s="306">
        <f t="shared" ca="1" si="272"/>
        <v>10.931710272021963</v>
      </c>
      <c r="H601" s="307">
        <f t="shared" ca="1" si="273"/>
        <v>-119.9120599178494</v>
      </c>
      <c r="I601" s="304">
        <f t="shared" ca="1" si="274"/>
        <v>120.40932025060742</v>
      </c>
      <c r="J601" s="306">
        <f t="shared" ca="1" si="275"/>
        <v>770.52896740167785</v>
      </c>
      <c r="K601" s="307">
        <f t="shared" ca="1" si="276"/>
        <v>-9.9262675906672246</v>
      </c>
      <c r="L601" s="304">
        <f t="shared" ca="1" si="261"/>
        <v>770.5929018576395</v>
      </c>
      <c r="M601" s="306">
        <f t="shared" ca="1" si="277"/>
        <v>-1.4798832350159301</v>
      </c>
      <c r="N601" s="304">
        <f t="shared" ca="1" si="278"/>
        <v>-84.791063538579721</v>
      </c>
      <c r="P601" s="310">
        <f t="shared" ca="1" si="279"/>
        <v>23</v>
      </c>
      <c r="Q601" s="304">
        <f t="shared" ca="1" si="280"/>
        <v>0</v>
      </c>
      <c r="R601" s="306">
        <f t="shared" ca="1" si="281"/>
        <v>0</v>
      </c>
      <c r="S601" s="307">
        <f t="shared" ca="1" si="282"/>
        <v>7.4499999999999984</v>
      </c>
      <c r="T601" s="304">
        <f t="shared" ca="1" si="262"/>
        <v>73.084499999999991</v>
      </c>
      <c r="U601" s="311">
        <f t="shared" ca="1" si="263"/>
        <v>0</v>
      </c>
      <c r="V601" s="306">
        <f t="shared" ca="1" si="264"/>
        <v>1.2262165715806097</v>
      </c>
      <c r="W601" s="304">
        <f t="shared" ca="1" si="265"/>
        <v>58.351387377638169</v>
      </c>
      <c r="Y601" s="314" t="str">
        <f t="shared" ca="1" si="283"/>
        <v/>
      </c>
      <c r="Z601" s="315" t="str">
        <f t="shared" ca="1" si="284"/>
        <v/>
      </c>
      <c r="AA601" s="316" t="str">
        <f t="shared" ca="1" si="285"/>
        <v/>
      </c>
      <c r="AC601" s="310" t="e">
        <f t="shared" ca="1" si="286"/>
        <v>#N/A</v>
      </c>
      <c r="AD601" s="323" t="e">
        <f t="shared" ca="1" si="287"/>
        <v>#N/A</v>
      </c>
      <c r="AE601" s="324" t="e">
        <f t="shared" ca="1" si="266"/>
        <v>#N/A</v>
      </c>
      <c r="AG601" s="306">
        <f t="shared" ca="1" si="288"/>
        <v>1.9371201012668822</v>
      </c>
      <c r="AH601" s="304">
        <f t="shared" ca="1" si="289"/>
        <v>-7.8323663971434003</v>
      </c>
    </row>
    <row r="602" spans="1:34" x14ac:dyDescent="0.2">
      <c r="A602" s="347">
        <f t="shared" ca="1" si="267"/>
        <v>1E-4</v>
      </c>
      <c r="B602" s="304">
        <f t="shared" ca="1" si="268"/>
        <v>34.507300000000463</v>
      </c>
      <c r="D602" s="306">
        <f t="shared" ca="1" si="269"/>
        <v>-0.71108729940432869</v>
      </c>
      <c r="E602" s="307">
        <f t="shared" ca="1" si="270"/>
        <v>-2.0099448639593129</v>
      </c>
      <c r="F602" s="304">
        <f t="shared" ca="1" si="271"/>
        <v>2.1320233355970948</v>
      </c>
      <c r="G602" s="306">
        <f t="shared" ca="1" si="272"/>
        <v>10.931639163292022</v>
      </c>
      <c r="H602" s="307">
        <f t="shared" ca="1" si="273"/>
        <v>-119.9122609123358</v>
      </c>
      <c r="I602" s="304">
        <f t="shared" ca="1" si="274"/>
        <v>120.40951395925704</v>
      </c>
      <c r="J602" s="306">
        <f t="shared" ca="1" si="275"/>
        <v>770.52896740167785</v>
      </c>
      <c r="K602" s="307">
        <f t="shared" ca="1" si="276"/>
        <v>-9.9382588067087347</v>
      </c>
      <c r="L602" s="304">
        <f t="shared" ca="1" si="261"/>
        <v>770.59305641382798</v>
      </c>
      <c r="M602" s="306">
        <f t="shared" ca="1" si="277"/>
        <v>-1.4798839746828774</v>
      </c>
      <c r="N602" s="304">
        <f t="shared" ca="1" si="278"/>
        <v>-84.791105918374043</v>
      </c>
      <c r="P602" s="310">
        <f t="shared" ca="1" si="279"/>
        <v>23</v>
      </c>
      <c r="Q602" s="304">
        <f t="shared" ca="1" si="280"/>
        <v>0</v>
      </c>
      <c r="R602" s="306">
        <f t="shared" ca="1" si="281"/>
        <v>0</v>
      </c>
      <c r="S602" s="307">
        <f t="shared" ca="1" si="282"/>
        <v>7.4499999999999984</v>
      </c>
      <c r="T602" s="304">
        <f t="shared" ca="1" si="262"/>
        <v>73.084499999999991</v>
      </c>
      <c r="U602" s="311">
        <f t="shared" ca="1" si="263"/>
        <v>0</v>
      </c>
      <c r="V602" s="306">
        <f t="shared" ca="1" si="264"/>
        <v>1.226218041964636</v>
      </c>
      <c r="W602" s="304">
        <f t="shared" ca="1" si="265"/>
        <v>58.351645094222505</v>
      </c>
      <c r="Y602" s="314" t="str">
        <f t="shared" ca="1" si="283"/>
        <v/>
      </c>
      <c r="Z602" s="315" t="str">
        <f t="shared" ca="1" si="284"/>
        <v/>
      </c>
      <c r="AA602" s="316" t="str">
        <f t="shared" ca="1" si="285"/>
        <v/>
      </c>
      <c r="AC602" s="310" t="e">
        <f t="shared" ca="1" si="286"/>
        <v>#N/A</v>
      </c>
      <c r="AD602" s="323" t="e">
        <f t="shared" ca="1" si="287"/>
        <v>#N/A</v>
      </c>
      <c r="AE602" s="324" t="e">
        <f t="shared" ca="1" si="266"/>
        <v>#N/A</v>
      </c>
      <c r="AG602" s="306">
        <f t="shared" ca="1" si="288"/>
        <v>1.9370861669014658</v>
      </c>
      <c r="AH602" s="304">
        <f t="shared" ca="1" si="289"/>
        <v>-7.8324009902870042</v>
      </c>
    </row>
    <row r="603" spans="1:34" x14ac:dyDescent="0.2">
      <c r="A603" s="347">
        <f t="shared" ca="1" si="267"/>
        <v>1E-4</v>
      </c>
      <c r="B603" s="304">
        <f t="shared" ca="1" si="268"/>
        <v>34.507400000000466</v>
      </c>
      <c r="D603" s="306">
        <f t="shared" ca="1" si="269"/>
        <v>-0.71108467054635471</v>
      </c>
      <c r="E603" s="307">
        <f t="shared" ca="1" si="270"/>
        <v>-2.0099098880209629</v>
      </c>
      <c r="F603" s="304">
        <f t="shared" ca="1" si="271"/>
        <v>2.1319894855862818</v>
      </c>
      <c r="G603" s="306">
        <f t="shared" ca="1" si="272"/>
        <v>10.931568054824968</v>
      </c>
      <c r="H603" s="307">
        <f t="shared" ca="1" si="273"/>
        <v>-119.9124619033246</v>
      </c>
      <c r="I603" s="304">
        <f t="shared" ca="1" si="274"/>
        <v>120.40970766451325</v>
      </c>
      <c r="J603" s="306">
        <f t="shared" ca="1" si="275"/>
        <v>770.52896740167785</v>
      </c>
      <c r="K603" s="307">
        <f t="shared" ca="1" si="276"/>
        <v>-9.9502500428495182</v>
      </c>
      <c r="L603" s="304">
        <f t="shared" ca="1" si="261"/>
        <v>770.59321115684065</v>
      </c>
      <c r="M603" s="306">
        <f t="shared" ca="1" si="277"/>
        <v>-1.4798847143426332</v>
      </c>
      <c r="N603" s="304">
        <f t="shared" ca="1" si="278"/>
        <v>-84.791148297756337</v>
      </c>
      <c r="P603" s="310">
        <f t="shared" ca="1" si="279"/>
        <v>23</v>
      </c>
      <c r="Q603" s="304">
        <f t="shared" ca="1" si="280"/>
        <v>0</v>
      </c>
      <c r="R603" s="306">
        <f t="shared" ca="1" si="281"/>
        <v>0</v>
      </c>
      <c r="S603" s="307">
        <f t="shared" ca="1" si="282"/>
        <v>7.4499999999999984</v>
      </c>
      <c r="T603" s="304">
        <f t="shared" ca="1" si="262"/>
        <v>73.084499999999991</v>
      </c>
      <c r="U603" s="311">
        <f t="shared" ca="1" si="263"/>
        <v>0</v>
      </c>
      <c r="V603" s="306">
        <f t="shared" ca="1" si="264"/>
        <v>1.2262195123528914</v>
      </c>
      <c r="W603" s="304">
        <f t="shared" ca="1" si="265"/>
        <v>58.351902808471408</v>
      </c>
      <c r="Y603" s="314" t="str">
        <f t="shared" ca="1" si="283"/>
        <v/>
      </c>
      <c r="Z603" s="315" t="str">
        <f t="shared" ca="1" si="284"/>
        <v/>
      </c>
      <c r="AA603" s="316" t="str">
        <f t="shared" ca="1" si="285"/>
        <v/>
      </c>
      <c r="AC603" s="310" t="e">
        <f t="shared" ca="1" si="286"/>
        <v>#N/A</v>
      </c>
      <c r="AD603" s="323" t="e">
        <f t="shared" ca="1" si="287"/>
        <v>#N/A</v>
      </c>
      <c r="AE603" s="324" t="e">
        <f t="shared" ca="1" si="266"/>
        <v>#N/A</v>
      </c>
      <c r="AG603" s="306">
        <f t="shared" ca="1" si="288"/>
        <v>1.9370522328377939</v>
      </c>
      <c r="AH603" s="304">
        <f t="shared" ca="1" si="289"/>
        <v>-7.8324355831171166</v>
      </c>
    </row>
    <row r="604" spans="1:34" x14ac:dyDescent="0.2">
      <c r="A604" s="347">
        <f t="shared" ca="1" si="267"/>
        <v>1E-4</v>
      </c>
      <c r="B604" s="304">
        <f t="shared" ca="1" si="268"/>
        <v>34.507500000000469</v>
      </c>
      <c r="D604" s="306">
        <f t="shared" ca="1" si="269"/>
        <v>-0.71108204166466205</v>
      </c>
      <c r="E604" s="307">
        <f t="shared" ca="1" si="270"/>
        <v>-2.0098749123995354</v>
      </c>
      <c r="F604" s="304">
        <f t="shared" ca="1" si="271"/>
        <v>2.1319556359059222</v>
      </c>
      <c r="G604" s="306">
        <f t="shared" ca="1" si="272"/>
        <v>10.931496946620802</v>
      </c>
      <c r="H604" s="307">
        <f t="shared" ca="1" si="273"/>
        <v>-119.91266289081584</v>
      </c>
      <c r="I604" s="304">
        <f t="shared" ca="1" si="274"/>
        <v>120.4099013663761</v>
      </c>
      <c r="J604" s="306">
        <f t="shared" ca="1" si="275"/>
        <v>770.52896740167785</v>
      </c>
      <c r="K604" s="307">
        <f t="shared" ca="1" si="276"/>
        <v>-9.9622412990892251</v>
      </c>
      <c r="L604" s="304">
        <f t="shared" ca="1" si="261"/>
        <v>770.5933660866782</v>
      </c>
      <c r="M604" s="306">
        <f t="shared" ca="1" si="277"/>
        <v>-1.4798854539951982</v>
      </c>
      <c r="N604" s="304">
        <f t="shared" ca="1" si="278"/>
        <v>-84.791190676726615</v>
      </c>
      <c r="P604" s="310">
        <f t="shared" ca="1" si="279"/>
        <v>23</v>
      </c>
      <c r="Q604" s="304">
        <f t="shared" ca="1" si="280"/>
        <v>0</v>
      </c>
      <c r="R604" s="306">
        <f t="shared" ca="1" si="281"/>
        <v>0</v>
      </c>
      <c r="S604" s="307">
        <f t="shared" ca="1" si="282"/>
        <v>7.4499999999999984</v>
      </c>
      <c r="T604" s="304">
        <f t="shared" ca="1" si="262"/>
        <v>73.084499999999991</v>
      </c>
      <c r="U604" s="311">
        <f t="shared" ca="1" si="263"/>
        <v>0</v>
      </c>
      <c r="V604" s="306">
        <f t="shared" ca="1" si="264"/>
        <v>1.2262209827453754</v>
      </c>
      <c r="W604" s="304">
        <f t="shared" ca="1" si="265"/>
        <v>58.352160520384928</v>
      </c>
      <c r="Y604" s="314" t="str">
        <f t="shared" ca="1" si="283"/>
        <v/>
      </c>
      <c r="Z604" s="315" t="str">
        <f t="shared" ca="1" si="284"/>
        <v/>
      </c>
      <c r="AA604" s="316" t="str">
        <f t="shared" ca="1" si="285"/>
        <v/>
      </c>
      <c r="AC604" s="310" t="e">
        <f t="shared" ca="1" si="286"/>
        <v>#N/A</v>
      </c>
      <c r="AD604" s="323" t="e">
        <f t="shared" ca="1" si="287"/>
        <v>#N/A</v>
      </c>
      <c r="AE604" s="324" t="e">
        <f t="shared" ca="1" si="266"/>
        <v>#N/A</v>
      </c>
      <c r="AG604" s="306">
        <f t="shared" ca="1" si="288"/>
        <v>1.9370182990758513</v>
      </c>
      <c r="AH604" s="304">
        <f t="shared" ca="1" si="289"/>
        <v>-7.8324701756337474</v>
      </c>
    </row>
    <row r="605" spans="1:34" x14ac:dyDescent="0.2">
      <c r="A605" s="347">
        <f t="shared" ca="1" si="267"/>
        <v>1E-4</v>
      </c>
      <c r="B605" s="304">
        <f t="shared" ca="1" si="268"/>
        <v>34.507600000000473</v>
      </c>
      <c r="D605" s="306">
        <f t="shared" ca="1" si="269"/>
        <v>-0.71107941275924991</v>
      </c>
      <c r="E605" s="307">
        <f t="shared" ca="1" si="270"/>
        <v>-2.0098399370950215</v>
      </c>
      <c r="F605" s="304">
        <f t="shared" ca="1" si="271"/>
        <v>2.1319217865560076</v>
      </c>
      <c r="G605" s="306">
        <f t="shared" ca="1" si="272"/>
        <v>10.931425838679527</v>
      </c>
      <c r="H605" s="307">
        <f t="shared" ca="1" si="273"/>
        <v>-119.91286387480955</v>
      </c>
      <c r="I605" s="304">
        <f t="shared" ca="1" si="274"/>
        <v>120.41009506484561</v>
      </c>
      <c r="J605" s="306">
        <f t="shared" ca="1" si="275"/>
        <v>770.52896740167785</v>
      </c>
      <c r="K605" s="307">
        <f t="shared" ca="1" si="276"/>
        <v>-9.9742325754275072</v>
      </c>
      <c r="L605" s="304">
        <f t="shared" ca="1" si="261"/>
        <v>770.59352120334154</v>
      </c>
      <c r="M605" s="306">
        <f t="shared" ca="1" si="277"/>
        <v>-1.4798861936405721</v>
      </c>
      <c r="N605" s="304">
        <f t="shared" ca="1" si="278"/>
        <v>-84.791233055284863</v>
      </c>
      <c r="P605" s="310">
        <f t="shared" ca="1" si="279"/>
        <v>23</v>
      </c>
      <c r="Q605" s="304">
        <f t="shared" ca="1" si="280"/>
        <v>0</v>
      </c>
      <c r="R605" s="306">
        <f t="shared" ca="1" si="281"/>
        <v>0</v>
      </c>
      <c r="S605" s="307">
        <f t="shared" ca="1" si="282"/>
        <v>7.4499999999999984</v>
      </c>
      <c r="T605" s="304">
        <f t="shared" ca="1" si="262"/>
        <v>73.084499999999991</v>
      </c>
      <c r="U605" s="311">
        <f t="shared" ca="1" si="263"/>
        <v>0</v>
      </c>
      <c r="V605" s="306">
        <f t="shared" ca="1" si="264"/>
        <v>1.2262224531420873</v>
      </c>
      <c r="W605" s="304">
        <f t="shared" ca="1" si="265"/>
        <v>58.352418229962964</v>
      </c>
      <c r="Y605" s="314" t="str">
        <f t="shared" ca="1" si="283"/>
        <v/>
      </c>
      <c r="Z605" s="315" t="str">
        <f t="shared" ca="1" si="284"/>
        <v/>
      </c>
      <c r="AA605" s="316" t="str">
        <f t="shared" ca="1" si="285"/>
        <v/>
      </c>
      <c r="AC605" s="310" t="e">
        <f t="shared" ca="1" si="286"/>
        <v>#N/A</v>
      </c>
      <c r="AD605" s="323" t="e">
        <f t="shared" ca="1" si="287"/>
        <v>#N/A</v>
      </c>
      <c r="AE605" s="324" t="e">
        <f t="shared" ca="1" si="266"/>
        <v>#N/A</v>
      </c>
      <c r="AG605" s="306">
        <f t="shared" ca="1" si="288"/>
        <v>1.9369843656156371</v>
      </c>
      <c r="AH605" s="304">
        <f t="shared" ca="1" si="289"/>
        <v>-7.8325047678369044</v>
      </c>
    </row>
    <row r="606" spans="1:34" x14ac:dyDescent="0.2">
      <c r="A606" s="347">
        <f t="shared" ca="1" si="267"/>
        <v>1E-4</v>
      </c>
      <c r="B606" s="304">
        <f t="shared" ca="1" si="268"/>
        <v>34.507700000000476</v>
      </c>
      <c r="D606" s="306">
        <f t="shared" ca="1" si="269"/>
        <v>-0.71107678383011985</v>
      </c>
      <c r="E606" s="307">
        <f t="shared" ca="1" si="270"/>
        <v>-2.0098049621074363</v>
      </c>
      <c r="F606" s="304">
        <f t="shared" ca="1" si="271"/>
        <v>2.1318879375365536</v>
      </c>
      <c r="G606" s="306">
        <f t="shared" ca="1" si="272"/>
        <v>10.931354731001143</v>
      </c>
      <c r="H606" s="307">
        <f t="shared" ca="1" si="273"/>
        <v>-119.91306485530576</v>
      </c>
      <c r="I606" s="304">
        <f t="shared" ca="1" si="274"/>
        <v>120.41028875992178</v>
      </c>
      <c r="J606" s="306">
        <f t="shared" ca="1" si="275"/>
        <v>770.52896740167785</v>
      </c>
      <c r="K606" s="307">
        <f t="shared" ca="1" si="276"/>
        <v>-9.9862238718640128</v>
      </c>
      <c r="L606" s="304">
        <f t="shared" ca="1" si="261"/>
        <v>770.59367650683123</v>
      </c>
      <c r="M606" s="306">
        <f t="shared" ca="1" si="277"/>
        <v>-1.479886933278755</v>
      </c>
      <c r="N606" s="304">
        <f t="shared" ca="1" si="278"/>
        <v>-84.79127543343111</v>
      </c>
      <c r="P606" s="310">
        <f t="shared" ca="1" si="279"/>
        <v>23</v>
      </c>
      <c r="Q606" s="304">
        <f t="shared" ca="1" si="280"/>
        <v>0</v>
      </c>
      <c r="R606" s="306">
        <f t="shared" ca="1" si="281"/>
        <v>0</v>
      </c>
      <c r="S606" s="307">
        <f t="shared" ca="1" si="282"/>
        <v>7.4499999999999984</v>
      </c>
      <c r="T606" s="304">
        <f t="shared" ca="1" si="262"/>
        <v>73.084499999999991</v>
      </c>
      <c r="U606" s="311">
        <f t="shared" ca="1" si="263"/>
        <v>0</v>
      </c>
      <c r="V606" s="306">
        <f t="shared" ca="1" si="264"/>
        <v>1.2262239235430283</v>
      </c>
      <c r="W606" s="304">
        <f t="shared" ca="1" si="265"/>
        <v>58.352675937205575</v>
      </c>
      <c r="Y606" s="314" t="str">
        <f t="shared" ca="1" si="283"/>
        <v/>
      </c>
      <c r="Z606" s="315" t="str">
        <f t="shared" ca="1" si="284"/>
        <v/>
      </c>
      <c r="AA606" s="316" t="str">
        <f t="shared" ca="1" si="285"/>
        <v/>
      </c>
      <c r="AC606" s="310" t="e">
        <f t="shared" ca="1" si="286"/>
        <v>#N/A</v>
      </c>
      <c r="AD606" s="323" t="e">
        <f t="shared" ca="1" si="287"/>
        <v>#N/A</v>
      </c>
      <c r="AE606" s="324" t="e">
        <f t="shared" ca="1" si="266"/>
        <v>#N/A</v>
      </c>
      <c r="AG606" s="306">
        <f t="shared" ca="1" si="288"/>
        <v>1.9369504324571558</v>
      </c>
      <c r="AH606" s="304">
        <f t="shared" ca="1" si="289"/>
        <v>-7.8325393597265744</v>
      </c>
    </row>
    <row r="607" spans="1:34" x14ac:dyDescent="0.2">
      <c r="A607" s="347">
        <f t="shared" ca="1" si="267"/>
        <v>1E-4</v>
      </c>
      <c r="B607" s="304">
        <f t="shared" ca="1" si="268"/>
        <v>34.507800000000479</v>
      </c>
      <c r="D607" s="306">
        <f t="shared" ca="1" si="269"/>
        <v>-0.71107415487727232</v>
      </c>
      <c r="E607" s="307">
        <f t="shared" ca="1" si="270"/>
        <v>-2.0097699874367709</v>
      </c>
      <c r="F607" s="304">
        <f t="shared" ca="1" si="271"/>
        <v>2.1318540888475521</v>
      </c>
      <c r="G607" s="306">
        <f t="shared" ca="1" si="272"/>
        <v>10.931283623585655</v>
      </c>
      <c r="H607" s="307">
        <f t="shared" ca="1" si="273"/>
        <v>-119.9132658323045</v>
      </c>
      <c r="I607" s="304">
        <f t="shared" ca="1" si="274"/>
        <v>120.41048245160468</v>
      </c>
      <c r="J607" s="306">
        <f t="shared" ca="1" si="275"/>
        <v>770.52896740167785</v>
      </c>
      <c r="K607" s="307">
        <f t="shared" ca="1" si="276"/>
        <v>-9.9982151883983938</v>
      </c>
      <c r="L607" s="304">
        <f t="shared" ca="1" si="261"/>
        <v>770.59383199714841</v>
      </c>
      <c r="M607" s="306">
        <f t="shared" ca="1" si="277"/>
        <v>-1.479887672909747</v>
      </c>
      <c r="N607" s="304">
        <f t="shared" ca="1" si="278"/>
        <v>-84.791317811165356</v>
      </c>
      <c r="P607" s="310">
        <f t="shared" ca="1" si="279"/>
        <v>23</v>
      </c>
      <c r="Q607" s="304">
        <f t="shared" ca="1" si="280"/>
        <v>0</v>
      </c>
      <c r="R607" s="306">
        <f t="shared" ca="1" si="281"/>
        <v>0</v>
      </c>
      <c r="S607" s="307">
        <f t="shared" ca="1" si="282"/>
        <v>7.4499999999999984</v>
      </c>
      <c r="T607" s="304">
        <f t="shared" ca="1" si="262"/>
        <v>73.084499999999991</v>
      </c>
      <c r="U607" s="311">
        <f t="shared" ca="1" si="263"/>
        <v>0</v>
      </c>
      <c r="V607" s="306">
        <f t="shared" ca="1" si="264"/>
        <v>1.2262253939481982</v>
      </c>
      <c r="W607" s="304">
        <f t="shared" ca="1" si="265"/>
        <v>58.352933642112781</v>
      </c>
      <c r="Y607" s="314" t="str">
        <f t="shared" ca="1" si="283"/>
        <v/>
      </c>
      <c r="Z607" s="315" t="str">
        <f t="shared" ca="1" si="284"/>
        <v/>
      </c>
      <c r="AA607" s="316" t="str">
        <f t="shared" ca="1" si="285"/>
        <v/>
      </c>
      <c r="AC607" s="310" t="e">
        <f t="shared" ca="1" si="286"/>
        <v>#N/A</v>
      </c>
      <c r="AD607" s="323" t="e">
        <f t="shared" ca="1" si="287"/>
        <v>#N/A</v>
      </c>
      <c r="AE607" s="324" t="e">
        <f t="shared" ca="1" si="266"/>
        <v>#N/A</v>
      </c>
      <c r="AG607" s="306">
        <f t="shared" ca="1" si="288"/>
        <v>1.93691649960041</v>
      </c>
      <c r="AH607" s="304">
        <f t="shared" ca="1" si="289"/>
        <v>-7.8325739513027637</v>
      </c>
    </row>
    <row r="608" spans="1:34" x14ac:dyDescent="0.2">
      <c r="A608" s="347">
        <f t="shared" ca="1" si="267"/>
        <v>1E-4</v>
      </c>
      <c r="B608" s="304">
        <f t="shared" ca="1" si="268"/>
        <v>34.507900000000483</v>
      </c>
      <c r="D608" s="306">
        <f t="shared" ca="1" si="269"/>
        <v>-0.71107152590070899</v>
      </c>
      <c r="E608" s="307">
        <f t="shared" ca="1" si="270"/>
        <v>-2.0097350130830236</v>
      </c>
      <c r="F608" s="304">
        <f t="shared" ca="1" si="271"/>
        <v>2.1318202404890014</v>
      </c>
      <c r="G608" s="306">
        <f t="shared" ca="1" si="272"/>
        <v>10.931212516433064</v>
      </c>
      <c r="H608" s="307">
        <f t="shared" ca="1" si="273"/>
        <v>-119.91346680580581</v>
      </c>
      <c r="I608" s="304">
        <f t="shared" ca="1" si="274"/>
        <v>120.41067613989431</v>
      </c>
      <c r="J608" s="306">
        <f t="shared" ca="1" si="275"/>
        <v>770.52896740167785</v>
      </c>
      <c r="K608" s="307">
        <f t="shared" ca="1" si="276"/>
        <v>-10.010206525030299</v>
      </c>
      <c r="L608" s="304">
        <f t="shared" ca="1" si="261"/>
        <v>770.59398767429388</v>
      </c>
      <c r="M608" s="306">
        <f t="shared" ca="1" si="277"/>
        <v>-1.4798884125335483</v>
      </c>
      <c r="N608" s="304">
        <f t="shared" ca="1" si="278"/>
        <v>-84.791360188487602</v>
      </c>
      <c r="P608" s="310">
        <f t="shared" ca="1" si="279"/>
        <v>23</v>
      </c>
      <c r="Q608" s="304">
        <f t="shared" ca="1" si="280"/>
        <v>0</v>
      </c>
      <c r="R608" s="306">
        <f t="shared" ca="1" si="281"/>
        <v>0</v>
      </c>
      <c r="S608" s="307">
        <f t="shared" ca="1" si="282"/>
        <v>7.4499999999999984</v>
      </c>
      <c r="T608" s="304">
        <f t="shared" ca="1" si="262"/>
        <v>73.084499999999991</v>
      </c>
      <c r="U608" s="311">
        <f t="shared" ca="1" si="263"/>
        <v>0</v>
      </c>
      <c r="V608" s="306">
        <f t="shared" ca="1" si="264"/>
        <v>1.2262268643575964</v>
      </c>
      <c r="W608" s="304">
        <f t="shared" ca="1" si="265"/>
        <v>58.353191344684532</v>
      </c>
      <c r="Y608" s="314" t="str">
        <f t="shared" ca="1" si="283"/>
        <v/>
      </c>
      <c r="Z608" s="315" t="str">
        <f t="shared" ca="1" si="284"/>
        <v/>
      </c>
      <c r="AA608" s="316" t="str">
        <f t="shared" ca="1" si="285"/>
        <v/>
      </c>
      <c r="AC608" s="310" t="e">
        <f t="shared" ca="1" si="286"/>
        <v>#N/A</v>
      </c>
      <c r="AD608" s="323" t="e">
        <f t="shared" ca="1" si="287"/>
        <v>#N/A</v>
      </c>
      <c r="AE608" s="324" t="e">
        <f t="shared" ca="1" si="266"/>
        <v>#N/A</v>
      </c>
      <c r="AG608" s="306">
        <f t="shared" ca="1" si="288"/>
        <v>1.9368825670453926</v>
      </c>
      <c r="AH608" s="304">
        <f t="shared" ca="1" si="289"/>
        <v>-7.8326085425654757</v>
      </c>
    </row>
    <row r="609" spans="1:34" x14ac:dyDescent="0.2">
      <c r="A609" s="347">
        <f t="shared" ca="1" si="267"/>
        <v>1E-4</v>
      </c>
      <c r="B609" s="304">
        <f t="shared" ca="1" si="268"/>
        <v>34.508000000000486</v>
      </c>
      <c r="D609" s="306">
        <f t="shared" ca="1" si="269"/>
        <v>-0.71106889690042929</v>
      </c>
      <c r="E609" s="307">
        <f t="shared" ca="1" si="270"/>
        <v>-2.0097000390462014</v>
      </c>
      <c r="F609" s="304">
        <f t="shared" ca="1" si="271"/>
        <v>2.1317863924609091</v>
      </c>
      <c r="G609" s="306">
        <f t="shared" ca="1" si="272"/>
        <v>10.931141409543374</v>
      </c>
      <c r="H609" s="307">
        <f t="shared" ca="1" si="273"/>
        <v>-119.91366777580971</v>
      </c>
      <c r="I609" s="304">
        <f t="shared" ca="1" si="274"/>
        <v>120.41086982479074</v>
      </c>
      <c r="J609" s="306">
        <f t="shared" ca="1" si="275"/>
        <v>770.52896740167785</v>
      </c>
      <c r="K609" s="307">
        <f t="shared" ca="1" si="276"/>
        <v>-10.022197881759379</v>
      </c>
      <c r="L609" s="304">
        <f t="shared" ca="1" si="261"/>
        <v>770.59414353826821</v>
      </c>
      <c r="M609" s="306">
        <f t="shared" ca="1" si="277"/>
        <v>-1.4798891521501591</v>
      </c>
      <c r="N609" s="304">
        <f t="shared" ca="1" si="278"/>
        <v>-84.79140256539786</v>
      </c>
      <c r="P609" s="310">
        <f t="shared" ca="1" si="279"/>
        <v>23</v>
      </c>
      <c r="Q609" s="304">
        <f t="shared" ca="1" si="280"/>
        <v>0</v>
      </c>
      <c r="R609" s="306">
        <f t="shared" ca="1" si="281"/>
        <v>0</v>
      </c>
      <c r="S609" s="307">
        <f t="shared" ca="1" si="282"/>
        <v>7.4499999999999984</v>
      </c>
      <c r="T609" s="304">
        <f t="shared" ca="1" si="262"/>
        <v>73.084499999999991</v>
      </c>
      <c r="U609" s="311">
        <f t="shared" ca="1" si="263"/>
        <v>0</v>
      </c>
      <c r="V609" s="306">
        <f t="shared" ca="1" si="264"/>
        <v>1.2262283347712228</v>
      </c>
      <c r="W609" s="304">
        <f t="shared" ca="1" si="265"/>
        <v>58.3534490449209</v>
      </c>
      <c r="Y609" s="314" t="str">
        <f t="shared" ca="1" si="283"/>
        <v/>
      </c>
      <c r="Z609" s="315" t="str">
        <f t="shared" ca="1" si="284"/>
        <v/>
      </c>
      <c r="AA609" s="316" t="str">
        <f t="shared" ca="1" si="285"/>
        <v/>
      </c>
      <c r="AC609" s="310" t="e">
        <f t="shared" ca="1" si="286"/>
        <v>#N/A</v>
      </c>
      <c r="AD609" s="323" t="e">
        <f t="shared" ca="1" si="287"/>
        <v>#N/A</v>
      </c>
      <c r="AE609" s="324" t="e">
        <f t="shared" ca="1" si="266"/>
        <v>#N/A</v>
      </c>
      <c r="AG609" s="306">
        <f t="shared" ca="1" si="288"/>
        <v>1.9368486347921081</v>
      </c>
      <c r="AH609" s="304">
        <f t="shared" ca="1" si="289"/>
        <v>-7.8326431335147042</v>
      </c>
    </row>
    <row r="610" spans="1:34" x14ac:dyDescent="0.2">
      <c r="A610" s="347">
        <f t="shared" ca="1" si="267"/>
        <v>1E-4</v>
      </c>
      <c r="B610" s="304">
        <f t="shared" ca="1" si="268"/>
        <v>34.508100000000489</v>
      </c>
      <c r="D610" s="306">
        <f t="shared" ca="1" si="269"/>
        <v>-0.71106626787643334</v>
      </c>
      <c r="E610" s="307">
        <f t="shared" ca="1" si="270"/>
        <v>-2.0096650653262929</v>
      </c>
      <c r="F610" s="304">
        <f t="shared" ca="1" si="271"/>
        <v>2.1317525447632644</v>
      </c>
      <c r="G610" s="306">
        <f t="shared" ca="1" si="272"/>
        <v>10.931070302916586</v>
      </c>
      <c r="H610" s="307">
        <f t="shared" ca="1" si="273"/>
        <v>-119.91386874231624</v>
      </c>
      <c r="I610" s="304">
        <f t="shared" ca="1" si="274"/>
        <v>120.41106350629394</v>
      </c>
      <c r="J610" s="306">
        <f t="shared" ca="1" si="275"/>
        <v>770.52896740167785</v>
      </c>
      <c r="K610" s="307">
        <f t="shared" ca="1" si="276"/>
        <v>-10.034189258585284</v>
      </c>
      <c r="L610" s="304">
        <f t="shared" ca="1" si="261"/>
        <v>770.59429958907242</v>
      </c>
      <c r="M610" s="306">
        <f t="shared" ca="1" si="277"/>
        <v>-1.4798898917595793</v>
      </c>
      <c r="N610" s="304">
        <f t="shared" ca="1" si="278"/>
        <v>-84.791444941896117</v>
      </c>
      <c r="P610" s="310">
        <f t="shared" ca="1" si="279"/>
        <v>23</v>
      </c>
      <c r="Q610" s="304">
        <f t="shared" ca="1" si="280"/>
        <v>0</v>
      </c>
      <c r="R610" s="306">
        <f t="shared" ca="1" si="281"/>
        <v>0</v>
      </c>
      <c r="S610" s="307">
        <f t="shared" ca="1" si="282"/>
        <v>7.4499999999999984</v>
      </c>
      <c r="T610" s="304">
        <f t="shared" ca="1" si="262"/>
        <v>73.084499999999991</v>
      </c>
      <c r="U610" s="311">
        <f t="shared" ca="1" si="263"/>
        <v>0</v>
      </c>
      <c r="V610" s="306">
        <f t="shared" ca="1" si="264"/>
        <v>1.2262298051890776</v>
      </c>
      <c r="W610" s="304">
        <f t="shared" ca="1" si="265"/>
        <v>58.353706742821807</v>
      </c>
      <c r="Y610" s="314" t="str">
        <f t="shared" ca="1" si="283"/>
        <v/>
      </c>
      <c r="Z610" s="315" t="str">
        <f t="shared" ca="1" si="284"/>
        <v/>
      </c>
      <c r="AA610" s="316" t="str">
        <f t="shared" ca="1" si="285"/>
        <v/>
      </c>
      <c r="AC610" s="310" t="e">
        <f t="shared" ca="1" si="286"/>
        <v>#N/A</v>
      </c>
      <c r="AD610" s="323" t="e">
        <f t="shared" ca="1" si="287"/>
        <v>#N/A</v>
      </c>
      <c r="AE610" s="324" t="e">
        <f t="shared" ca="1" si="266"/>
        <v>#N/A</v>
      </c>
      <c r="AG610" s="306">
        <f t="shared" ca="1" si="288"/>
        <v>1.9368147028405511</v>
      </c>
      <c r="AH610" s="304">
        <f t="shared" ca="1" si="289"/>
        <v>-7.8326777241504582</v>
      </c>
    </row>
    <row r="611" spans="1:34" x14ac:dyDescent="0.2">
      <c r="A611" s="347">
        <f t="shared" ca="1" si="267"/>
        <v>1E-4</v>
      </c>
      <c r="B611" s="304">
        <f t="shared" ca="1" si="268"/>
        <v>34.508200000000492</v>
      </c>
      <c r="D611" s="306">
        <f t="shared" ca="1" si="269"/>
        <v>-0.7110636388287237</v>
      </c>
      <c r="E611" s="307">
        <f t="shared" ca="1" si="270"/>
        <v>-2.0096300919233094</v>
      </c>
      <c r="F611" s="304">
        <f t="shared" ca="1" si="271"/>
        <v>2.1317186973960789</v>
      </c>
      <c r="G611" s="306">
        <f t="shared" ca="1" si="272"/>
        <v>10.930999196552703</v>
      </c>
      <c r="H611" s="307">
        <f t="shared" ca="1" si="273"/>
        <v>-119.91406970532543</v>
      </c>
      <c r="I611" s="304">
        <f t="shared" ca="1" si="274"/>
        <v>120.41125718440399</v>
      </c>
      <c r="J611" s="306">
        <f t="shared" ca="1" si="275"/>
        <v>770.52896740167785</v>
      </c>
      <c r="K611" s="307">
        <f t="shared" ca="1" si="276"/>
        <v>-10.046180655507666</v>
      </c>
      <c r="L611" s="304">
        <f t="shared" ca="1" si="261"/>
        <v>770.5944558267073</v>
      </c>
      <c r="M611" s="306">
        <f t="shared" ca="1" si="277"/>
        <v>-1.4798906313618092</v>
      </c>
      <c r="N611" s="304">
        <f t="shared" ca="1" si="278"/>
        <v>-84.791487317982416</v>
      </c>
      <c r="P611" s="310">
        <f t="shared" ca="1" si="279"/>
        <v>23</v>
      </c>
      <c r="Q611" s="304">
        <f t="shared" ca="1" si="280"/>
        <v>0</v>
      </c>
      <c r="R611" s="306">
        <f t="shared" ca="1" si="281"/>
        <v>0</v>
      </c>
      <c r="S611" s="307">
        <f t="shared" ca="1" si="282"/>
        <v>7.4499999999999984</v>
      </c>
      <c r="T611" s="304">
        <f t="shared" ca="1" si="262"/>
        <v>73.084499999999991</v>
      </c>
      <c r="U611" s="311">
        <f t="shared" ca="1" si="263"/>
        <v>0</v>
      </c>
      <c r="V611" s="306">
        <f t="shared" ca="1" si="264"/>
        <v>1.2262312756111611</v>
      </c>
      <c r="W611" s="304">
        <f t="shared" ca="1" si="265"/>
        <v>58.353964438387322</v>
      </c>
      <c r="Y611" s="314" t="str">
        <f t="shared" ca="1" si="283"/>
        <v/>
      </c>
      <c r="Z611" s="315" t="str">
        <f t="shared" ca="1" si="284"/>
        <v/>
      </c>
      <c r="AA611" s="316" t="str">
        <f t="shared" ca="1" si="285"/>
        <v/>
      </c>
      <c r="AC611" s="310" t="e">
        <f t="shared" ca="1" si="286"/>
        <v>#N/A</v>
      </c>
      <c r="AD611" s="323" t="e">
        <f t="shared" ca="1" si="287"/>
        <v>#N/A</v>
      </c>
      <c r="AE611" s="324" t="e">
        <f t="shared" ca="1" si="266"/>
        <v>#N/A</v>
      </c>
      <c r="AG611" s="306">
        <f t="shared" ca="1" si="288"/>
        <v>1.9367807711907314</v>
      </c>
      <c r="AH611" s="304">
        <f t="shared" ca="1" si="289"/>
        <v>-7.8327123144727278</v>
      </c>
    </row>
    <row r="612" spans="1:34" x14ac:dyDescent="0.2">
      <c r="A612" s="347">
        <f t="shared" ca="1" si="267"/>
        <v>1E-4</v>
      </c>
      <c r="B612" s="304">
        <f t="shared" ca="1" si="268"/>
        <v>34.508300000000496</v>
      </c>
      <c r="D612" s="306">
        <f t="shared" ca="1" si="269"/>
        <v>-0.71106100975729902</v>
      </c>
      <c r="E612" s="307">
        <f t="shared" ca="1" si="270"/>
        <v>-2.0095951188372423</v>
      </c>
      <c r="F612" s="304">
        <f t="shared" ca="1" si="271"/>
        <v>2.1316848503593442</v>
      </c>
      <c r="G612" s="306">
        <f t="shared" ca="1" si="272"/>
        <v>10.930928090451728</v>
      </c>
      <c r="H612" s="307">
        <f t="shared" ca="1" si="273"/>
        <v>-119.91427066483732</v>
      </c>
      <c r="I612" s="304">
        <f t="shared" ca="1" si="274"/>
        <v>120.41145085912092</v>
      </c>
      <c r="J612" s="306">
        <f t="shared" ca="1" si="275"/>
        <v>770.52896740167785</v>
      </c>
      <c r="K612" s="307">
        <f t="shared" ca="1" si="276"/>
        <v>-10.058172072526174</v>
      </c>
      <c r="L612" s="304">
        <f t="shared" ca="1" si="261"/>
        <v>770.59461225117354</v>
      </c>
      <c r="M612" s="306">
        <f t="shared" ca="1" si="277"/>
        <v>-1.4798913709568486</v>
      </c>
      <c r="N612" s="304">
        <f t="shared" ca="1" si="278"/>
        <v>-84.791529693656727</v>
      </c>
      <c r="P612" s="310">
        <f t="shared" ca="1" si="279"/>
        <v>23</v>
      </c>
      <c r="Q612" s="304">
        <f t="shared" ca="1" si="280"/>
        <v>0</v>
      </c>
      <c r="R612" s="306">
        <f t="shared" ca="1" si="281"/>
        <v>0</v>
      </c>
      <c r="S612" s="307">
        <f t="shared" ca="1" si="282"/>
        <v>7.4499999999999984</v>
      </c>
      <c r="T612" s="304">
        <f t="shared" ca="1" si="262"/>
        <v>73.084499999999991</v>
      </c>
      <c r="U612" s="311">
        <f t="shared" ca="1" si="263"/>
        <v>0</v>
      </c>
      <c r="V612" s="306">
        <f t="shared" ca="1" si="264"/>
        <v>1.2262327460374731</v>
      </c>
      <c r="W612" s="304">
        <f t="shared" ca="1" si="265"/>
        <v>58.354222131617433</v>
      </c>
      <c r="Y612" s="314" t="str">
        <f t="shared" ca="1" si="283"/>
        <v/>
      </c>
      <c r="Z612" s="315" t="str">
        <f t="shared" ca="1" si="284"/>
        <v/>
      </c>
      <c r="AA612" s="316" t="str">
        <f t="shared" ca="1" si="285"/>
        <v/>
      </c>
      <c r="AC612" s="310" t="e">
        <f t="shared" ca="1" si="286"/>
        <v>#N/A</v>
      </c>
      <c r="AD612" s="323" t="e">
        <f t="shared" ca="1" si="287"/>
        <v>#N/A</v>
      </c>
      <c r="AE612" s="324" t="e">
        <f t="shared" ca="1" si="266"/>
        <v>#N/A</v>
      </c>
      <c r="AG612" s="306">
        <f t="shared" ca="1" si="288"/>
        <v>1.9367468398426402</v>
      </c>
      <c r="AH612" s="304">
        <f t="shared" ca="1" si="289"/>
        <v>-7.8327469044815219</v>
      </c>
    </row>
    <row r="613" spans="1:34" x14ac:dyDescent="0.2">
      <c r="A613" s="347">
        <f t="shared" ca="1" si="267"/>
        <v>1E-4</v>
      </c>
      <c r="B613" s="304">
        <f t="shared" ca="1" si="268"/>
        <v>34.508400000000499</v>
      </c>
      <c r="D613" s="306">
        <f t="shared" ca="1" si="269"/>
        <v>-0.71105838066216254</v>
      </c>
      <c r="E613" s="307">
        <f t="shared" ca="1" si="270"/>
        <v>-2.0095601460680923</v>
      </c>
      <c r="F613" s="304">
        <f t="shared" ca="1" si="271"/>
        <v>2.1316510036530625</v>
      </c>
      <c r="G613" s="306">
        <f t="shared" ca="1" si="272"/>
        <v>10.930856984613662</v>
      </c>
      <c r="H613" s="307">
        <f t="shared" ca="1" si="273"/>
        <v>-119.91447162085193</v>
      </c>
      <c r="I613" s="304">
        <f t="shared" ca="1" si="274"/>
        <v>120.41164453044472</v>
      </c>
      <c r="J613" s="306">
        <f t="shared" ca="1" si="275"/>
        <v>770.52896740167785</v>
      </c>
      <c r="K613" s="307">
        <f t="shared" ca="1" si="276"/>
        <v>-10.070163509640459</v>
      </c>
      <c r="L613" s="304">
        <f t="shared" ca="1" si="261"/>
        <v>770.59476886247205</v>
      </c>
      <c r="M613" s="306">
        <f t="shared" ca="1" si="277"/>
        <v>-1.479892110544698</v>
      </c>
      <c r="N613" s="304">
        <f t="shared" ca="1" si="278"/>
        <v>-84.791572068919066</v>
      </c>
      <c r="P613" s="310">
        <f t="shared" ca="1" si="279"/>
        <v>23</v>
      </c>
      <c r="Q613" s="304">
        <f t="shared" ca="1" si="280"/>
        <v>0</v>
      </c>
      <c r="R613" s="306">
        <f t="shared" ca="1" si="281"/>
        <v>0</v>
      </c>
      <c r="S613" s="307">
        <f t="shared" ca="1" si="282"/>
        <v>7.4499999999999984</v>
      </c>
      <c r="T613" s="304">
        <f t="shared" ca="1" si="262"/>
        <v>73.084499999999991</v>
      </c>
      <c r="U613" s="311">
        <f t="shared" ca="1" si="263"/>
        <v>0</v>
      </c>
      <c r="V613" s="306">
        <f t="shared" ca="1" si="264"/>
        <v>1.2262342164680131</v>
      </c>
      <c r="W613" s="304">
        <f t="shared" ca="1" si="265"/>
        <v>58.354479822512111</v>
      </c>
      <c r="Y613" s="314" t="str">
        <f t="shared" ca="1" si="283"/>
        <v/>
      </c>
      <c r="Z613" s="315" t="str">
        <f t="shared" ca="1" si="284"/>
        <v/>
      </c>
      <c r="AA613" s="316" t="str">
        <f t="shared" ca="1" si="285"/>
        <v/>
      </c>
      <c r="AC613" s="310" t="e">
        <f t="shared" ca="1" si="286"/>
        <v>#N/A</v>
      </c>
      <c r="AD613" s="323" t="e">
        <f t="shared" ca="1" si="287"/>
        <v>#N/A</v>
      </c>
      <c r="AE613" s="324" t="e">
        <f t="shared" ca="1" si="266"/>
        <v>#N/A</v>
      </c>
      <c r="AG613" s="306">
        <f t="shared" ca="1" si="288"/>
        <v>1.9367129087962773</v>
      </c>
      <c r="AH613" s="304">
        <f t="shared" ca="1" si="289"/>
        <v>-7.8327814941768388</v>
      </c>
    </row>
    <row r="614" spans="1:34" x14ac:dyDescent="0.2">
      <c r="A614" s="347">
        <f t="shared" ca="1" si="267"/>
        <v>1E-4</v>
      </c>
      <c r="B614" s="304">
        <f t="shared" ca="1" si="268"/>
        <v>34.508500000000502</v>
      </c>
      <c r="D614" s="306">
        <f t="shared" ca="1" si="269"/>
        <v>-0.71105575154331158</v>
      </c>
      <c r="E614" s="307">
        <f t="shared" ca="1" si="270"/>
        <v>-2.0095251736158639</v>
      </c>
      <c r="F614" s="304">
        <f t="shared" ca="1" si="271"/>
        <v>2.1316171572772378</v>
      </c>
      <c r="G614" s="306">
        <f t="shared" ca="1" si="272"/>
        <v>10.930785879038508</v>
      </c>
      <c r="H614" s="307">
        <f t="shared" ca="1" si="273"/>
        <v>-119.91467257336929</v>
      </c>
      <c r="I614" s="304">
        <f t="shared" ca="1" si="274"/>
        <v>120.41183819837546</v>
      </c>
      <c r="J614" s="306">
        <f t="shared" ca="1" si="275"/>
        <v>770.52896740167785</v>
      </c>
      <c r="K614" s="307">
        <f t="shared" ca="1" si="276"/>
        <v>-10.082154966850169</v>
      </c>
      <c r="L614" s="304">
        <f t="shared" ca="1" si="261"/>
        <v>770.59492566060385</v>
      </c>
      <c r="M614" s="306">
        <f t="shared" ca="1" si="277"/>
        <v>-1.4798928501253572</v>
      </c>
      <c r="N614" s="304">
        <f t="shared" ca="1" si="278"/>
        <v>-84.791614443769447</v>
      </c>
      <c r="P614" s="310">
        <f t="shared" ca="1" si="279"/>
        <v>23</v>
      </c>
      <c r="Q614" s="304">
        <f t="shared" ca="1" si="280"/>
        <v>0</v>
      </c>
      <c r="R614" s="306">
        <f t="shared" ca="1" si="281"/>
        <v>0</v>
      </c>
      <c r="S614" s="307">
        <f t="shared" ca="1" si="282"/>
        <v>7.4499999999999984</v>
      </c>
      <c r="T614" s="304">
        <f t="shared" ca="1" si="262"/>
        <v>73.084499999999991</v>
      </c>
      <c r="U614" s="311">
        <f t="shared" ca="1" si="263"/>
        <v>0</v>
      </c>
      <c r="V614" s="306">
        <f t="shared" ca="1" si="264"/>
        <v>1.2262356869027815</v>
      </c>
      <c r="W614" s="304">
        <f t="shared" ca="1" si="265"/>
        <v>58.354737511071392</v>
      </c>
      <c r="Y614" s="314" t="str">
        <f t="shared" ca="1" si="283"/>
        <v/>
      </c>
      <c r="Z614" s="315" t="str">
        <f t="shared" ca="1" si="284"/>
        <v/>
      </c>
      <c r="AA614" s="316" t="str">
        <f t="shared" ca="1" si="285"/>
        <v/>
      </c>
      <c r="AC614" s="310" t="e">
        <f t="shared" ca="1" si="286"/>
        <v>#N/A</v>
      </c>
      <c r="AD614" s="323" t="e">
        <f t="shared" ca="1" si="287"/>
        <v>#N/A</v>
      </c>
      <c r="AE614" s="324" t="e">
        <f t="shared" ca="1" si="266"/>
        <v>#N/A</v>
      </c>
      <c r="AG614" s="306">
        <f t="shared" ca="1" si="288"/>
        <v>1.9366789780516509</v>
      </c>
      <c r="AH614" s="304">
        <f t="shared" ca="1" si="289"/>
        <v>-7.832816083558674</v>
      </c>
    </row>
    <row r="615" spans="1:34" x14ac:dyDescent="0.2">
      <c r="A615" s="347">
        <f t="shared" ca="1" si="267"/>
        <v>1E-4</v>
      </c>
      <c r="B615" s="304">
        <f t="shared" ca="1" si="268"/>
        <v>34.508600000000506</v>
      </c>
      <c r="D615" s="306">
        <f t="shared" ca="1" si="269"/>
        <v>-0.71105312240075003</v>
      </c>
      <c r="E615" s="307">
        <f t="shared" ca="1" si="270"/>
        <v>-2.0094902014805527</v>
      </c>
      <c r="F615" s="304">
        <f t="shared" ca="1" si="271"/>
        <v>2.1315833112318665</v>
      </c>
      <c r="G615" s="306">
        <f t="shared" ca="1" si="272"/>
        <v>10.930714773726267</v>
      </c>
      <c r="H615" s="307">
        <f t="shared" ca="1" si="273"/>
        <v>-119.91487352238944</v>
      </c>
      <c r="I615" s="304">
        <f t="shared" ca="1" si="274"/>
        <v>120.41203186291315</v>
      </c>
      <c r="J615" s="306">
        <f t="shared" ca="1" si="275"/>
        <v>770.52896740167785</v>
      </c>
      <c r="K615" s="307">
        <f t="shared" ca="1" si="276"/>
        <v>-10.094146444154957</v>
      </c>
      <c r="L615" s="304">
        <f t="shared" ca="1" si="261"/>
        <v>770.59508264556939</v>
      </c>
      <c r="M615" s="306">
        <f t="shared" ca="1" si="277"/>
        <v>-1.4798935896988263</v>
      </c>
      <c r="N615" s="304">
        <f t="shared" ca="1" si="278"/>
        <v>-84.791656818207869</v>
      </c>
      <c r="P615" s="310">
        <f t="shared" ca="1" si="279"/>
        <v>23</v>
      </c>
      <c r="Q615" s="304">
        <f t="shared" ca="1" si="280"/>
        <v>0</v>
      </c>
      <c r="R615" s="306">
        <f t="shared" ca="1" si="281"/>
        <v>0</v>
      </c>
      <c r="S615" s="307">
        <f t="shared" ca="1" si="282"/>
        <v>7.4499999999999984</v>
      </c>
      <c r="T615" s="304">
        <f t="shared" ca="1" si="262"/>
        <v>73.084499999999991</v>
      </c>
      <c r="U615" s="311">
        <f t="shared" ca="1" si="263"/>
        <v>0</v>
      </c>
      <c r="V615" s="306">
        <f t="shared" ca="1" si="264"/>
        <v>1.2262371573417785</v>
      </c>
      <c r="W615" s="304">
        <f t="shared" ca="1" si="265"/>
        <v>58.354995197295288</v>
      </c>
      <c r="Y615" s="314" t="str">
        <f t="shared" ca="1" si="283"/>
        <v/>
      </c>
      <c r="Z615" s="315" t="str">
        <f t="shared" ca="1" si="284"/>
        <v/>
      </c>
      <c r="AA615" s="316" t="str">
        <f t="shared" ca="1" si="285"/>
        <v/>
      </c>
      <c r="AC615" s="310" t="e">
        <f t="shared" ca="1" si="286"/>
        <v>#N/A</v>
      </c>
      <c r="AD615" s="323" t="e">
        <f t="shared" ca="1" si="287"/>
        <v>#N/A</v>
      </c>
      <c r="AE615" s="324" t="e">
        <f t="shared" ca="1" si="266"/>
        <v>#N/A</v>
      </c>
      <c r="AG615" s="306">
        <f t="shared" ca="1" si="288"/>
        <v>1.9366450476087493</v>
      </c>
      <c r="AH615" s="304">
        <f t="shared" ca="1" si="289"/>
        <v>-7.8328506726270337</v>
      </c>
    </row>
    <row r="616" spans="1:34" x14ac:dyDescent="0.2">
      <c r="A616" s="347">
        <f t="shared" ca="1" si="267"/>
        <v>1E-4</v>
      </c>
      <c r="B616" s="304">
        <f t="shared" ca="1" si="268"/>
        <v>34.508700000000509</v>
      </c>
      <c r="D616" s="306">
        <f t="shared" ca="1" si="269"/>
        <v>-0.71105049323447767</v>
      </c>
      <c r="E616" s="307">
        <f t="shared" ca="1" si="270"/>
        <v>-2.0094552296621542</v>
      </c>
      <c r="F616" s="304">
        <f t="shared" ca="1" si="271"/>
        <v>2.1315494655169451</v>
      </c>
      <c r="G616" s="306">
        <f t="shared" ca="1" si="272"/>
        <v>10.930643668676943</v>
      </c>
      <c r="H616" s="307">
        <f t="shared" ca="1" si="273"/>
        <v>-119.9150744679124</v>
      </c>
      <c r="I616" s="304">
        <f t="shared" ca="1" si="274"/>
        <v>120.41222552405783</v>
      </c>
      <c r="J616" s="306">
        <f t="shared" ca="1" si="275"/>
        <v>770.52896740167785</v>
      </c>
      <c r="K616" s="307">
        <f t="shared" ca="1" si="276"/>
        <v>-10.106137941554472</v>
      </c>
      <c r="L616" s="304">
        <f t="shared" ca="1" si="261"/>
        <v>770.59523981736982</v>
      </c>
      <c r="M616" s="306">
        <f t="shared" ca="1" si="277"/>
        <v>-1.4798943292651057</v>
      </c>
      <c r="N616" s="304">
        <f t="shared" ca="1" si="278"/>
        <v>-84.791699192234347</v>
      </c>
      <c r="P616" s="310">
        <f t="shared" ca="1" si="279"/>
        <v>23</v>
      </c>
      <c r="Q616" s="304">
        <f t="shared" ca="1" si="280"/>
        <v>0</v>
      </c>
      <c r="R616" s="306">
        <f t="shared" ca="1" si="281"/>
        <v>0</v>
      </c>
      <c r="S616" s="307">
        <f t="shared" ca="1" si="282"/>
        <v>7.4499999999999984</v>
      </c>
      <c r="T616" s="304">
        <f t="shared" ca="1" si="262"/>
        <v>73.084499999999991</v>
      </c>
      <c r="U616" s="311">
        <f t="shared" ca="1" si="263"/>
        <v>0</v>
      </c>
      <c r="V616" s="306">
        <f t="shared" ca="1" si="264"/>
        <v>1.2262386277850033</v>
      </c>
      <c r="W616" s="304">
        <f t="shared" ca="1" si="265"/>
        <v>58.355252881183759</v>
      </c>
      <c r="Y616" s="314" t="str">
        <f t="shared" ca="1" si="283"/>
        <v/>
      </c>
      <c r="Z616" s="315" t="str">
        <f t="shared" ca="1" si="284"/>
        <v/>
      </c>
      <c r="AA616" s="316" t="str">
        <f t="shared" ca="1" si="285"/>
        <v/>
      </c>
      <c r="AC616" s="310" t="e">
        <f t="shared" ca="1" si="286"/>
        <v>#N/A</v>
      </c>
      <c r="AD616" s="323" t="e">
        <f t="shared" ca="1" si="287"/>
        <v>#N/A</v>
      </c>
      <c r="AE616" s="324" t="e">
        <f t="shared" ca="1" si="266"/>
        <v>#N/A</v>
      </c>
      <c r="AG616" s="306">
        <f t="shared" ca="1" si="288"/>
        <v>1.936611117467578</v>
      </c>
      <c r="AH616" s="304">
        <f t="shared" ca="1" si="289"/>
        <v>-7.8328852613819198</v>
      </c>
    </row>
    <row r="617" spans="1:34" x14ac:dyDescent="0.2">
      <c r="A617" s="347">
        <f t="shared" ca="1" si="267"/>
        <v>1E-4</v>
      </c>
      <c r="B617" s="304">
        <f t="shared" ca="1" si="268"/>
        <v>34.508800000000512</v>
      </c>
      <c r="D617" s="306">
        <f t="shared" ca="1" si="269"/>
        <v>-0.7110478640444936</v>
      </c>
      <c r="E617" s="307">
        <f t="shared" ca="1" si="270"/>
        <v>-2.0094202581606782</v>
      </c>
      <c r="F617" s="304">
        <f t="shared" ca="1" si="271"/>
        <v>2.131515620132483</v>
      </c>
      <c r="G617" s="306">
        <f t="shared" ca="1" si="272"/>
        <v>10.930572563890539</v>
      </c>
      <c r="H617" s="307">
        <f t="shared" ca="1" si="273"/>
        <v>-119.91527540993822</v>
      </c>
      <c r="I617" s="304">
        <f t="shared" ca="1" si="274"/>
        <v>120.41241918180953</v>
      </c>
      <c r="J617" s="306">
        <f t="shared" ca="1" si="275"/>
        <v>770.52896740167785</v>
      </c>
      <c r="K617" s="307">
        <f t="shared" ca="1" si="276"/>
        <v>-10.118129459048365</v>
      </c>
      <c r="L617" s="304">
        <f t="shared" ca="1" si="261"/>
        <v>770.59539717600569</v>
      </c>
      <c r="M617" s="306">
        <f t="shared" ca="1" si="277"/>
        <v>-1.479895068824195</v>
      </c>
      <c r="N617" s="304">
        <f t="shared" ca="1" si="278"/>
        <v>-84.791741565848866</v>
      </c>
      <c r="P617" s="310">
        <f t="shared" ca="1" si="279"/>
        <v>23</v>
      </c>
      <c r="Q617" s="304">
        <f t="shared" ca="1" si="280"/>
        <v>0</v>
      </c>
      <c r="R617" s="306">
        <f t="shared" ca="1" si="281"/>
        <v>0</v>
      </c>
      <c r="S617" s="307">
        <f t="shared" ca="1" si="282"/>
        <v>7.4499999999999984</v>
      </c>
      <c r="T617" s="304">
        <f t="shared" ca="1" si="262"/>
        <v>73.084499999999991</v>
      </c>
      <c r="U617" s="311">
        <f t="shared" ca="1" si="263"/>
        <v>0</v>
      </c>
      <c r="V617" s="306">
        <f t="shared" ca="1" si="264"/>
        <v>1.2262400982324566</v>
      </c>
      <c r="W617" s="304">
        <f t="shared" ca="1" si="265"/>
        <v>58.355510562736846</v>
      </c>
      <c r="Y617" s="314" t="str">
        <f t="shared" ca="1" si="283"/>
        <v/>
      </c>
      <c r="Z617" s="315" t="str">
        <f t="shared" ca="1" si="284"/>
        <v/>
      </c>
      <c r="AA617" s="316" t="str">
        <f t="shared" ca="1" si="285"/>
        <v/>
      </c>
      <c r="AC617" s="310" t="e">
        <f t="shared" ca="1" si="286"/>
        <v>#N/A</v>
      </c>
      <c r="AD617" s="323" t="e">
        <f t="shared" ca="1" si="287"/>
        <v>#N/A</v>
      </c>
      <c r="AE617" s="324" t="e">
        <f t="shared" ca="1" si="266"/>
        <v>#N/A</v>
      </c>
      <c r="AG617" s="306">
        <f t="shared" ca="1" si="288"/>
        <v>1.9365771876281421</v>
      </c>
      <c r="AH617" s="304">
        <f t="shared" ca="1" si="289"/>
        <v>-7.832919849823325</v>
      </c>
    </row>
    <row r="618" spans="1:34" x14ac:dyDescent="0.2">
      <c r="A618" s="347">
        <f t="shared" ca="1" si="267"/>
        <v>1E-4</v>
      </c>
      <c r="B618" s="304">
        <f t="shared" ca="1" si="268"/>
        <v>34.508900000000516</v>
      </c>
      <c r="D618" s="306">
        <f t="shared" ca="1" si="269"/>
        <v>-0.71104523483080173</v>
      </c>
      <c r="E618" s="307">
        <f t="shared" ca="1" si="270"/>
        <v>-2.0093852869761166</v>
      </c>
      <c r="F618" s="304">
        <f t="shared" ca="1" si="271"/>
        <v>2.1314817750784734</v>
      </c>
      <c r="G618" s="306">
        <f t="shared" ca="1" si="272"/>
        <v>10.930501459367056</v>
      </c>
      <c r="H618" s="307">
        <f t="shared" ca="1" si="273"/>
        <v>-119.91547634846691</v>
      </c>
      <c r="I618" s="304">
        <f t="shared" ca="1" si="274"/>
        <v>120.41261283616825</v>
      </c>
      <c r="J618" s="306">
        <f t="shared" ca="1" si="275"/>
        <v>770.52896740167785</v>
      </c>
      <c r="K618" s="307">
        <f t="shared" ca="1" si="276"/>
        <v>-10.130120996636286</v>
      </c>
      <c r="L618" s="304">
        <f t="shared" ca="1" si="261"/>
        <v>770.59555472147804</v>
      </c>
      <c r="M618" s="306">
        <f t="shared" ca="1" si="277"/>
        <v>-1.4798958083760947</v>
      </c>
      <c r="N618" s="304">
        <f t="shared" ca="1" si="278"/>
        <v>-84.791783939051456</v>
      </c>
      <c r="P618" s="310">
        <f t="shared" ca="1" si="279"/>
        <v>23</v>
      </c>
      <c r="Q618" s="304">
        <f t="shared" ca="1" si="280"/>
        <v>0</v>
      </c>
      <c r="R618" s="306">
        <f t="shared" ca="1" si="281"/>
        <v>0</v>
      </c>
      <c r="S618" s="307">
        <f t="shared" ca="1" si="282"/>
        <v>7.4499999999999984</v>
      </c>
      <c r="T618" s="304">
        <f t="shared" ca="1" si="262"/>
        <v>73.084499999999991</v>
      </c>
      <c r="U618" s="311">
        <f t="shared" ca="1" si="263"/>
        <v>0</v>
      </c>
      <c r="V618" s="306">
        <f t="shared" ca="1" si="264"/>
        <v>1.2262415686841379</v>
      </c>
      <c r="W618" s="304">
        <f t="shared" ca="1" si="265"/>
        <v>58.355768241954515</v>
      </c>
      <c r="Y618" s="314" t="str">
        <f t="shared" ca="1" si="283"/>
        <v/>
      </c>
      <c r="Z618" s="315" t="str">
        <f t="shared" ca="1" si="284"/>
        <v/>
      </c>
      <c r="AA618" s="316" t="str">
        <f t="shared" ca="1" si="285"/>
        <v/>
      </c>
      <c r="AC618" s="310" t="e">
        <f t="shared" ca="1" si="286"/>
        <v>#N/A</v>
      </c>
      <c r="AD618" s="323" t="e">
        <f t="shared" ca="1" si="287"/>
        <v>#N/A</v>
      </c>
      <c r="AE618" s="324" t="e">
        <f t="shared" ca="1" si="266"/>
        <v>#N/A</v>
      </c>
      <c r="AG618" s="306">
        <f t="shared" ca="1" si="288"/>
        <v>1.9365432580904312</v>
      </c>
      <c r="AH618" s="304">
        <f t="shared" ca="1" si="289"/>
        <v>-7.8329544379512566</v>
      </c>
    </row>
    <row r="619" spans="1:34" x14ac:dyDescent="0.2">
      <c r="A619" s="347">
        <f t="shared" ca="1" si="267"/>
        <v>1E-4</v>
      </c>
      <c r="B619" s="304">
        <f t="shared" ca="1" si="268"/>
        <v>34.509000000000519</v>
      </c>
      <c r="D619" s="306">
        <f t="shared" ca="1" si="269"/>
        <v>-0.71104260559339938</v>
      </c>
      <c r="E619" s="307">
        <f t="shared" ca="1" si="270"/>
        <v>-2.009350316108474</v>
      </c>
      <c r="F619" s="304">
        <f t="shared" ca="1" si="271"/>
        <v>2.1314479303549208</v>
      </c>
      <c r="G619" s="306">
        <f t="shared" ca="1" si="272"/>
        <v>10.930430355106497</v>
      </c>
      <c r="H619" s="307">
        <f t="shared" ca="1" si="273"/>
        <v>-119.91567728349852</v>
      </c>
      <c r="I619" s="304">
        <f t="shared" ca="1" si="274"/>
        <v>120.41280648713408</v>
      </c>
      <c r="J619" s="306">
        <f t="shared" ca="1" si="275"/>
        <v>770.52896740167785</v>
      </c>
      <c r="K619" s="307">
        <f t="shared" ca="1" si="276"/>
        <v>-10.142112554317885</v>
      </c>
      <c r="L619" s="304">
        <f t="shared" ca="1" si="261"/>
        <v>770.59571245378754</v>
      </c>
      <c r="M619" s="306">
        <f t="shared" ca="1" si="277"/>
        <v>-1.4798965479208048</v>
      </c>
      <c r="N619" s="304">
        <f t="shared" ca="1" si="278"/>
        <v>-84.791826311842101</v>
      </c>
      <c r="P619" s="310">
        <f t="shared" ca="1" si="279"/>
        <v>23</v>
      </c>
      <c r="Q619" s="304">
        <f t="shared" ca="1" si="280"/>
        <v>0</v>
      </c>
      <c r="R619" s="306">
        <f t="shared" ca="1" si="281"/>
        <v>0</v>
      </c>
      <c r="S619" s="307">
        <f t="shared" ca="1" si="282"/>
        <v>7.4499999999999984</v>
      </c>
      <c r="T619" s="304">
        <f t="shared" ca="1" si="262"/>
        <v>73.084499999999991</v>
      </c>
      <c r="U619" s="311">
        <f t="shared" ca="1" si="263"/>
        <v>0</v>
      </c>
      <c r="V619" s="306">
        <f t="shared" ca="1" si="264"/>
        <v>1.2262430391400474</v>
      </c>
      <c r="W619" s="304">
        <f t="shared" ca="1" si="265"/>
        <v>58.356025918836835</v>
      </c>
      <c r="Y619" s="314" t="str">
        <f t="shared" ca="1" si="283"/>
        <v/>
      </c>
      <c r="Z619" s="315" t="str">
        <f t="shared" ca="1" si="284"/>
        <v/>
      </c>
      <c r="AA619" s="316" t="str">
        <f t="shared" ca="1" si="285"/>
        <v/>
      </c>
      <c r="AC619" s="310" t="e">
        <f t="shared" ca="1" si="286"/>
        <v>#N/A</v>
      </c>
      <c r="AD619" s="323" t="e">
        <f t="shared" ca="1" si="287"/>
        <v>#N/A</v>
      </c>
      <c r="AE619" s="324" t="e">
        <f t="shared" ca="1" si="266"/>
        <v>#N/A</v>
      </c>
      <c r="AG619" s="306">
        <f t="shared" ca="1" si="288"/>
        <v>1.9365093288544566</v>
      </c>
      <c r="AH619" s="304">
        <f t="shared" ca="1" si="289"/>
        <v>-7.8329890257657082</v>
      </c>
    </row>
    <row r="620" spans="1:34" x14ac:dyDescent="0.2">
      <c r="A620" s="347">
        <f t="shared" ca="1" si="267"/>
        <v>1E-4</v>
      </c>
      <c r="B620" s="304">
        <f t="shared" ca="1" si="268"/>
        <v>34.509100000000522</v>
      </c>
      <c r="D620" s="306">
        <f t="shared" ca="1" si="269"/>
        <v>-0.71103997633228888</v>
      </c>
      <c r="E620" s="307">
        <f t="shared" ca="1" si="270"/>
        <v>-2.0093153455577415</v>
      </c>
      <c r="F620" s="304">
        <f t="shared" ca="1" si="271"/>
        <v>2.1314140859618167</v>
      </c>
      <c r="G620" s="306">
        <f t="shared" ca="1" si="272"/>
        <v>10.930359251108863</v>
      </c>
      <c r="H620" s="307">
        <f t="shared" ca="1" si="273"/>
        <v>-119.91587821503308</v>
      </c>
      <c r="I620" s="304">
        <f t="shared" ca="1" si="274"/>
        <v>120.41300013470699</v>
      </c>
      <c r="J620" s="306">
        <f t="shared" ca="1" si="275"/>
        <v>770.52896740167785</v>
      </c>
      <c r="K620" s="307">
        <f t="shared" ca="1" si="276"/>
        <v>-10.154104132092812</v>
      </c>
      <c r="L620" s="304">
        <f t="shared" ca="1" si="261"/>
        <v>770.59587037293511</v>
      </c>
      <c r="M620" s="306">
        <f t="shared" ca="1" si="277"/>
        <v>-1.4798972874583256</v>
      </c>
      <c r="N620" s="304">
        <f t="shared" ca="1" si="278"/>
        <v>-84.79186868422083</v>
      </c>
      <c r="P620" s="310">
        <f t="shared" ca="1" si="279"/>
        <v>23</v>
      </c>
      <c r="Q620" s="304">
        <f t="shared" ca="1" si="280"/>
        <v>0</v>
      </c>
      <c r="R620" s="306">
        <f t="shared" ca="1" si="281"/>
        <v>0</v>
      </c>
      <c r="S620" s="307">
        <f t="shared" ca="1" si="282"/>
        <v>7.4499999999999984</v>
      </c>
      <c r="T620" s="304">
        <f t="shared" ca="1" si="262"/>
        <v>73.084499999999991</v>
      </c>
      <c r="U620" s="311">
        <f t="shared" ca="1" si="263"/>
        <v>0</v>
      </c>
      <c r="V620" s="306">
        <f t="shared" ca="1" si="264"/>
        <v>1.2262445096001851</v>
      </c>
      <c r="W620" s="304">
        <f t="shared" ca="1" si="265"/>
        <v>58.356283593383715</v>
      </c>
      <c r="Y620" s="314" t="str">
        <f t="shared" ca="1" si="283"/>
        <v/>
      </c>
      <c r="Z620" s="315" t="str">
        <f t="shared" ca="1" si="284"/>
        <v/>
      </c>
      <c r="AA620" s="316" t="str">
        <f t="shared" ca="1" si="285"/>
        <v/>
      </c>
      <c r="AC620" s="310" t="e">
        <f t="shared" ca="1" si="286"/>
        <v>#N/A</v>
      </c>
      <c r="AD620" s="323" t="e">
        <f t="shared" ca="1" si="287"/>
        <v>#N/A</v>
      </c>
      <c r="AE620" s="324" t="e">
        <f t="shared" ca="1" si="266"/>
        <v>#N/A</v>
      </c>
      <c r="AG620" s="306">
        <f t="shared" ca="1" si="288"/>
        <v>1.9364753999202025</v>
      </c>
      <c r="AH620" s="304">
        <f t="shared" ca="1" si="289"/>
        <v>-7.8330236132666906</v>
      </c>
    </row>
    <row r="621" spans="1:34" x14ac:dyDescent="0.2">
      <c r="A621" s="347">
        <f t="shared" ca="1" si="267"/>
        <v>1E-4</v>
      </c>
      <c r="B621" s="304">
        <f t="shared" ca="1" si="268"/>
        <v>34.509200000000526</v>
      </c>
      <c r="D621" s="306">
        <f t="shared" ca="1" si="269"/>
        <v>-0.71103734704746901</v>
      </c>
      <c r="E621" s="307">
        <f t="shared" ca="1" si="270"/>
        <v>-2.0092803753239314</v>
      </c>
      <c r="F621" s="304">
        <f t="shared" ca="1" si="271"/>
        <v>2.1313802418991741</v>
      </c>
      <c r="G621" s="306">
        <f t="shared" ca="1" si="272"/>
        <v>10.930288147374158</v>
      </c>
      <c r="H621" s="307">
        <f t="shared" ca="1" si="273"/>
        <v>-119.9160791430706</v>
      </c>
      <c r="I621" s="304">
        <f t="shared" ca="1" si="274"/>
        <v>120.41319377888703</v>
      </c>
      <c r="J621" s="306">
        <f t="shared" ca="1" si="275"/>
        <v>770.52896740167785</v>
      </c>
      <c r="K621" s="307">
        <f t="shared" ca="1" si="276"/>
        <v>-10.166095729960716</v>
      </c>
      <c r="L621" s="304">
        <f t="shared" ca="1" si="261"/>
        <v>770.59602847892143</v>
      </c>
      <c r="M621" s="306">
        <f t="shared" ca="1" si="277"/>
        <v>-1.4798980269886568</v>
      </c>
      <c r="N621" s="304">
        <f t="shared" ca="1" si="278"/>
        <v>-84.791911056187629</v>
      </c>
      <c r="P621" s="310">
        <f t="shared" ca="1" si="279"/>
        <v>23</v>
      </c>
      <c r="Q621" s="304">
        <f t="shared" ca="1" si="280"/>
        <v>0</v>
      </c>
      <c r="R621" s="306">
        <f t="shared" ca="1" si="281"/>
        <v>0</v>
      </c>
      <c r="S621" s="307">
        <f t="shared" ca="1" si="282"/>
        <v>7.4499999999999984</v>
      </c>
      <c r="T621" s="304">
        <f t="shared" ca="1" si="262"/>
        <v>73.084499999999991</v>
      </c>
      <c r="U621" s="311">
        <f t="shared" ca="1" si="263"/>
        <v>0</v>
      </c>
      <c r="V621" s="306">
        <f t="shared" ca="1" si="264"/>
        <v>1.2262459800645509</v>
      </c>
      <c r="W621" s="304">
        <f t="shared" ca="1" si="265"/>
        <v>58.356541265595247</v>
      </c>
      <c r="Y621" s="314" t="str">
        <f t="shared" ca="1" si="283"/>
        <v/>
      </c>
      <c r="Z621" s="315" t="str">
        <f t="shared" ca="1" si="284"/>
        <v/>
      </c>
      <c r="AA621" s="316" t="str">
        <f t="shared" ca="1" si="285"/>
        <v/>
      </c>
      <c r="AC621" s="310" t="e">
        <f t="shared" ca="1" si="286"/>
        <v>#N/A</v>
      </c>
      <c r="AD621" s="323" t="e">
        <f t="shared" ca="1" si="287"/>
        <v>#N/A</v>
      </c>
      <c r="AE621" s="324" t="e">
        <f t="shared" ca="1" si="266"/>
        <v>#N/A</v>
      </c>
      <c r="AG621" s="306">
        <f t="shared" ca="1" si="288"/>
        <v>1.9364414712876865</v>
      </c>
      <c r="AH621" s="304">
        <f t="shared" ca="1" si="289"/>
        <v>-7.8330582004541913</v>
      </c>
    </row>
    <row r="622" spans="1:34" x14ac:dyDescent="0.2">
      <c r="A622" s="347">
        <f t="shared" ca="1" si="267"/>
        <v>1E-4</v>
      </c>
      <c r="B622" s="304">
        <f t="shared" ca="1" si="268"/>
        <v>34.509300000000529</v>
      </c>
      <c r="D622" s="306">
        <f t="shared" ca="1" si="269"/>
        <v>-0.71103471773894411</v>
      </c>
      <c r="E622" s="307">
        <f t="shared" ca="1" si="270"/>
        <v>-2.0092454054070306</v>
      </c>
      <c r="F622" s="304">
        <f t="shared" ca="1" si="271"/>
        <v>2.1313463981669809</v>
      </c>
      <c r="G622" s="306">
        <f t="shared" ca="1" si="272"/>
        <v>10.930217043902385</v>
      </c>
      <c r="H622" s="307">
        <f t="shared" ca="1" si="273"/>
        <v>-119.91628006761114</v>
      </c>
      <c r="I622" s="304">
        <f t="shared" ca="1" si="274"/>
        <v>120.41338741967425</v>
      </c>
      <c r="J622" s="306">
        <f t="shared" ca="1" si="275"/>
        <v>770.52896740167785</v>
      </c>
      <c r="K622" s="307">
        <f t="shared" ca="1" si="276"/>
        <v>-10.178087347921251</v>
      </c>
      <c r="L622" s="304">
        <f t="shared" ca="1" si="261"/>
        <v>770.59618677174751</v>
      </c>
      <c r="M622" s="306">
        <f t="shared" ca="1" si="277"/>
        <v>-1.4798987665117989</v>
      </c>
      <c r="N622" s="304">
        <f t="shared" ca="1" si="278"/>
        <v>-84.791953427742527</v>
      </c>
      <c r="P622" s="310">
        <f t="shared" ca="1" si="279"/>
        <v>23</v>
      </c>
      <c r="Q622" s="304">
        <f t="shared" ca="1" si="280"/>
        <v>0</v>
      </c>
      <c r="R622" s="306">
        <f t="shared" ca="1" si="281"/>
        <v>0</v>
      </c>
      <c r="S622" s="307">
        <f t="shared" ca="1" si="282"/>
        <v>7.4499999999999984</v>
      </c>
      <c r="T622" s="304">
        <f t="shared" ca="1" si="262"/>
        <v>73.084499999999991</v>
      </c>
      <c r="U622" s="311">
        <f t="shared" ca="1" si="263"/>
        <v>0</v>
      </c>
      <c r="V622" s="306">
        <f t="shared" ca="1" si="264"/>
        <v>1.2262474505331451</v>
      </c>
      <c r="W622" s="304">
        <f t="shared" ca="1" si="265"/>
        <v>58.356798935471389</v>
      </c>
      <c r="Y622" s="314" t="str">
        <f t="shared" ca="1" si="283"/>
        <v/>
      </c>
      <c r="Z622" s="315" t="str">
        <f t="shared" ca="1" si="284"/>
        <v/>
      </c>
      <c r="AA622" s="316" t="str">
        <f t="shared" ca="1" si="285"/>
        <v/>
      </c>
      <c r="AC622" s="310" t="e">
        <f t="shared" ca="1" si="286"/>
        <v>#N/A</v>
      </c>
      <c r="AD622" s="323" t="e">
        <f t="shared" ca="1" si="287"/>
        <v>#N/A</v>
      </c>
      <c r="AE622" s="324" t="e">
        <f t="shared" ca="1" si="266"/>
        <v>#N/A</v>
      </c>
      <c r="AG622" s="306">
        <f t="shared" ca="1" si="288"/>
        <v>1.9364075429568945</v>
      </c>
      <c r="AH622" s="304">
        <f t="shared" ca="1" si="289"/>
        <v>-7.8330927873282228</v>
      </c>
    </row>
    <row r="623" spans="1:34" x14ac:dyDescent="0.2">
      <c r="A623" s="347">
        <f t="shared" ca="1" si="267"/>
        <v>1E-4</v>
      </c>
      <c r="B623" s="304">
        <f t="shared" ca="1" si="268"/>
        <v>34.509400000000532</v>
      </c>
      <c r="D623" s="306">
        <f t="shared" ca="1" si="269"/>
        <v>-0.71103208840671128</v>
      </c>
      <c r="E623" s="307">
        <f t="shared" ca="1" si="270"/>
        <v>-2.0092104358070459</v>
      </c>
      <c r="F623" s="304">
        <f t="shared" ca="1" si="271"/>
        <v>2.1313125547652434</v>
      </c>
      <c r="G623" s="306">
        <f t="shared" ca="1" si="272"/>
        <v>10.930145940693544</v>
      </c>
      <c r="H623" s="307">
        <f t="shared" ca="1" si="273"/>
        <v>-119.91648098865473</v>
      </c>
      <c r="I623" s="304">
        <f t="shared" ca="1" si="274"/>
        <v>120.41358105706868</v>
      </c>
      <c r="J623" s="306">
        <f t="shared" ca="1" si="275"/>
        <v>770.52896740167785</v>
      </c>
      <c r="K623" s="307">
        <f t="shared" ca="1" si="276"/>
        <v>-10.190078985974063</v>
      </c>
      <c r="L623" s="304">
        <f t="shared" ca="1" si="261"/>
        <v>770.59634525141394</v>
      </c>
      <c r="M623" s="306">
        <f t="shared" ca="1" si="277"/>
        <v>-1.4798995060277516</v>
      </c>
      <c r="N623" s="304">
        <f t="shared" ca="1" si="278"/>
        <v>-84.791995798885495</v>
      </c>
      <c r="P623" s="310">
        <f t="shared" ca="1" si="279"/>
        <v>23</v>
      </c>
      <c r="Q623" s="304">
        <f t="shared" ca="1" si="280"/>
        <v>0</v>
      </c>
      <c r="R623" s="306">
        <f t="shared" ca="1" si="281"/>
        <v>0</v>
      </c>
      <c r="S623" s="307">
        <f t="shared" ca="1" si="282"/>
        <v>7.4499999999999984</v>
      </c>
      <c r="T623" s="304">
        <f t="shared" ca="1" si="262"/>
        <v>73.084499999999991</v>
      </c>
      <c r="U623" s="311">
        <f t="shared" ca="1" si="263"/>
        <v>0</v>
      </c>
      <c r="V623" s="306">
        <f t="shared" ca="1" si="264"/>
        <v>1.2262489210059671</v>
      </c>
      <c r="W623" s="304">
        <f t="shared" ca="1" si="265"/>
        <v>58.357056603012175</v>
      </c>
      <c r="Y623" s="314" t="str">
        <f t="shared" ca="1" si="283"/>
        <v/>
      </c>
      <c r="Z623" s="315" t="str">
        <f t="shared" ca="1" si="284"/>
        <v/>
      </c>
      <c r="AA623" s="316" t="str">
        <f t="shared" ca="1" si="285"/>
        <v/>
      </c>
      <c r="AC623" s="310" t="e">
        <f t="shared" ca="1" si="286"/>
        <v>#N/A</v>
      </c>
      <c r="AD623" s="323" t="e">
        <f t="shared" ca="1" si="287"/>
        <v>#N/A</v>
      </c>
      <c r="AE623" s="324" t="e">
        <f t="shared" ca="1" si="266"/>
        <v>#N/A</v>
      </c>
      <c r="AG623" s="306">
        <f t="shared" ca="1" si="288"/>
        <v>1.936373614927831</v>
      </c>
      <c r="AH623" s="304">
        <f t="shared" ca="1" si="289"/>
        <v>-7.8331273738887788</v>
      </c>
    </row>
    <row r="624" spans="1:34" x14ac:dyDescent="0.2">
      <c r="A624" s="347">
        <f t="shared" ca="1" si="267"/>
        <v>1E-4</v>
      </c>
      <c r="B624" s="304">
        <f t="shared" ca="1" si="268"/>
        <v>34.509500000000536</v>
      </c>
      <c r="D624" s="306">
        <f t="shared" ca="1" si="269"/>
        <v>-0.7110294590507743</v>
      </c>
      <c r="E624" s="307">
        <f t="shared" ca="1" si="270"/>
        <v>-2.0091754665239723</v>
      </c>
      <c r="F624" s="304">
        <f t="shared" ca="1" si="271"/>
        <v>2.1312787116939584</v>
      </c>
      <c r="G624" s="306">
        <f t="shared" ca="1" si="272"/>
        <v>10.93007483774764</v>
      </c>
      <c r="H624" s="307">
        <f t="shared" ca="1" si="273"/>
        <v>-119.91668190620138</v>
      </c>
      <c r="I624" s="304">
        <f t="shared" ca="1" si="274"/>
        <v>120.41377469107033</v>
      </c>
      <c r="J624" s="306">
        <f t="shared" ca="1" si="275"/>
        <v>770.52896740167785</v>
      </c>
      <c r="K624" s="307">
        <f t="shared" ca="1" si="276"/>
        <v>-10.202070644118805</v>
      </c>
      <c r="L624" s="304">
        <f t="shared" ca="1" si="261"/>
        <v>770.59650391792172</v>
      </c>
      <c r="M624" s="306">
        <f t="shared" ca="1" si="277"/>
        <v>-1.4799002455365153</v>
      </c>
      <c r="N624" s="304">
        <f t="shared" ca="1" si="278"/>
        <v>-84.792038169616575</v>
      </c>
      <c r="P624" s="310">
        <f t="shared" ca="1" si="279"/>
        <v>23</v>
      </c>
      <c r="Q624" s="304">
        <f t="shared" ca="1" si="280"/>
        <v>0</v>
      </c>
      <c r="R624" s="306">
        <f t="shared" ca="1" si="281"/>
        <v>0</v>
      </c>
      <c r="S624" s="307">
        <f t="shared" ca="1" si="282"/>
        <v>7.4499999999999984</v>
      </c>
      <c r="T624" s="304">
        <f t="shared" ca="1" si="262"/>
        <v>73.084499999999991</v>
      </c>
      <c r="U624" s="311">
        <f t="shared" ca="1" si="263"/>
        <v>0</v>
      </c>
      <c r="V624" s="306">
        <f t="shared" ca="1" si="264"/>
        <v>1.2262503914830167</v>
      </c>
      <c r="W624" s="304">
        <f t="shared" ca="1" si="265"/>
        <v>58.357314268217557</v>
      </c>
      <c r="Y624" s="314" t="str">
        <f t="shared" ca="1" si="283"/>
        <v/>
      </c>
      <c r="Z624" s="315" t="str">
        <f t="shared" ca="1" si="284"/>
        <v/>
      </c>
      <c r="AA624" s="316" t="str">
        <f t="shared" ca="1" si="285"/>
        <v/>
      </c>
      <c r="AC624" s="310" t="e">
        <f t="shared" ca="1" si="286"/>
        <v>#N/A</v>
      </c>
      <c r="AD624" s="323" t="e">
        <f t="shared" ca="1" si="287"/>
        <v>#N/A</v>
      </c>
      <c r="AE624" s="324" t="e">
        <f t="shared" ca="1" si="266"/>
        <v>#N/A</v>
      </c>
      <c r="AG624" s="306">
        <f t="shared" ca="1" si="288"/>
        <v>1.9363396872004985</v>
      </c>
      <c r="AH624" s="304">
        <f t="shared" ca="1" si="289"/>
        <v>-7.8331619601358637</v>
      </c>
    </row>
    <row r="625" spans="1:34" x14ac:dyDescent="0.2">
      <c r="A625" s="347">
        <f t="shared" ca="1" si="267"/>
        <v>1E-4</v>
      </c>
      <c r="B625" s="304">
        <f t="shared" ca="1" si="268"/>
        <v>34.509600000000539</v>
      </c>
      <c r="D625" s="306">
        <f t="shared" ca="1" si="269"/>
        <v>-0.71102682967113073</v>
      </c>
      <c r="E625" s="307">
        <f t="shared" ca="1" si="270"/>
        <v>-2.0091404975578158</v>
      </c>
      <c r="F625" s="304">
        <f t="shared" ca="1" si="271"/>
        <v>2.1312448689531305</v>
      </c>
      <c r="G625" s="306">
        <f t="shared" ca="1" si="272"/>
        <v>10.930003735064673</v>
      </c>
      <c r="H625" s="307">
        <f t="shared" ca="1" si="273"/>
        <v>-119.91688282025113</v>
      </c>
      <c r="I625" s="304">
        <f t="shared" ca="1" si="274"/>
        <v>120.41396832167922</v>
      </c>
      <c r="J625" s="306">
        <f t="shared" ca="1" si="275"/>
        <v>770.52896740167785</v>
      </c>
      <c r="K625" s="307">
        <f t="shared" ca="1" si="276"/>
        <v>-10.214062322355128</v>
      </c>
      <c r="L625" s="304">
        <f t="shared" ca="1" si="261"/>
        <v>770.59666277127155</v>
      </c>
      <c r="M625" s="306">
        <f t="shared" ca="1" si="277"/>
        <v>-1.47990098503809</v>
      </c>
      <c r="N625" s="304">
        <f t="shared" ca="1" si="278"/>
        <v>-84.792080539935739</v>
      </c>
      <c r="P625" s="310">
        <f t="shared" ca="1" si="279"/>
        <v>23</v>
      </c>
      <c r="Q625" s="304">
        <f t="shared" ca="1" si="280"/>
        <v>0</v>
      </c>
      <c r="R625" s="306">
        <f t="shared" ca="1" si="281"/>
        <v>0</v>
      </c>
      <c r="S625" s="307">
        <f t="shared" ca="1" si="282"/>
        <v>7.4499999999999984</v>
      </c>
      <c r="T625" s="304">
        <f t="shared" ca="1" si="262"/>
        <v>73.084499999999991</v>
      </c>
      <c r="U625" s="311">
        <f t="shared" ca="1" si="263"/>
        <v>0</v>
      </c>
      <c r="V625" s="306">
        <f t="shared" ca="1" si="264"/>
        <v>1.226251861964295</v>
      </c>
      <c r="W625" s="304">
        <f t="shared" ca="1" si="265"/>
        <v>58.357571931087577</v>
      </c>
      <c r="Y625" s="314" t="str">
        <f t="shared" ca="1" si="283"/>
        <v/>
      </c>
      <c r="Z625" s="315" t="str">
        <f t="shared" ca="1" si="284"/>
        <v/>
      </c>
      <c r="AA625" s="316" t="str">
        <f t="shared" ca="1" si="285"/>
        <v/>
      </c>
      <c r="AC625" s="310" t="e">
        <f t="shared" ca="1" si="286"/>
        <v>#N/A</v>
      </c>
      <c r="AD625" s="323" t="e">
        <f t="shared" ca="1" si="287"/>
        <v>#N/A</v>
      </c>
      <c r="AE625" s="324" t="e">
        <f t="shared" ca="1" si="266"/>
        <v>#N/A</v>
      </c>
      <c r="AG625" s="306">
        <f t="shared" ca="1" si="288"/>
        <v>1.9363057597748954</v>
      </c>
      <c r="AH625" s="304">
        <f t="shared" ca="1" si="289"/>
        <v>-7.8331965460694724</v>
      </c>
    </row>
    <row r="626" spans="1:34" x14ac:dyDescent="0.2">
      <c r="A626" s="347">
        <f t="shared" ca="1" si="267"/>
        <v>1E-4</v>
      </c>
      <c r="B626" s="304">
        <f t="shared" ca="1" si="268"/>
        <v>34.509700000000542</v>
      </c>
      <c r="D626" s="306">
        <f t="shared" ca="1" si="269"/>
        <v>-0.71102420026778401</v>
      </c>
      <c r="E626" s="307">
        <f t="shared" ca="1" si="270"/>
        <v>-2.0091055289085711</v>
      </c>
      <c r="F626" s="304">
        <f t="shared" ca="1" si="271"/>
        <v>2.1312110265427568</v>
      </c>
      <c r="G626" s="306">
        <f t="shared" ca="1" si="272"/>
        <v>10.929932632644647</v>
      </c>
      <c r="H626" s="307">
        <f t="shared" ca="1" si="273"/>
        <v>-119.91708373080402</v>
      </c>
      <c r="I626" s="304">
        <f t="shared" ca="1" si="274"/>
        <v>120.41416194889543</v>
      </c>
      <c r="J626" s="306">
        <f t="shared" ca="1" si="275"/>
        <v>770.52896740167785</v>
      </c>
      <c r="K626" s="307">
        <f t="shared" ca="1" si="276"/>
        <v>-10.22605402068268</v>
      </c>
      <c r="L626" s="304">
        <f t="shared" ca="1" si="261"/>
        <v>770.59682181146445</v>
      </c>
      <c r="M626" s="306">
        <f t="shared" ca="1" si="277"/>
        <v>-1.4799017245324757</v>
      </c>
      <c r="N626" s="304">
        <f t="shared" ca="1" si="278"/>
        <v>-84.792122909843016</v>
      </c>
      <c r="P626" s="310">
        <f t="shared" ca="1" si="279"/>
        <v>23</v>
      </c>
      <c r="Q626" s="304">
        <f t="shared" ca="1" si="280"/>
        <v>0</v>
      </c>
      <c r="R626" s="306">
        <f t="shared" ca="1" si="281"/>
        <v>0</v>
      </c>
      <c r="S626" s="307">
        <f t="shared" ca="1" si="282"/>
        <v>7.4499999999999984</v>
      </c>
      <c r="T626" s="304">
        <f t="shared" ca="1" si="262"/>
        <v>73.084499999999991</v>
      </c>
      <c r="U626" s="311">
        <f t="shared" ca="1" si="263"/>
        <v>0</v>
      </c>
      <c r="V626" s="306">
        <f t="shared" ca="1" si="264"/>
        <v>1.2262533324498006</v>
      </c>
      <c r="W626" s="304">
        <f t="shared" ca="1" si="265"/>
        <v>58.357829591622227</v>
      </c>
      <c r="Y626" s="314" t="str">
        <f t="shared" ca="1" si="283"/>
        <v/>
      </c>
      <c r="Z626" s="315" t="str">
        <f t="shared" ca="1" si="284"/>
        <v/>
      </c>
      <c r="AA626" s="316" t="str">
        <f t="shared" ca="1" si="285"/>
        <v/>
      </c>
      <c r="AC626" s="310" t="e">
        <f t="shared" ca="1" si="286"/>
        <v>#N/A</v>
      </c>
      <c r="AD626" s="323" t="e">
        <f t="shared" ca="1" si="287"/>
        <v>#N/A</v>
      </c>
      <c r="AE626" s="324" t="e">
        <f t="shared" ca="1" si="266"/>
        <v>#N/A</v>
      </c>
      <c r="AG626" s="306">
        <f t="shared" ca="1" si="288"/>
        <v>1.9362718326510207</v>
      </c>
      <c r="AH626" s="304">
        <f t="shared" ca="1" si="289"/>
        <v>-7.8332311316896091</v>
      </c>
    </row>
    <row r="627" spans="1:34" x14ac:dyDescent="0.2">
      <c r="A627" s="347">
        <f t="shared" ca="1" si="267"/>
        <v>1E-4</v>
      </c>
      <c r="B627" s="304">
        <f t="shared" ca="1" si="268"/>
        <v>34.509800000000546</v>
      </c>
      <c r="D627" s="306">
        <f t="shared" ca="1" si="269"/>
        <v>-0.71102157084073392</v>
      </c>
      <c r="E627" s="307">
        <f t="shared" ca="1" si="270"/>
        <v>-2.0090705605762391</v>
      </c>
      <c r="F627" s="304">
        <f t="shared" ca="1" si="271"/>
        <v>2.1311771844628375</v>
      </c>
      <c r="G627" s="306">
        <f t="shared" ca="1" si="272"/>
        <v>10.929861530487562</v>
      </c>
      <c r="H627" s="307">
        <f t="shared" ca="1" si="273"/>
        <v>-119.91728463786008</v>
      </c>
      <c r="I627" s="304">
        <f t="shared" ca="1" si="274"/>
        <v>120.41435557271892</v>
      </c>
      <c r="J627" s="306">
        <f t="shared" ca="1" si="275"/>
        <v>770.52896740167785</v>
      </c>
      <c r="K627" s="307">
        <f t="shared" ca="1" si="276"/>
        <v>-10.238045739101112</v>
      </c>
      <c r="L627" s="304">
        <f t="shared" ca="1" si="261"/>
        <v>770.59698103850099</v>
      </c>
      <c r="M627" s="306">
        <f t="shared" ca="1" si="277"/>
        <v>-1.4799024640196727</v>
      </c>
      <c r="N627" s="304">
        <f t="shared" ca="1" si="278"/>
        <v>-84.79216527933842</v>
      </c>
      <c r="P627" s="310">
        <f t="shared" ca="1" si="279"/>
        <v>23</v>
      </c>
      <c r="Q627" s="304">
        <f t="shared" ca="1" si="280"/>
        <v>0</v>
      </c>
      <c r="R627" s="306">
        <f t="shared" ca="1" si="281"/>
        <v>0</v>
      </c>
      <c r="S627" s="307">
        <f t="shared" ca="1" si="282"/>
        <v>7.4499999999999984</v>
      </c>
      <c r="T627" s="304">
        <f t="shared" ca="1" si="262"/>
        <v>73.084499999999991</v>
      </c>
      <c r="U627" s="311">
        <f t="shared" ca="1" si="263"/>
        <v>0</v>
      </c>
      <c r="V627" s="306">
        <f t="shared" ca="1" si="264"/>
        <v>1.2262548029395344</v>
      </c>
      <c r="W627" s="304">
        <f t="shared" ca="1" si="265"/>
        <v>58.358087249821502</v>
      </c>
      <c r="Y627" s="314" t="str">
        <f t="shared" ca="1" si="283"/>
        <v/>
      </c>
      <c r="Z627" s="315" t="str">
        <f t="shared" ca="1" si="284"/>
        <v/>
      </c>
      <c r="AA627" s="316" t="str">
        <f t="shared" ca="1" si="285"/>
        <v/>
      </c>
      <c r="AC627" s="310" t="e">
        <f t="shared" ca="1" si="286"/>
        <v>#N/A</v>
      </c>
      <c r="AD627" s="323" t="e">
        <f t="shared" ca="1" si="287"/>
        <v>#N/A</v>
      </c>
      <c r="AE627" s="324" t="e">
        <f t="shared" ca="1" si="266"/>
        <v>#N/A</v>
      </c>
      <c r="AG627" s="306">
        <f t="shared" ca="1" si="288"/>
        <v>1.9362379058288708</v>
      </c>
      <c r="AH627" s="304">
        <f t="shared" ca="1" si="289"/>
        <v>-7.8332657169962738</v>
      </c>
    </row>
    <row r="628" spans="1:34" x14ac:dyDescent="0.2">
      <c r="A628" s="347">
        <f t="shared" ca="1" si="267"/>
        <v>1E-4</v>
      </c>
      <c r="B628" s="304">
        <f t="shared" ca="1" si="268"/>
        <v>34.509900000000549</v>
      </c>
      <c r="D628" s="306">
        <f t="shared" ca="1" si="269"/>
        <v>-0.71101894138998012</v>
      </c>
      <c r="E628" s="307">
        <f t="shared" ca="1" si="270"/>
        <v>-2.0090355925608208</v>
      </c>
      <c r="F628" s="304">
        <f t="shared" ca="1" si="271"/>
        <v>2.1311433427133748</v>
      </c>
      <c r="G628" s="306">
        <f t="shared" ca="1" si="272"/>
        <v>10.929790428593423</v>
      </c>
      <c r="H628" s="307">
        <f t="shared" ca="1" si="273"/>
        <v>-119.91748554141934</v>
      </c>
      <c r="I628" s="304">
        <f t="shared" ca="1" si="274"/>
        <v>120.41454919314978</v>
      </c>
      <c r="J628" s="306">
        <f t="shared" ca="1" si="275"/>
        <v>770.52896740167785</v>
      </c>
      <c r="K628" s="307">
        <f t="shared" ca="1" si="276"/>
        <v>-10.250037477610077</v>
      </c>
      <c r="L628" s="304">
        <f t="shared" ca="1" si="261"/>
        <v>770.59714045238218</v>
      </c>
      <c r="M628" s="306">
        <f t="shared" ca="1" si="277"/>
        <v>-1.4799032034996811</v>
      </c>
      <c r="N628" s="304">
        <f t="shared" ca="1" si="278"/>
        <v>-84.792207648421922</v>
      </c>
      <c r="P628" s="310">
        <f t="shared" ca="1" si="279"/>
        <v>23</v>
      </c>
      <c r="Q628" s="304">
        <f t="shared" ca="1" si="280"/>
        <v>0</v>
      </c>
      <c r="R628" s="306">
        <f t="shared" ca="1" si="281"/>
        <v>0</v>
      </c>
      <c r="S628" s="307">
        <f t="shared" ca="1" si="282"/>
        <v>7.4499999999999984</v>
      </c>
      <c r="T628" s="304">
        <f t="shared" ca="1" si="262"/>
        <v>73.084499999999991</v>
      </c>
      <c r="U628" s="311">
        <f t="shared" ca="1" si="263"/>
        <v>0</v>
      </c>
      <c r="V628" s="306">
        <f t="shared" ca="1" si="264"/>
        <v>1.2262562734334961</v>
      </c>
      <c r="W628" s="304">
        <f t="shared" ca="1" si="265"/>
        <v>58.358344905685421</v>
      </c>
      <c r="Y628" s="314" t="str">
        <f t="shared" ca="1" si="283"/>
        <v/>
      </c>
      <c r="Z628" s="315" t="str">
        <f t="shared" ca="1" si="284"/>
        <v/>
      </c>
      <c r="AA628" s="316" t="str">
        <f t="shared" ca="1" si="285"/>
        <v/>
      </c>
      <c r="AC628" s="310" t="e">
        <f t="shared" ca="1" si="286"/>
        <v>#N/A</v>
      </c>
      <c r="AD628" s="323" t="e">
        <f t="shared" ca="1" si="287"/>
        <v>#N/A</v>
      </c>
      <c r="AE628" s="324" t="e">
        <f t="shared" ca="1" si="266"/>
        <v>#N/A</v>
      </c>
      <c r="AG628" s="306">
        <f t="shared" ca="1" si="288"/>
        <v>1.9362039793084547</v>
      </c>
      <c r="AH628" s="304">
        <f t="shared" ca="1" si="289"/>
        <v>-7.8333003019894649</v>
      </c>
    </row>
    <row r="629" spans="1:34" x14ac:dyDescent="0.2">
      <c r="A629" s="347">
        <f t="shared" ca="1" si="267"/>
        <v>1E-4</v>
      </c>
      <c r="B629" s="304">
        <f t="shared" ca="1" si="268"/>
        <v>34.510000000000552</v>
      </c>
      <c r="D629" s="306">
        <f t="shared" ca="1" si="269"/>
        <v>-0.71101631191552428</v>
      </c>
      <c r="E629" s="307">
        <f t="shared" ca="1" si="270"/>
        <v>-2.0090006248623125</v>
      </c>
      <c r="F629" s="304">
        <f t="shared" ca="1" si="271"/>
        <v>2.1311095012943646</v>
      </c>
      <c r="G629" s="306">
        <f t="shared" ca="1" si="272"/>
        <v>10.929719326962232</v>
      </c>
      <c r="H629" s="307">
        <f t="shared" ca="1" si="273"/>
        <v>-119.91768644148182</v>
      </c>
      <c r="I629" s="304">
        <f t="shared" ca="1" si="274"/>
        <v>120.414742810188</v>
      </c>
      <c r="J629" s="306">
        <f t="shared" ca="1" si="275"/>
        <v>770.52896740167785</v>
      </c>
      <c r="K629" s="307">
        <f t="shared" ca="1" si="276"/>
        <v>-10.262029236209221</v>
      </c>
      <c r="L629" s="304">
        <f t="shared" ca="1" si="261"/>
        <v>770.59730005310871</v>
      </c>
      <c r="M629" s="306">
        <f t="shared" ca="1" si="277"/>
        <v>-1.4799039429725007</v>
      </c>
      <c r="N629" s="304">
        <f t="shared" ca="1" si="278"/>
        <v>-84.792250017093551</v>
      </c>
      <c r="P629" s="310">
        <f t="shared" ca="1" si="279"/>
        <v>23</v>
      </c>
      <c r="Q629" s="304">
        <f t="shared" ca="1" si="280"/>
        <v>0</v>
      </c>
      <c r="R629" s="306">
        <f t="shared" ca="1" si="281"/>
        <v>0</v>
      </c>
      <c r="S629" s="307">
        <f t="shared" ca="1" si="282"/>
        <v>7.4499999999999984</v>
      </c>
      <c r="T629" s="304">
        <f t="shared" ca="1" si="262"/>
        <v>73.084499999999991</v>
      </c>
      <c r="U629" s="311">
        <f t="shared" ca="1" si="263"/>
        <v>0</v>
      </c>
      <c r="V629" s="306">
        <f t="shared" ca="1" si="264"/>
        <v>1.2262577439316855</v>
      </c>
      <c r="W629" s="304">
        <f t="shared" ca="1" si="265"/>
        <v>58.358602559213978</v>
      </c>
      <c r="Y629" s="314" t="str">
        <f t="shared" ca="1" si="283"/>
        <v/>
      </c>
      <c r="Z629" s="315" t="str">
        <f t="shared" ca="1" si="284"/>
        <v/>
      </c>
      <c r="AA629" s="316" t="str">
        <f t="shared" ca="1" si="285"/>
        <v/>
      </c>
      <c r="AC629" s="310" t="e">
        <f t="shared" ca="1" si="286"/>
        <v>#N/A</v>
      </c>
      <c r="AD629" s="323" t="e">
        <f t="shared" ca="1" si="287"/>
        <v>#N/A</v>
      </c>
      <c r="AE629" s="324" t="e">
        <f t="shared" ca="1" si="266"/>
        <v>#N/A</v>
      </c>
      <c r="AG629" s="306">
        <f t="shared" ca="1" si="288"/>
        <v>1.9361700530897634</v>
      </c>
      <c r="AH629" s="304">
        <f t="shared" ca="1" si="289"/>
        <v>-7.8333348866691859</v>
      </c>
    </row>
    <row r="630" spans="1:34" x14ac:dyDescent="0.2">
      <c r="A630" s="347">
        <f t="shared" ca="1" si="267"/>
        <v>1E-4</v>
      </c>
      <c r="B630" s="304">
        <f t="shared" ca="1" si="268"/>
        <v>34.510100000000556</v>
      </c>
      <c r="D630" s="306">
        <f t="shared" ca="1" si="269"/>
        <v>-0.71101368241736751</v>
      </c>
      <c r="E630" s="307">
        <f t="shared" ca="1" si="270"/>
        <v>-2.0089656574807169</v>
      </c>
      <c r="F630" s="304">
        <f t="shared" ca="1" si="271"/>
        <v>2.1310756602058114</v>
      </c>
      <c r="G630" s="306">
        <f t="shared" ca="1" si="272"/>
        <v>10.92964822559399</v>
      </c>
      <c r="H630" s="307">
        <f t="shared" ca="1" si="273"/>
        <v>-119.91788733804756</v>
      </c>
      <c r="I630" s="304">
        <f t="shared" ca="1" si="274"/>
        <v>120.41493642383364</v>
      </c>
      <c r="J630" s="306">
        <f t="shared" ca="1" si="275"/>
        <v>770.52896740167785</v>
      </c>
      <c r="K630" s="307">
        <f t="shared" ca="1" si="276"/>
        <v>-10.274021014898198</v>
      </c>
      <c r="L630" s="304">
        <f t="shared" ca="1" si="261"/>
        <v>770.59745984068138</v>
      </c>
      <c r="M630" s="306">
        <f t="shared" ca="1" si="277"/>
        <v>-1.4799046824381321</v>
      </c>
      <c r="N630" s="304">
        <f t="shared" ca="1" si="278"/>
        <v>-84.792292385353335</v>
      </c>
      <c r="P630" s="310">
        <f t="shared" ca="1" si="279"/>
        <v>23</v>
      </c>
      <c r="Q630" s="304">
        <f t="shared" ca="1" si="280"/>
        <v>0</v>
      </c>
      <c r="R630" s="306">
        <f t="shared" ca="1" si="281"/>
        <v>0</v>
      </c>
      <c r="S630" s="307">
        <f t="shared" ca="1" si="282"/>
        <v>7.4499999999999984</v>
      </c>
      <c r="T630" s="304">
        <f t="shared" ca="1" si="262"/>
        <v>73.084499999999991</v>
      </c>
      <c r="U630" s="311">
        <f t="shared" ca="1" si="263"/>
        <v>0</v>
      </c>
      <c r="V630" s="306">
        <f t="shared" ca="1" si="264"/>
        <v>1.2262592144341031</v>
      </c>
      <c r="W630" s="304">
        <f t="shared" ca="1" si="265"/>
        <v>58.35886021040718</v>
      </c>
      <c r="Y630" s="314" t="str">
        <f t="shared" ca="1" si="283"/>
        <v/>
      </c>
      <c r="Z630" s="315" t="str">
        <f t="shared" ca="1" si="284"/>
        <v/>
      </c>
      <c r="AA630" s="316" t="str">
        <f t="shared" ca="1" si="285"/>
        <v/>
      </c>
      <c r="AC630" s="310" t="e">
        <f t="shared" ca="1" si="286"/>
        <v>#N/A</v>
      </c>
      <c r="AD630" s="323" t="e">
        <f t="shared" ca="1" si="287"/>
        <v>#N/A</v>
      </c>
      <c r="AE630" s="324" t="e">
        <f t="shared" ca="1" si="266"/>
        <v>#N/A</v>
      </c>
      <c r="AG630" s="306">
        <f t="shared" ca="1" si="288"/>
        <v>1.9361361271728024</v>
      </c>
      <c r="AH630" s="304">
        <f t="shared" ca="1" si="289"/>
        <v>-7.8333694710354349</v>
      </c>
    </row>
    <row r="631" spans="1:34" x14ac:dyDescent="0.2">
      <c r="A631" s="347">
        <f t="shared" ca="1" si="267"/>
        <v>1E-4</v>
      </c>
      <c r="B631" s="304">
        <f t="shared" ca="1" si="268"/>
        <v>34.510200000000559</v>
      </c>
      <c r="D631" s="306">
        <f t="shared" ca="1" si="269"/>
        <v>-0.71101105289550826</v>
      </c>
      <c r="E631" s="307">
        <f t="shared" ca="1" si="270"/>
        <v>-2.0089306904160322</v>
      </c>
      <c r="F631" s="304">
        <f t="shared" ca="1" si="271"/>
        <v>2.1310418194477121</v>
      </c>
      <c r="G631" s="306">
        <f t="shared" ca="1" si="272"/>
        <v>10.9295771244887</v>
      </c>
      <c r="H631" s="307">
        <f t="shared" ca="1" si="273"/>
        <v>-119.9180882311166</v>
      </c>
      <c r="I631" s="304">
        <f t="shared" ca="1" si="274"/>
        <v>120.41513003408672</v>
      </c>
      <c r="J631" s="306">
        <f t="shared" ca="1" si="275"/>
        <v>770.52896740167785</v>
      </c>
      <c r="K631" s="307">
        <f t="shared" ca="1" si="276"/>
        <v>-10.286012813676656</v>
      </c>
      <c r="L631" s="304">
        <f t="shared" ca="1" si="261"/>
        <v>770.5976198151011</v>
      </c>
      <c r="M631" s="306">
        <f t="shared" ca="1" si="277"/>
        <v>-1.479905421896575</v>
      </c>
      <c r="N631" s="304">
        <f t="shared" ca="1" si="278"/>
        <v>-84.792334753201231</v>
      </c>
      <c r="P631" s="310">
        <f t="shared" ca="1" si="279"/>
        <v>23</v>
      </c>
      <c r="Q631" s="304">
        <f t="shared" ca="1" si="280"/>
        <v>0</v>
      </c>
      <c r="R631" s="306">
        <f t="shared" ca="1" si="281"/>
        <v>0</v>
      </c>
      <c r="S631" s="307">
        <f t="shared" ca="1" si="282"/>
        <v>7.4499999999999984</v>
      </c>
      <c r="T631" s="304">
        <f t="shared" ca="1" si="262"/>
        <v>73.084499999999991</v>
      </c>
      <c r="U631" s="311">
        <f t="shared" ca="1" si="263"/>
        <v>0</v>
      </c>
      <c r="V631" s="306">
        <f t="shared" ca="1" si="264"/>
        <v>1.2262606849407485</v>
      </c>
      <c r="W631" s="304">
        <f t="shared" ca="1" si="265"/>
        <v>58.359117859265034</v>
      </c>
      <c r="Y631" s="314" t="str">
        <f t="shared" ca="1" si="283"/>
        <v/>
      </c>
      <c r="Z631" s="315" t="str">
        <f t="shared" ca="1" si="284"/>
        <v/>
      </c>
      <c r="AA631" s="316" t="str">
        <f t="shared" ca="1" si="285"/>
        <v/>
      </c>
      <c r="AC631" s="310" t="e">
        <f t="shared" ca="1" si="286"/>
        <v>#N/A</v>
      </c>
      <c r="AD631" s="323" t="e">
        <f t="shared" ca="1" si="287"/>
        <v>#N/A</v>
      </c>
      <c r="AE631" s="324" t="e">
        <f t="shared" ca="1" si="266"/>
        <v>#N/A</v>
      </c>
      <c r="AG631" s="306">
        <f t="shared" ca="1" si="288"/>
        <v>1.9361022015575662</v>
      </c>
      <c r="AH631" s="304">
        <f t="shared" ca="1" si="289"/>
        <v>-7.8334040550882138</v>
      </c>
    </row>
    <row r="632" spans="1:34" x14ac:dyDescent="0.2">
      <c r="A632" s="347">
        <f t="shared" ca="1" si="267"/>
        <v>1E-4</v>
      </c>
      <c r="B632" s="304">
        <f t="shared" ca="1" si="268"/>
        <v>34.510300000000562</v>
      </c>
      <c r="D632" s="306">
        <f t="shared" ca="1" si="269"/>
        <v>-0.7110084233499494</v>
      </c>
      <c r="E632" s="307">
        <f t="shared" ca="1" si="270"/>
        <v>-2.0088957236682576</v>
      </c>
      <c r="F632" s="304">
        <f t="shared" ca="1" si="271"/>
        <v>2.1310079790200676</v>
      </c>
      <c r="G632" s="306">
        <f t="shared" ca="1" si="272"/>
        <v>10.929506023646365</v>
      </c>
      <c r="H632" s="307">
        <f t="shared" ca="1" si="273"/>
        <v>-119.91828912068897</v>
      </c>
      <c r="I632" s="304">
        <f t="shared" ca="1" si="274"/>
        <v>120.41532364094726</v>
      </c>
      <c r="J632" s="306">
        <f t="shared" ca="1" si="275"/>
        <v>770.52896740167785</v>
      </c>
      <c r="K632" s="307">
        <f t="shared" ca="1" si="276"/>
        <v>-10.298004632544247</v>
      </c>
      <c r="L632" s="304">
        <f t="shared" ca="1" si="261"/>
        <v>770.59777997636866</v>
      </c>
      <c r="M632" s="306">
        <f t="shared" ca="1" si="277"/>
        <v>-1.4799061613478297</v>
      </c>
      <c r="N632" s="304">
        <f t="shared" ca="1" si="278"/>
        <v>-84.792377120637283</v>
      </c>
      <c r="P632" s="310">
        <f t="shared" ca="1" si="279"/>
        <v>23</v>
      </c>
      <c r="Q632" s="304">
        <f t="shared" ca="1" si="280"/>
        <v>0</v>
      </c>
      <c r="R632" s="306">
        <f t="shared" ca="1" si="281"/>
        <v>0</v>
      </c>
      <c r="S632" s="307">
        <f t="shared" ca="1" si="282"/>
        <v>7.4499999999999984</v>
      </c>
      <c r="T632" s="304">
        <f t="shared" ca="1" si="262"/>
        <v>73.084499999999991</v>
      </c>
      <c r="U632" s="311">
        <f t="shared" ca="1" si="263"/>
        <v>0</v>
      </c>
      <c r="V632" s="306">
        <f t="shared" ca="1" si="264"/>
        <v>1.2262621554516209</v>
      </c>
      <c r="W632" s="304">
        <f t="shared" ca="1" si="265"/>
        <v>58.359375505787519</v>
      </c>
      <c r="Y632" s="314" t="str">
        <f t="shared" ca="1" si="283"/>
        <v/>
      </c>
      <c r="Z632" s="315" t="str">
        <f t="shared" ca="1" si="284"/>
        <v/>
      </c>
      <c r="AA632" s="316" t="str">
        <f t="shared" ca="1" si="285"/>
        <v/>
      </c>
      <c r="AC632" s="310" t="e">
        <f t="shared" ca="1" si="286"/>
        <v>#N/A</v>
      </c>
      <c r="AD632" s="323" t="e">
        <f t="shared" ca="1" si="287"/>
        <v>#N/A</v>
      </c>
      <c r="AE632" s="324" t="e">
        <f t="shared" ca="1" si="266"/>
        <v>#N/A</v>
      </c>
      <c r="AG632" s="306">
        <f t="shared" ca="1" si="288"/>
        <v>1.9360682762440584</v>
      </c>
      <c r="AH632" s="304">
        <f t="shared" ca="1" si="289"/>
        <v>-7.8334386388275226</v>
      </c>
    </row>
    <row r="633" spans="1:34" x14ac:dyDescent="0.2">
      <c r="A633" s="347">
        <f t="shared" ca="1" si="267"/>
        <v>1E-4</v>
      </c>
      <c r="B633" s="304">
        <f t="shared" ca="1" si="268"/>
        <v>34.510400000000566</v>
      </c>
      <c r="D633" s="306">
        <f t="shared" ca="1" si="269"/>
        <v>-0.71100579378069084</v>
      </c>
      <c r="E633" s="307">
        <f t="shared" ca="1" si="270"/>
        <v>-2.008860757237394</v>
      </c>
      <c r="F633" s="304">
        <f t="shared" ca="1" si="271"/>
        <v>2.1309741389228791</v>
      </c>
      <c r="G633" s="306">
        <f t="shared" ca="1" si="272"/>
        <v>10.929434923066987</v>
      </c>
      <c r="H633" s="307">
        <f t="shared" ca="1" si="273"/>
        <v>-119.91849000676469</v>
      </c>
      <c r="I633" s="304">
        <f t="shared" ca="1" si="274"/>
        <v>120.4155172444153</v>
      </c>
      <c r="J633" s="306">
        <f t="shared" ca="1" si="275"/>
        <v>770.52896740167785</v>
      </c>
      <c r="K633" s="307">
        <f t="shared" ca="1" si="276"/>
        <v>-10.30999647150062</v>
      </c>
      <c r="L633" s="304">
        <f t="shared" ca="1" si="261"/>
        <v>770.59794032448485</v>
      </c>
      <c r="M633" s="306">
        <f t="shared" ca="1" si="277"/>
        <v>-1.4799069007918961</v>
      </c>
      <c r="N633" s="304">
        <f t="shared" ca="1" si="278"/>
        <v>-84.792419487661476</v>
      </c>
      <c r="P633" s="310">
        <f t="shared" ca="1" si="279"/>
        <v>23</v>
      </c>
      <c r="Q633" s="304">
        <f t="shared" ca="1" si="280"/>
        <v>0</v>
      </c>
      <c r="R633" s="306">
        <f t="shared" ca="1" si="281"/>
        <v>0</v>
      </c>
      <c r="S633" s="307">
        <f t="shared" ca="1" si="282"/>
        <v>7.4499999999999984</v>
      </c>
      <c r="T633" s="304">
        <f t="shared" ca="1" si="262"/>
        <v>73.084499999999991</v>
      </c>
      <c r="U633" s="311">
        <f t="shared" ca="1" si="263"/>
        <v>0</v>
      </c>
      <c r="V633" s="306">
        <f t="shared" ca="1" si="264"/>
        <v>1.2262636259667219</v>
      </c>
      <c r="W633" s="304">
        <f t="shared" ca="1" si="265"/>
        <v>58.359633149974684</v>
      </c>
      <c r="Y633" s="314" t="str">
        <f t="shared" ca="1" si="283"/>
        <v/>
      </c>
      <c r="Z633" s="315" t="str">
        <f t="shared" ca="1" si="284"/>
        <v/>
      </c>
      <c r="AA633" s="316" t="str">
        <f t="shared" ca="1" si="285"/>
        <v/>
      </c>
      <c r="AC633" s="310" t="e">
        <f t="shared" ca="1" si="286"/>
        <v>#N/A</v>
      </c>
      <c r="AD633" s="323" t="e">
        <f t="shared" ca="1" si="287"/>
        <v>#N/A</v>
      </c>
      <c r="AE633" s="324" t="e">
        <f t="shared" ca="1" si="266"/>
        <v>#N/A</v>
      </c>
      <c r="AG633" s="306">
        <f t="shared" ca="1" si="288"/>
        <v>1.9360343512322817</v>
      </c>
      <c r="AH633" s="304">
        <f t="shared" ca="1" si="289"/>
        <v>-7.8334732222533603</v>
      </c>
    </row>
    <row r="634" spans="1:34" x14ac:dyDescent="0.2">
      <c r="A634" s="347">
        <f t="shared" ca="1" si="267"/>
        <v>1E-4</v>
      </c>
      <c r="B634" s="304">
        <f t="shared" ca="1" si="268"/>
        <v>34.510500000000569</v>
      </c>
      <c r="D634" s="306">
        <f t="shared" ca="1" si="269"/>
        <v>-0.71100316418773435</v>
      </c>
      <c r="E634" s="307">
        <f t="shared" ca="1" si="270"/>
        <v>-2.0088257911234377</v>
      </c>
      <c r="F634" s="304">
        <f t="shared" ca="1" si="271"/>
        <v>2.1309402991561437</v>
      </c>
      <c r="G634" s="306">
        <f t="shared" ca="1" si="272"/>
        <v>10.929363822750569</v>
      </c>
      <c r="H634" s="307">
        <f t="shared" ca="1" si="273"/>
        <v>-119.91869088934379</v>
      </c>
      <c r="I634" s="304">
        <f t="shared" ca="1" si="274"/>
        <v>120.41571084449086</v>
      </c>
      <c r="J634" s="306">
        <f t="shared" ca="1" si="275"/>
        <v>770.52896740167785</v>
      </c>
      <c r="K634" s="307">
        <f t="shared" ca="1" si="276"/>
        <v>-10.321988330545425</v>
      </c>
      <c r="L634" s="304">
        <f t="shared" ca="1" si="261"/>
        <v>770.59810085945048</v>
      </c>
      <c r="M634" s="306">
        <f t="shared" ca="1" si="277"/>
        <v>-1.4799076402287743</v>
      </c>
      <c r="N634" s="304">
        <f t="shared" ca="1" si="278"/>
        <v>-84.79246185427381</v>
      </c>
      <c r="P634" s="310">
        <f t="shared" ca="1" si="279"/>
        <v>23</v>
      </c>
      <c r="Q634" s="304">
        <f t="shared" ca="1" si="280"/>
        <v>0</v>
      </c>
      <c r="R634" s="306">
        <f t="shared" ca="1" si="281"/>
        <v>0</v>
      </c>
      <c r="S634" s="307">
        <f t="shared" ca="1" si="282"/>
        <v>7.4499999999999984</v>
      </c>
      <c r="T634" s="304">
        <f t="shared" ca="1" si="262"/>
        <v>73.084499999999991</v>
      </c>
      <c r="U634" s="311">
        <f t="shared" ca="1" si="263"/>
        <v>0</v>
      </c>
      <c r="V634" s="306">
        <f t="shared" ca="1" si="264"/>
        <v>1.2262650964860504</v>
      </c>
      <c r="W634" s="304">
        <f t="shared" ca="1" si="265"/>
        <v>58.359890791826494</v>
      </c>
      <c r="Y634" s="314" t="str">
        <f t="shared" ca="1" si="283"/>
        <v/>
      </c>
      <c r="Z634" s="315" t="str">
        <f t="shared" ca="1" si="284"/>
        <v/>
      </c>
      <c r="AA634" s="316" t="str">
        <f t="shared" ca="1" si="285"/>
        <v/>
      </c>
      <c r="AC634" s="310" t="e">
        <f t="shared" ca="1" si="286"/>
        <v>#N/A</v>
      </c>
      <c r="AD634" s="323" t="e">
        <f t="shared" ca="1" si="287"/>
        <v>#N/A</v>
      </c>
      <c r="AE634" s="324" t="e">
        <f t="shared" ca="1" si="266"/>
        <v>#N/A</v>
      </c>
      <c r="AG634" s="306">
        <f t="shared" ca="1" si="288"/>
        <v>1.9360004265222281</v>
      </c>
      <c r="AH634" s="304">
        <f t="shared" ca="1" si="289"/>
        <v>-7.8335078053657314</v>
      </c>
    </row>
    <row r="635" spans="1:34" x14ac:dyDescent="0.2">
      <c r="A635" s="347">
        <f t="shared" ca="1" si="267"/>
        <v>1E-4</v>
      </c>
      <c r="B635" s="304">
        <f t="shared" ca="1" si="268"/>
        <v>34.510600000000572</v>
      </c>
      <c r="D635" s="306">
        <f t="shared" ca="1" si="269"/>
        <v>-0.71100053457108081</v>
      </c>
      <c r="E635" s="307">
        <f t="shared" ca="1" si="270"/>
        <v>-2.0087908253263924</v>
      </c>
      <c r="F635" s="304">
        <f t="shared" ca="1" si="271"/>
        <v>2.1309064597198657</v>
      </c>
      <c r="G635" s="306">
        <f t="shared" ca="1" si="272"/>
        <v>10.929292722697111</v>
      </c>
      <c r="H635" s="307">
        <f t="shared" ca="1" si="273"/>
        <v>-119.91889176842632</v>
      </c>
      <c r="I635" s="304">
        <f t="shared" ca="1" si="274"/>
        <v>120.41590444117399</v>
      </c>
      <c r="J635" s="306">
        <f t="shared" ca="1" si="275"/>
        <v>770.52896740167785</v>
      </c>
      <c r="K635" s="307">
        <f t="shared" ca="1" si="276"/>
        <v>-10.333980209678314</v>
      </c>
      <c r="L635" s="304">
        <f t="shared" ca="1" si="261"/>
        <v>770.59826158126646</v>
      </c>
      <c r="M635" s="306">
        <f t="shared" ca="1" si="277"/>
        <v>-1.4799083796584649</v>
      </c>
      <c r="N635" s="304">
        <f t="shared" ca="1" si="278"/>
        <v>-84.792504220474328</v>
      </c>
      <c r="P635" s="310">
        <f t="shared" ca="1" si="279"/>
        <v>23</v>
      </c>
      <c r="Q635" s="304">
        <f t="shared" ca="1" si="280"/>
        <v>0</v>
      </c>
      <c r="R635" s="306">
        <f t="shared" ca="1" si="281"/>
        <v>0</v>
      </c>
      <c r="S635" s="307">
        <f t="shared" ca="1" si="282"/>
        <v>7.4499999999999984</v>
      </c>
      <c r="T635" s="304">
        <f t="shared" ca="1" si="262"/>
        <v>73.084499999999991</v>
      </c>
      <c r="U635" s="311">
        <f t="shared" ca="1" si="263"/>
        <v>0</v>
      </c>
      <c r="V635" s="306">
        <f t="shared" ca="1" si="264"/>
        <v>1.2262665670096062</v>
      </c>
      <c r="W635" s="304">
        <f t="shared" ca="1" si="265"/>
        <v>58.360148431342957</v>
      </c>
      <c r="Y635" s="314" t="str">
        <f t="shared" ca="1" si="283"/>
        <v/>
      </c>
      <c r="Z635" s="315" t="str">
        <f t="shared" ca="1" si="284"/>
        <v/>
      </c>
      <c r="AA635" s="316" t="str">
        <f t="shared" ca="1" si="285"/>
        <v/>
      </c>
      <c r="AC635" s="310" t="e">
        <f t="shared" ca="1" si="286"/>
        <v>#N/A</v>
      </c>
      <c r="AD635" s="323" t="e">
        <f t="shared" ca="1" si="287"/>
        <v>#N/A</v>
      </c>
      <c r="AE635" s="324" t="e">
        <f t="shared" ca="1" si="266"/>
        <v>#N/A</v>
      </c>
      <c r="AG635" s="306">
        <f t="shared" ca="1" si="288"/>
        <v>1.9359665021139021</v>
      </c>
      <c r="AH635" s="304">
        <f t="shared" ca="1" si="289"/>
        <v>-7.8335423881646316</v>
      </c>
    </row>
    <row r="636" spans="1:34" x14ac:dyDescent="0.2">
      <c r="A636" s="347">
        <f t="shared" ca="1" si="267"/>
        <v>1E-4</v>
      </c>
      <c r="B636" s="304">
        <f t="shared" ca="1" si="268"/>
        <v>34.510700000000575</v>
      </c>
      <c r="D636" s="306">
        <f t="shared" ca="1" si="269"/>
        <v>-0.7109979049307269</v>
      </c>
      <c r="E636" s="307">
        <f t="shared" ca="1" si="270"/>
        <v>-2.0087558598462554</v>
      </c>
      <c r="F636" s="304">
        <f t="shared" ca="1" si="271"/>
        <v>2.1308726206140411</v>
      </c>
      <c r="G636" s="306">
        <f t="shared" ca="1" si="272"/>
        <v>10.929221622906619</v>
      </c>
      <c r="H636" s="307">
        <f t="shared" ca="1" si="273"/>
        <v>-119.91909264401231</v>
      </c>
      <c r="I636" s="304">
        <f t="shared" ca="1" si="274"/>
        <v>120.41609803446471</v>
      </c>
      <c r="J636" s="306">
        <f t="shared" ca="1" si="275"/>
        <v>770.52896740167785</v>
      </c>
      <c r="K636" s="307">
        <f t="shared" ca="1" si="276"/>
        <v>-10.345972108898936</v>
      </c>
      <c r="L636" s="304">
        <f t="shared" ca="1" si="261"/>
        <v>770.59842248993357</v>
      </c>
      <c r="M636" s="306">
        <f t="shared" ca="1" si="277"/>
        <v>-1.4799091190809672</v>
      </c>
      <c r="N636" s="304">
        <f t="shared" ca="1" si="278"/>
        <v>-84.792546586262986</v>
      </c>
      <c r="P636" s="310">
        <f t="shared" ca="1" si="279"/>
        <v>23</v>
      </c>
      <c r="Q636" s="304">
        <f t="shared" ca="1" si="280"/>
        <v>0</v>
      </c>
      <c r="R636" s="306">
        <f t="shared" ca="1" si="281"/>
        <v>0</v>
      </c>
      <c r="S636" s="307">
        <f t="shared" ca="1" si="282"/>
        <v>7.4499999999999984</v>
      </c>
      <c r="T636" s="304">
        <f t="shared" ca="1" si="262"/>
        <v>73.084499999999991</v>
      </c>
      <c r="U636" s="311">
        <f t="shared" ca="1" si="263"/>
        <v>0</v>
      </c>
      <c r="V636" s="306">
        <f t="shared" ca="1" si="264"/>
        <v>1.2262680375373898</v>
      </c>
      <c r="W636" s="304">
        <f t="shared" ca="1" si="265"/>
        <v>58.360406068524071</v>
      </c>
      <c r="Y636" s="314" t="str">
        <f t="shared" ca="1" si="283"/>
        <v/>
      </c>
      <c r="Z636" s="315" t="str">
        <f t="shared" ca="1" si="284"/>
        <v/>
      </c>
      <c r="AA636" s="316" t="str">
        <f t="shared" ca="1" si="285"/>
        <v/>
      </c>
      <c r="AC636" s="310" t="e">
        <f t="shared" ca="1" si="286"/>
        <v>#N/A</v>
      </c>
      <c r="AD636" s="323" t="e">
        <f t="shared" ca="1" si="287"/>
        <v>#N/A</v>
      </c>
      <c r="AE636" s="324" t="e">
        <f t="shared" ca="1" si="266"/>
        <v>#N/A</v>
      </c>
      <c r="AG636" s="306">
        <f t="shared" ca="1" si="288"/>
        <v>1.9359325780073044</v>
      </c>
      <c r="AH636" s="304">
        <f t="shared" ca="1" si="289"/>
        <v>-7.8335769706500633</v>
      </c>
    </row>
    <row r="637" spans="1:34" x14ac:dyDescent="0.2">
      <c r="A637" s="347">
        <f t="shared" ca="1" si="267"/>
        <v>1E-4</v>
      </c>
      <c r="B637" s="304">
        <f t="shared" ca="1" si="268"/>
        <v>34.510800000000579</v>
      </c>
      <c r="D637" s="306">
        <f t="shared" ca="1" si="269"/>
        <v>-0.71099527526667905</v>
      </c>
      <c r="E637" s="307">
        <f t="shared" ca="1" si="270"/>
        <v>-2.0087208946830302</v>
      </c>
      <c r="F637" s="304">
        <f t="shared" ca="1" si="271"/>
        <v>2.1308387818386763</v>
      </c>
      <c r="G637" s="306">
        <f t="shared" ca="1" si="272"/>
        <v>10.929150523379093</v>
      </c>
      <c r="H637" s="307">
        <f t="shared" ca="1" si="273"/>
        <v>-119.91929351610177</v>
      </c>
      <c r="I637" s="304">
        <f t="shared" ca="1" si="274"/>
        <v>120.41629162436305</v>
      </c>
      <c r="J637" s="306">
        <f t="shared" ca="1" si="275"/>
        <v>770.52896740167785</v>
      </c>
      <c r="K637" s="307">
        <f t="shared" ca="1" si="276"/>
        <v>-10.357964028206942</v>
      </c>
      <c r="L637" s="304">
        <f t="shared" ca="1" si="261"/>
        <v>770.5985835854525</v>
      </c>
      <c r="M637" s="306">
        <f t="shared" ca="1" si="277"/>
        <v>-1.479909858496282</v>
      </c>
      <c r="N637" s="304">
        <f t="shared" ca="1" si="278"/>
        <v>-84.792588951639829</v>
      </c>
      <c r="P637" s="310">
        <f t="shared" ca="1" si="279"/>
        <v>23</v>
      </c>
      <c r="Q637" s="304">
        <f t="shared" ca="1" si="280"/>
        <v>0</v>
      </c>
      <c r="R637" s="306">
        <f t="shared" ca="1" si="281"/>
        <v>0</v>
      </c>
      <c r="S637" s="307">
        <f t="shared" ca="1" si="282"/>
        <v>7.4499999999999984</v>
      </c>
      <c r="T637" s="304">
        <f t="shared" ca="1" si="262"/>
        <v>73.084499999999991</v>
      </c>
      <c r="U637" s="311">
        <f t="shared" ca="1" si="263"/>
        <v>0</v>
      </c>
      <c r="V637" s="306">
        <f t="shared" ca="1" si="264"/>
        <v>1.2262695080694013</v>
      </c>
      <c r="W637" s="304">
        <f t="shared" ca="1" si="265"/>
        <v>58.360663703369895</v>
      </c>
      <c r="Y637" s="314" t="str">
        <f t="shared" ca="1" si="283"/>
        <v/>
      </c>
      <c r="Z637" s="315" t="str">
        <f t="shared" ca="1" si="284"/>
        <v/>
      </c>
      <c r="AA637" s="316" t="str">
        <f t="shared" ca="1" si="285"/>
        <v/>
      </c>
      <c r="AC637" s="310" t="e">
        <f t="shared" ca="1" si="286"/>
        <v>#N/A</v>
      </c>
      <c r="AD637" s="323" t="e">
        <f t="shared" ca="1" si="287"/>
        <v>#N/A</v>
      </c>
      <c r="AE637" s="324" t="e">
        <f t="shared" ca="1" si="266"/>
        <v>#N/A</v>
      </c>
      <c r="AG637" s="306">
        <f t="shared" ca="1" si="288"/>
        <v>1.9358986542024335</v>
      </c>
      <c r="AH637" s="304">
        <f t="shared" ca="1" si="289"/>
        <v>-7.8336115528220249</v>
      </c>
    </row>
    <row r="638" spans="1:34" x14ac:dyDescent="0.2">
      <c r="A638" s="347">
        <f t="shared" ca="1" si="267"/>
        <v>1E-4</v>
      </c>
      <c r="B638" s="304">
        <f t="shared" ca="1" si="268"/>
        <v>34.510900000000582</v>
      </c>
      <c r="D638" s="306">
        <f t="shared" ca="1" si="269"/>
        <v>-0.71099264557893416</v>
      </c>
      <c r="E638" s="307">
        <f t="shared" ca="1" si="270"/>
        <v>-2.0086859298367061</v>
      </c>
      <c r="F638" s="304">
        <f t="shared" ca="1" si="271"/>
        <v>2.1308049433937599</v>
      </c>
      <c r="G638" s="306">
        <f t="shared" ca="1" si="272"/>
        <v>10.929079424114535</v>
      </c>
      <c r="H638" s="307">
        <f t="shared" ca="1" si="273"/>
        <v>-119.91949438469476</v>
      </c>
      <c r="I638" s="304">
        <f t="shared" ca="1" si="274"/>
        <v>120.41648521086904</v>
      </c>
      <c r="J638" s="306">
        <f t="shared" ca="1" si="275"/>
        <v>770.52896740167785</v>
      </c>
      <c r="K638" s="307">
        <f t="shared" ca="1" si="276"/>
        <v>-10.369955967601982</v>
      </c>
      <c r="L638" s="304">
        <f t="shared" ca="1" si="261"/>
        <v>770.59874486782417</v>
      </c>
      <c r="M638" s="306">
        <f t="shared" ca="1" si="277"/>
        <v>-1.4799105979044092</v>
      </c>
      <c r="N638" s="304">
        <f t="shared" ca="1" si="278"/>
        <v>-84.792631316604854</v>
      </c>
      <c r="P638" s="310">
        <f t="shared" ca="1" si="279"/>
        <v>23</v>
      </c>
      <c r="Q638" s="304">
        <f t="shared" ca="1" si="280"/>
        <v>0</v>
      </c>
      <c r="R638" s="306">
        <f t="shared" ca="1" si="281"/>
        <v>0</v>
      </c>
      <c r="S638" s="307">
        <f t="shared" ca="1" si="282"/>
        <v>7.4499999999999984</v>
      </c>
      <c r="T638" s="304">
        <f t="shared" ca="1" si="262"/>
        <v>73.084499999999991</v>
      </c>
      <c r="U638" s="311">
        <f t="shared" ca="1" si="263"/>
        <v>0</v>
      </c>
      <c r="V638" s="306">
        <f t="shared" ca="1" si="264"/>
        <v>1.2262709786056403</v>
      </c>
      <c r="W638" s="304">
        <f t="shared" ca="1" si="265"/>
        <v>58.360921335880349</v>
      </c>
      <c r="Y638" s="314" t="str">
        <f t="shared" ca="1" si="283"/>
        <v/>
      </c>
      <c r="Z638" s="315" t="str">
        <f t="shared" ca="1" si="284"/>
        <v/>
      </c>
      <c r="AA638" s="316" t="str">
        <f t="shared" ca="1" si="285"/>
        <v/>
      </c>
      <c r="AC638" s="310" t="e">
        <f t="shared" ca="1" si="286"/>
        <v>#N/A</v>
      </c>
      <c r="AD638" s="323" t="e">
        <f t="shared" ca="1" si="287"/>
        <v>#N/A</v>
      </c>
      <c r="AE638" s="324" t="e">
        <f t="shared" ca="1" si="266"/>
        <v>#N/A</v>
      </c>
      <c r="AG638" s="306">
        <f t="shared" ca="1" si="288"/>
        <v>1.9358647306992829</v>
      </c>
      <c r="AH638" s="304">
        <f t="shared" ca="1" si="289"/>
        <v>-7.8336461346805244</v>
      </c>
    </row>
    <row r="639" spans="1:34" x14ac:dyDescent="0.2">
      <c r="A639" s="347">
        <f t="shared" ca="1" si="267"/>
        <v>1E-4</v>
      </c>
      <c r="B639" s="304">
        <f t="shared" ca="1" si="268"/>
        <v>34.511000000000585</v>
      </c>
      <c r="D639" s="306">
        <f t="shared" ca="1" si="269"/>
        <v>-0.71099001586749289</v>
      </c>
      <c r="E639" s="307">
        <f t="shared" ca="1" si="270"/>
        <v>-2.0086509653072948</v>
      </c>
      <c r="F639" s="304">
        <f t="shared" ca="1" si="271"/>
        <v>2.1307711052793037</v>
      </c>
      <c r="G639" s="306">
        <f t="shared" ca="1" si="272"/>
        <v>10.929008325112948</v>
      </c>
      <c r="H639" s="307">
        <f t="shared" ca="1" si="273"/>
        <v>-119.91969524979129</v>
      </c>
      <c r="I639" s="304">
        <f t="shared" ca="1" si="274"/>
        <v>120.41667879398271</v>
      </c>
      <c r="J639" s="306">
        <f t="shared" ca="1" si="275"/>
        <v>770.52896740167785</v>
      </c>
      <c r="K639" s="307">
        <f t="shared" ca="1" si="276"/>
        <v>-10.381947927083706</v>
      </c>
      <c r="L639" s="304">
        <f t="shared" ca="1" si="261"/>
        <v>770.59890633704936</v>
      </c>
      <c r="M639" s="306">
        <f t="shared" ca="1" si="277"/>
        <v>-1.4799113373053487</v>
      </c>
      <c r="N639" s="304">
        <f t="shared" ca="1" si="278"/>
        <v>-84.792673681158064</v>
      </c>
      <c r="P639" s="310">
        <f t="shared" ca="1" si="279"/>
        <v>23</v>
      </c>
      <c r="Q639" s="304">
        <f t="shared" ca="1" si="280"/>
        <v>0</v>
      </c>
      <c r="R639" s="306">
        <f t="shared" ca="1" si="281"/>
        <v>0</v>
      </c>
      <c r="S639" s="307">
        <f t="shared" ca="1" si="282"/>
        <v>7.4499999999999984</v>
      </c>
      <c r="T639" s="304">
        <f t="shared" ca="1" si="262"/>
        <v>73.084499999999991</v>
      </c>
      <c r="U639" s="311">
        <f t="shared" ca="1" si="263"/>
        <v>0</v>
      </c>
      <c r="V639" s="306">
        <f t="shared" ca="1" si="264"/>
        <v>1.2262724491461063</v>
      </c>
      <c r="W639" s="304">
        <f t="shared" ca="1" si="265"/>
        <v>58.361178966055483</v>
      </c>
      <c r="Y639" s="314" t="str">
        <f t="shared" ca="1" si="283"/>
        <v/>
      </c>
      <c r="Z639" s="315" t="str">
        <f t="shared" ca="1" si="284"/>
        <v/>
      </c>
      <c r="AA639" s="316" t="str">
        <f t="shared" ca="1" si="285"/>
        <v/>
      </c>
      <c r="AC639" s="310" t="e">
        <f t="shared" ca="1" si="286"/>
        <v>#N/A</v>
      </c>
      <c r="AD639" s="323" t="e">
        <f t="shared" ca="1" si="287"/>
        <v>#N/A</v>
      </c>
      <c r="AE639" s="324" t="e">
        <f t="shared" ca="1" si="266"/>
        <v>#N/A</v>
      </c>
      <c r="AG639" s="306">
        <f t="shared" ca="1" si="288"/>
        <v>1.9358308074978678</v>
      </c>
      <c r="AH639" s="304">
        <f t="shared" ca="1" si="289"/>
        <v>-7.833680716225552</v>
      </c>
    </row>
    <row r="640" spans="1:34" x14ac:dyDescent="0.2">
      <c r="A640" s="347">
        <f t="shared" ca="1" si="267"/>
        <v>1E-4</v>
      </c>
      <c r="B640" s="304">
        <f t="shared" ca="1" si="268"/>
        <v>34.511100000000589</v>
      </c>
      <c r="D640" s="306">
        <f t="shared" ca="1" si="269"/>
        <v>-0.71098738613235712</v>
      </c>
      <c r="E640" s="307">
        <f t="shared" ca="1" si="270"/>
        <v>-2.0086160010947891</v>
      </c>
      <c r="F640" s="304">
        <f t="shared" ca="1" si="271"/>
        <v>2.1307372674953013</v>
      </c>
      <c r="G640" s="306">
        <f t="shared" ca="1" si="272"/>
        <v>10.928937226374334</v>
      </c>
      <c r="H640" s="307">
        <f t="shared" ca="1" si="273"/>
        <v>-119.9198961113914</v>
      </c>
      <c r="I640" s="304">
        <f t="shared" ca="1" si="274"/>
        <v>120.41687237370408</v>
      </c>
      <c r="J640" s="306">
        <f t="shared" ca="1" si="275"/>
        <v>770.52896740167785</v>
      </c>
      <c r="K640" s="307">
        <f t="shared" ca="1" si="276"/>
        <v>-10.393939906651765</v>
      </c>
      <c r="L640" s="304">
        <f t="shared" ca="1" si="261"/>
        <v>770.59906799312898</v>
      </c>
      <c r="M640" s="306">
        <f t="shared" ca="1" si="277"/>
        <v>-1.4799120766991007</v>
      </c>
      <c r="N640" s="304">
        <f t="shared" ca="1" si="278"/>
        <v>-84.792716045299457</v>
      </c>
      <c r="P640" s="310">
        <f t="shared" ca="1" si="279"/>
        <v>23</v>
      </c>
      <c r="Q640" s="304">
        <f t="shared" ca="1" si="280"/>
        <v>0</v>
      </c>
      <c r="R640" s="306">
        <f t="shared" ca="1" si="281"/>
        <v>0</v>
      </c>
      <c r="S640" s="307">
        <f t="shared" ca="1" si="282"/>
        <v>7.4499999999999984</v>
      </c>
      <c r="T640" s="304">
        <f t="shared" ca="1" si="262"/>
        <v>73.084499999999991</v>
      </c>
      <c r="U640" s="311">
        <f t="shared" ca="1" si="263"/>
        <v>0</v>
      </c>
      <c r="V640" s="306">
        <f t="shared" ca="1" si="264"/>
        <v>1.2262739196908006</v>
      </c>
      <c r="W640" s="304">
        <f t="shared" ca="1" si="265"/>
        <v>58.361436593895291</v>
      </c>
      <c r="Y640" s="314" t="str">
        <f t="shared" ca="1" si="283"/>
        <v/>
      </c>
      <c r="Z640" s="315" t="str">
        <f t="shared" ca="1" si="284"/>
        <v/>
      </c>
      <c r="AA640" s="316" t="str">
        <f t="shared" ca="1" si="285"/>
        <v/>
      </c>
      <c r="AC640" s="310" t="e">
        <f t="shared" ca="1" si="286"/>
        <v>#N/A</v>
      </c>
      <c r="AD640" s="323" t="e">
        <f t="shared" ca="1" si="287"/>
        <v>#N/A</v>
      </c>
      <c r="AE640" s="324" t="e">
        <f t="shared" ca="1" si="266"/>
        <v>#N/A</v>
      </c>
      <c r="AG640" s="306">
        <f t="shared" ca="1" si="288"/>
        <v>1.9357968845981732</v>
      </c>
      <c r="AH640" s="304">
        <f t="shared" ca="1" si="289"/>
        <v>-7.8337152974571138</v>
      </c>
    </row>
    <row r="641" spans="1:34" x14ac:dyDescent="0.2">
      <c r="A641" s="347">
        <f t="shared" ca="1" si="267"/>
        <v>1E-4</v>
      </c>
      <c r="B641" s="304">
        <f t="shared" ca="1" si="268"/>
        <v>34.511200000000592</v>
      </c>
      <c r="D641" s="306">
        <f t="shared" ca="1" si="269"/>
        <v>-0.71098475637352831</v>
      </c>
      <c r="E641" s="307">
        <f t="shared" ca="1" si="270"/>
        <v>-2.0085810371991899</v>
      </c>
      <c r="F641" s="304">
        <f t="shared" ca="1" si="271"/>
        <v>2.1307034300417547</v>
      </c>
      <c r="G641" s="306">
        <f t="shared" ca="1" si="272"/>
        <v>10.928866127898697</v>
      </c>
      <c r="H641" s="307">
        <f t="shared" ca="1" si="273"/>
        <v>-119.92009696949512</v>
      </c>
      <c r="I641" s="304">
        <f t="shared" ca="1" si="274"/>
        <v>120.41706595003319</v>
      </c>
      <c r="J641" s="306">
        <f t="shared" ca="1" si="275"/>
        <v>770.52896740167785</v>
      </c>
      <c r="K641" s="307">
        <f t="shared" ca="1" si="276"/>
        <v>-10.40593190630581</v>
      </c>
      <c r="L641" s="304">
        <f t="shared" ca="1" si="261"/>
        <v>770.59922983606373</v>
      </c>
      <c r="M641" s="306">
        <f t="shared" ca="1" si="277"/>
        <v>-1.4799128160856654</v>
      </c>
      <c r="N641" s="304">
        <f t="shared" ca="1" si="278"/>
        <v>-84.792758409029034</v>
      </c>
      <c r="P641" s="310">
        <f t="shared" ca="1" si="279"/>
        <v>23</v>
      </c>
      <c r="Q641" s="304">
        <f t="shared" ca="1" si="280"/>
        <v>0</v>
      </c>
      <c r="R641" s="306">
        <f t="shared" ca="1" si="281"/>
        <v>0</v>
      </c>
      <c r="S641" s="307">
        <f t="shared" ca="1" si="282"/>
        <v>7.4499999999999984</v>
      </c>
      <c r="T641" s="304">
        <f t="shared" ca="1" si="262"/>
        <v>73.084499999999991</v>
      </c>
      <c r="U641" s="311">
        <f t="shared" ca="1" si="263"/>
        <v>0</v>
      </c>
      <c r="V641" s="306">
        <f t="shared" ca="1" si="264"/>
        <v>1.2262753902397219</v>
      </c>
      <c r="W641" s="304">
        <f t="shared" ca="1" si="265"/>
        <v>58.361694219399766</v>
      </c>
      <c r="Y641" s="314" t="str">
        <f t="shared" ca="1" si="283"/>
        <v/>
      </c>
      <c r="Z641" s="315" t="str">
        <f t="shared" ca="1" si="284"/>
        <v/>
      </c>
      <c r="AA641" s="316" t="str">
        <f t="shared" ca="1" si="285"/>
        <v/>
      </c>
      <c r="AC641" s="310" t="e">
        <f t="shared" ca="1" si="286"/>
        <v>#N/A</v>
      </c>
      <c r="AD641" s="323" t="e">
        <f t="shared" ca="1" si="287"/>
        <v>#N/A</v>
      </c>
      <c r="AE641" s="324" t="e">
        <f t="shared" ca="1" si="266"/>
        <v>#N/A</v>
      </c>
      <c r="AG641" s="306">
        <f t="shared" ca="1" si="288"/>
        <v>1.9357629620002079</v>
      </c>
      <c r="AH641" s="304">
        <f t="shared" ca="1" si="289"/>
        <v>-7.8337498783752082</v>
      </c>
    </row>
    <row r="642" spans="1:34" x14ac:dyDescent="0.2">
      <c r="A642" s="347">
        <f t="shared" ca="1" si="267"/>
        <v>1E-4</v>
      </c>
      <c r="B642" s="304">
        <f t="shared" ca="1" si="268"/>
        <v>34.511300000000595</v>
      </c>
      <c r="D642" s="306">
        <f t="shared" ca="1" si="269"/>
        <v>-0.71098212659100612</v>
      </c>
      <c r="E642" s="307">
        <f t="shared" ca="1" si="270"/>
        <v>-2.0085460736204999</v>
      </c>
      <c r="F642" s="304">
        <f t="shared" ca="1" si="271"/>
        <v>2.1306695929186668</v>
      </c>
      <c r="G642" s="306">
        <f t="shared" ca="1" si="272"/>
        <v>10.928795029686038</v>
      </c>
      <c r="H642" s="307">
        <f t="shared" ca="1" si="273"/>
        <v>-119.92029782410248</v>
      </c>
      <c r="I642" s="304">
        <f t="shared" ca="1" si="274"/>
        <v>120.41725952297008</v>
      </c>
      <c r="J642" s="306">
        <f t="shared" ca="1" si="275"/>
        <v>770.52896740167785</v>
      </c>
      <c r="K642" s="307">
        <f t="shared" ca="1" si="276"/>
        <v>-10.417923926045489</v>
      </c>
      <c r="L642" s="304">
        <f t="shared" ca="1" si="261"/>
        <v>770.5993918658545</v>
      </c>
      <c r="M642" s="306">
        <f t="shared" ca="1" si="277"/>
        <v>-1.4799135554650429</v>
      </c>
      <c r="N642" s="304">
        <f t="shared" ca="1" si="278"/>
        <v>-84.792800772346823</v>
      </c>
      <c r="P642" s="310">
        <f t="shared" ca="1" si="279"/>
        <v>23</v>
      </c>
      <c r="Q642" s="304">
        <f t="shared" ca="1" si="280"/>
        <v>0</v>
      </c>
      <c r="R642" s="306">
        <f t="shared" ca="1" si="281"/>
        <v>0</v>
      </c>
      <c r="S642" s="307">
        <f t="shared" ca="1" si="282"/>
        <v>7.4499999999999984</v>
      </c>
      <c r="T642" s="304">
        <f t="shared" ca="1" si="262"/>
        <v>73.084499999999991</v>
      </c>
      <c r="U642" s="311">
        <f t="shared" ca="1" si="263"/>
        <v>0</v>
      </c>
      <c r="V642" s="306">
        <f t="shared" ca="1" si="264"/>
        <v>1.2262768607928707</v>
      </c>
      <c r="W642" s="304">
        <f t="shared" ca="1" si="265"/>
        <v>58.361951842568942</v>
      </c>
      <c r="Y642" s="314" t="str">
        <f t="shared" ca="1" si="283"/>
        <v/>
      </c>
      <c r="Z642" s="315" t="str">
        <f t="shared" ca="1" si="284"/>
        <v/>
      </c>
      <c r="AA642" s="316" t="str">
        <f t="shared" ca="1" si="285"/>
        <v/>
      </c>
      <c r="AC642" s="310" t="e">
        <f t="shared" ca="1" si="286"/>
        <v>#N/A</v>
      </c>
      <c r="AD642" s="323" t="e">
        <f t="shared" ca="1" si="287"/>
        <v>#N/A</v>
      </c>
      <c r="AE642" s="324" t="e">
        <f t="shared" ca="1" si="266"/>
        <v>#N/A</v>
      </c>
      <c r="AG642" s="306">
        <f t="shared" ca="1" si="288"/>
        <v>1.9357290397039675</v>
      </c>
      <c r="AH642" s="304">
        <f t="shared" ca="1" si="289"/>
        <v>-7.833784458979836</v>
      </c>
    </row>
    <row r="643" spans="1:34" x14ac:dyDescent="0.2">
      <c r="A643" s="347">
        <f t="shared" ca="1" si="267"/>
        <v>1E-4</v>
      </c>
      <c r="B643" s="304">
        <f t="shared" ca="1" si="268"/>
        <v>34.511400000000599</v>
      </c>
      <c r="D643" s="306">
        <f t="shared" ca="1" si="269"/>
        <v>-0.71097949678479055</v>
      </c>
      <c r="E643" s="307">
        <f t="shared" ca="1" si="270"/>
        <v>-2.0085111103587119</v>
      </c>
      <c r="F643" s="304">
        <f t="shared" ca="1" si="271"/>
        <v>2.1306357561260301</v>
      </c>
      <c r="G643" s="306">
        <f t="shared" ca="1" si="272"/>
        <v>10.928723931736359</v>
      </c>
      <c r="H643" s="307">
        <f t="shared" ca="1" si="273"/>
        <v>-119.92049867521351</v>
      </c>
      <c r="I643" s="304">
        <f t="shared" ca="1" si="274"/>
        <v>120.41745309251476</v>
      </c>
      <c r="J643" s="306">
        <f t="shared" ca="1" si="275"/>
        <v>770.52896740167785</v>
      </c>
      <c r="K643" s="307">
        <f t="shared" ca="1" si="276"/>
        <v>-10.429915965870455</v>
      </c>
      <c r="L643" s="304">
        <f t="shared" ca="1" si="261"/>
        <v>770.5995540825021</v>
      </c>
      <c r="M643" s="306">
        <f t="shared" ca="1" si="277"/>
        <v>-1.4799142948372332</v>
      </c>
      <c r="N643" s="304">
        <f t="shared" ca="1" si="278"/>
        <v>-84.792843135252824</v>
      </c>
      <c r="P643" s="310">
        <f t="shared" ca="1" si="279"/>
        <v>23</v>
      </c>
      <c r="Q643" s="304">
        <f t="shared" ca="1" si="280"/>
        <v>0</v>
      </c>
      <c r="R643" s="306">
        <f t="shared" ca="1" si="281"/>
        <v>0</v>
      </c>
      <c r="S643" s="307">
        <f t="shared" ca="1" si="282"/>
        <v>7.4499999999999984</v>
      </c>
      <c r="T643" s="304">
        <f t="shared" ca="1" si="262"/>
        <v>73.084499999999991</v>
      </c>
      <c r="U643" s="311">
        <f t="shared" ca="1" si="263"/>
        <v>0</v>
      </c>
      <c r="V643" s="306">
        <f t="shared" ca="1" si="264"/>
        <v>1.226278331350247</v>
      </c>
      <c r="W643" s="304">
        <f t="shared" ca="1" si="265"/>
        <v>58.362209463402792</v>
      </c>
      <c r="Y643" s="314" t="str">
        <f t="shared" ca="1" si="283"/>
        <v/>
      </c>
      <c r="Z643" s="315" t="str">
        <f t="shared" ca="1" si="284"/>
        <v/>
      </c>
      <c r="AA643" s="316" t="str">
        <f t="shared" ca="1" si="285"/>
        <v/>
      </c>
      <c r="AC643" s="310" t="e">
        <f t="shared" ca="1" si="286"/>
        <v>#N/A</v>
      </c>
      <c r="AD643" s="323" t="e">
        <f t="shared" ca="1" si="287"/>
        <v>#N/A</v>
      </c>
      <c r="AE643" s="324" t="e">
        <f t="shared" ca="1" si="266"/>
        <v>#N/A</v>
      </c>
      <c r="AG643" s="306">
        <f t="shared" ca="1" si="288"/>
        <v>1.9356951177094519</v>
      </c>
      <c r="AH643" s="304">
        <f t="shared" ca="1" si="289"/>
        <v>-7.8338190392710008</v>
      </c>
    </row>
    <row r="644" spans="1:34" x14ac:dyDescent="0.2">
      <c r="A644" s="347">
        <f t="shared" ca="1" si="267"/>
        <v>1E-4</v>
      </c>
      <c r="B644" s="304">
        <f t="shared" ca="1" si="268"/>
        <v>34.511500000000602</v>
      </c>
      <c r="D644" s="306">
        <f t="shared" ca="1" si="269"/>
        <v>-0.71097686695488294</v>
      </c>
      <c r="E644" s="307">
        <f t="shared" ca="1" si="270"/>
        <v>-2.0084761474138304</v>
      </c>
      <c r="F644" s="304">
        <f t="shared" ca="1" si="271"/>
        <v>2.1306019196638504</v>
      </c>
      <c r="G644" s="306">
        <f t="shared" ca="1" si="272"/>
        <v>10.928652834049663</v>
      </c>
      <c r="H644" s="307">
        <f t="shared" ca="1" si="273"/>
        <v>-119.92069952282824</v>
      </c>
      <c r="I644" s="304">
        <f t="shared" ca="1" si="274"/>
        <v>120.41764665866727</v>
      </c>
      <c r="J644" s="306">
        <f t="shared" ca="1" si="275"/>
        <v>770.52896740167785</v>
      </c>
      <c r="K644" s="307">
        <f t="shared" ca="1" si="276"/>
        <v>-10.441908025780357</v>
      </c>
      <c r="L644" s="304">
        <f t="shared" ref="L644:L707" ca="1" si="290">SQRT(pos_x^2+pos_z^2)</f>
        <v>770.59971648600731</v>
      </c>
      <c r="M644" s="306">
        <f t="shared" ca="1" si="277"/>
        <v>-1.4799150342022365</v>
      </c>
      <c r="N644" s="304">
        <f t="shared" ca="1" si="278"/>
        <v>-84.792885497747022</v>
      </c>
      <c r="P644" s="310">
        <f t="shared" ca="1" si="279"/>
        <v>23</v>
      </c>
      <c r="Q644" s="304">
        <f t="shared" ca="1" si="280"/>
        <v>0</v>
      </c>
      <c r="R644" s="306">
        <f t="shared" ca="1" si="281"/>
        <v>0</v>
      </c>
      <c r="S644" s="307">
        <f t="shared" ca="1" si="282"/>
        <v>7.4499999999999984</v>
      </c>
      <c r="T644" s="304">
        <f t="shared" ref="T644:T707" ca="1" si="291">m*g</f>
        <v>73.084499999999991</v>
      </c>
      <c r="U644" s="311">
        <f t="shared" ref="U644:U707" ca="1" si="292">IF(pos_xz&lt;L_rampe,Poids*COS(Beta),0)</f>
        <v>0</v>
      </c>
      <c r="V644" s="306">
        <f t="shared" ref="V644:V707" ca="1" si="293">Rho_moyen*(20000-Alt_rampe-pos_z)/(20000+Alt_rampe+pos_z)</f>
        <v>1.2262798019118508</v>
      </c>
      <c r="W644" s="304">
        <f t="shared" ref="W644:W707" ca="1" si="294">1/2*Rho*Sref*Cx*vit_xz^2</f>
        <v>58.362467081901315</v>
      </c>
      <c r="Y644" s="314" t="str">
        <f t="shared" ca="1" si="283"/>
        <v/>
      </c>
      <c r="Z644" s="315" t="str">
        <f t="shared" ca="1" si="284"/>
        <v/>
      </c>
      <c r="AA644" s="316" t="str">
        <f t="shared" ca="1" si="285"/>
        <v/>
      </c>
      <c r="AC644" s="310" t="e">
        <f t="shared" ca="1" si="286"/>
        <v>#N/A</v>
      </c>
      <c r="AD644" s="323" t="e">
        <f t="shared" ca="1" si="287"/>
        <v>#N/A</v>
      </c>
      <c r="AE644" s="324" t="e">
        <f t="shared" ref="AE644:AE707" ca="1" si="295">IF(t&lt;T_para, pos_z, NA())</f>
        <v>#N/A</v>
      </c>
      <c r="AG644" s="306">
        <f t="shared" ca="1" si="288"/>
        <v>1.935661196016663</v>
      </c>
      <c r="AH644" s="304">
        <f t="shared" ca="1" si="289"/>
        <v>-7.8338536192486989</v>
      </c>
    </row>
    <row r="645" spans="1:34" x14ac:dyDescent="0.2">
      <c r="A645" s="347">
        <f t="shared" ref="A645:A708" ca="1" si="296">IF(B644+0.01&lt;=T_ini+ROUNDUP(Temps_fin_propu,0), 0.01, IF(K644&gt;0, 0.1, 0.0001))</f>
        <v>1E-4</v>
      </c>
      <c r="B645" s="304">
        <f t="shared" ref="B645:B708" ca="1" si="297">B644+pas</f>
        <v>34.511600000000605</v>
      </c>
      <c r="D645" s="306">
        <f t="shared" ref="D645:D708" ca="1" si="298">IF(AND(L644&lt;L_rampe,Poussee&lt;Poids*SIN(M644)),0,(-W644+Poussee)/m*COS(M644)-U644/m*SIN(M644))</f>
        <v>-0.71097423710128449</v>
      </c>
      <c r="E645" s="307">
        <f t="shared" ref="E645:E708" ca="1" si="299">IF(AND(L644&lt;L_rampe,Poussee&lt;Poids*SIN(M644)),0,(-W644+Poussee)/m*SIN(M644)+U644/m*COS(M644)-Poids/m)</f>
        <v>-2.0084411847858563</v>
      </c>
      <c r="F645" s="304">
        <f t="shared" ref="F645:F708" ca="1" si="300">SQRT(acc_x^2+acc_z^2)</f>
        <v>2.1305680835321286</v>
      </c>
      <c r="G645" s="306">
        <f t="shared" ref="G645:G708" ca="1" si="301">G644+acc_x*pas</f>
        <v>10.928581736625953</v>
      </c>
      <c r="H645" s="307">
        <f t="shared" ref="H645:H708" ca="1" si="302">H644+acc_z*pas</f>
        <v>-119.92090036694673</v>
      </c>
      <c r="I645" s="304">
        <f t="shared" ref="I645:I708" ca="1" si="303">SQRT(vit_x^2+vit_z^2)</f>
        <v>120.41784022142764</v>
      </c>
      <c r="J645" s="306">
        <f t="shared" ref="J645:J708" ca="1" si="304">J644+0.5*(vit_x+G644)*pas*(K644&gt;=0)</f>
        <v>770.52896740167785</v>
      </c>
      <c r="K645" s="307">
        <f t="shared" ref="K645:K708" ca="1" si="305">K644+0.5*(vit_z+H644)*pas</f>
        <v>-10.453900105774846</v>
      </c>
      <c r="L645" s="304">
        <f t="shared" ca="1" si="290"/>
        <v>770.59987907637094</v>
      </c>
      <c r="M645" s="306">
        <f t="shared" ref="M645:M708" ca="1" si="306">IF(AND(L644&gt;L_rampe,G645&gt;0),ATAN2(G645,H645),$M$4)</f>
        <v>-1.4799157735600528</v>
      </c>
      <c r="N645" s="304">
        <f t="shared" ref="N645:N708" ca="1" si="307">DEGREES(Beta)</f>
        <v>-84.792927859829447</v>
      </c>
      <c r="P645" s="310">
        <f t="shared" ref="P645:P708" ca="1" si="308">MATCH(t-pas/2-T_ini,CdP_t)</f>
        <v>23</v>
      </c>
      <c r="Q645" s="304">
        <f t="shared" ref="Q645:Q708" ca="1" si="309">(INDEX(CdP,2,i_P+1)-INDEX(CdP,2,i_P+0))/(INDEX(CdP,1,i_P+1)-INDEX(CdP,1,i_P+0))*(t-pas/2-T_ini-INDEX(CdP,1,i_P+0))+INDEX(CdP,2,i_P+0)</f>
        <v>0</v>
      </c>
      <c r="R645" s="306">
        <f t="shared" ref="R645:R708" ca="1" si="310">Poussee/(g*ISP)</f>
        <v>0</v>
      </c>
      <c r="S645" s="307">
        <f t="shared" ref="S645:S708" ca="1" si="311">S644-Débit*pas</f>
        <v>7.4499999999999984</v>
      </c>
      <c r="T645" s="304">
        <f t="shared" ca="1" si="291"/>
        <v>73.084499999999991</v>
      </c>
      <c r="U645" s="311">
        <f t="shared" ca="1" si="292"/>
        <v>0</v>
      </c>
      <c r="V645" s="306">
        <f t="shared" ca="1" si="293"/>
        <v>1.2262812724776819</v>
      </c>
      <c r="W645" s="304">
        <f t="shared" ca="1" si="294"/>
        <v>58.362724698064561</v>
      </c>
      <c r="Y645" s="314" t="str">
        <f t="shared" ref="Y645:Y708" ca="1" si="312">IF(AND(pos_z&lt;=0,K644&gt;0),"Impact balistique","") &amp; IF(AND(H646&lt;0,vit_z&gt;=0),"Apogée","") &amp; IF(AND(Poussee=0,Q644&gt;0),"Fin de propulsion","") &amp; IF(AND(L646&gt;L_rampe,pos_xz&lt;=L_rampe),"Sortie de rampe","")</f>
        <v/>
      </c>
      <c r="Z645" s="315" t="str">
        <f t="shared" ref="Z645:Z708" ca="1" si="313">IF(ABS(t-T_para)&lt;pas/2,"Para","")</f>
        <v/>
      </c>
      <c r="AA645" s="316" t="str">
        <f t="shared" ref="AA645:AA708" ca="1" si="314">IF(ABS(t-T_satellite)&lt;pas/2,"Satellite","")</f>
        <v/>
      </c>
      <c r="AC645" s="310" t="e">
        <f t="shared" ref="AC645:AC708" ca="1" si="315">IF(ABS(t-ROUND(t,0))&lt;0.001,t,NA())</f>
        <v>#N/A</v>
      </c>
      <c r="AD645" s="323" t="e">
        <f t="shared" ref="AD645:AD708" ca="1" si="316">IF(ABS(t-ROUND(t,0))&lt;0.001,pos_x,NA())</f>
        <v>#N/A</v>
      </c>
      <c r="AE645" s="324" t="e">
        <f t="shared" ca="1" si="295"/>
        <v>#N/A</v>
      </c>
      <c r="AG645" s="306">
        <f t="shared" ref="AG645:AG708" ca="1" si="317">IF(AND(L644&lt;L_rampe,Poussee&lt;Poids*SIN(M644)),0,(-W644+Poussee)/m-Poids*SIN(M644)/m)</f>
        <v>1.9356272746256016</v>
      </c>
      <c r="AH645" s="304">
        <f t="shared" ref="AH645:AH708" ca="1" si="318">IF(AND(L644&lt;L_rampe,Poussee&lt;Poids*SIN(M644)), g*SIN(M644), (-W644+Poussee)/m)</f>
        <v>-7.8338881989129296</v>
      </c>
    </row>
    <row r="646" spans="1:34" x14ac:dyDescent="0.2">
      <c r="A646" s="347">
        <f t="shared" ca="1" si="296"/>
        <v>1E-4</v>
      </c>
      <c r="B646" s="304">
        <f t="shared" ca="1" si="297"/>
        <v>34.511700000000609</v>
      </c>
      <c r="D646" s="306">
        <f t="shared" ca="1" si="298"/>
        <v>-0.71097160722399555</v>
      </c>
      <c r="E646" s="307">
        <f t="shared" ca="1" si="299"/>
        <v>-2.0084062224747834</v>
      </c>
      <c r="F646" s="304">
        <f t="shared" ca="1" si="300"/>
        <v>2.1305342477308598</v>
      </c>
      <c r="G646" s="306">
        <f t="shared" ca="1" si="301"/>
        <v>10.92851063946523</v>
      </c>
      <c r="H646" s="307">
        <f t="shared" ca="1" si="302"/>
        <v>-119.92110120756897</v>
      </c>
      <c r="I646" s="304">
        <f t="shared" ca="1" si="303"/>
        <v>120.41803378079591</v>
      </c>
      <c r="J646" s="306">
        <f t="shared" ca="1" si="304"/>
        <v>770.52896740167785</v>
      </c>
      <c r="K646" s="307">
        <f t="shared" ca="1" si="305"/>
        <v>-10.465892205853571</v>
      </c>
      <c r="L646" s="304">
        <f t="shared" ca="1" si="290"/>
        <v>770.60004185359378</v>
      </c>
      <c r="M646" s="306">
        <f t="shared" ca="1" si="306"/>
        <v>-1.4799165129106822</v>
      </c>
      <c r="N646" s="304">
        <f t="shared" ca="1" si="307"/>
        <v>-84.792970221500099</v>
      </c>
      <c r="P646" s="310">
        <f t="shared" ca="1" si="308"/>
        <v>23</v>
      </c>
      <c r="Q646" s="304">
        <f t="shared" ca="1" si="309"/>
        <v>0</v>
      </c>
      <c r="R646" s="306">
        <f t="shared" ca="1" si="310"/>
        <v>0</v>
      </c>
      <c r="S646" s="307">
        <f t="shared" ca="1" si="311"/>
        <v>7.4499999999999984</v>
      </c>
      <c r="T646" s="304">
        <f t="shared" ca="1" si="291"/>
        <v>73.084499999999991</v>
      </c>
      <c r="U646" s="311">
        <f t="shared" ca="1" si="292"/>
        <v>0</v>
      </c>
      <c r="V646" s="306">
        <f t="shared" ca="1" si="293"/>
        <v>1.2262827430477405</v>
      </c>
      <c r="W646" s="304">
        <f t="shared" ca="1" si="294"/>
        <v>58.36298231189248</v>
      </c>
      <c r="Y646" s="314" t="str">
        <f t="shared" ca="1" si="312"/>
        <v/>
      </c>
      <c r="Z646" s="315" t="str">
        <f t="shared" ca="1" si="313"/>
        <v/>
      </c>
      <c r="AA646" s="316" t="str">
        <f t="shared" ca="1" si="314"/>
        <v/>
      </c>
      <c r="AC646" s="310" t="e">
        <f t="shared" ca="1" si="315"/>
        <v>#N/A</v>
      </c>
      <c r="AD646" s="323" t="e">
        <f t="shared" ca="1" si="316"/>
        <v>#N/A</v>
      </c>
      <c r="AE646" s="324" t="e">
        <f t="shared" ca="1" si="295"/>
        <v>#N/A</v>
      </c>
      <c r="AG646" s="306">
        <f t="shared" ca="1" si="317"/>
        <v>1.9355933535362597</v>
      </c>
      <c r="AH646" s="304">
        <f t="shared" ca="1" si="318"/>
        <v>-7.8339227782637009</v>
      </c>
    </row>
    <row r="647" spans="1:34" x14ac:dyDescent="0.2">
      <c r="A647" s="347">
        <f t="shared" ca="1" si="296"/>
        <v>1E-4</v>
      </c>
      <c r="B647" s="304">
        <f t="shared" ca="1" si="297"/>
        <v>34.511800000000612</v>
      </c>
      <c r="D647" s="306">
        <f t="shared" ca="1" si="298"/>
        <v>-0.71096897732301712</v>
      </c>
      <c r="E647" s="307">
        <f t="shared" ca="1" si="299"/>
        <v>-2.0083712604806161</v>
      </c>
      <c r="F647" s="304">
        <f t="shared" ca="1" si="300"/>
        <v>2.1305004122600484</v>
      </c>
      <c r="G647" s="306">
        <f t="shared" ca="1" si="301"/>
        <v>10.928439542567498</v>
      </c>
      <c r="H647" s="307">
        <f t="shared" ca="1" si="302"/>
        <v>-119.92130204469501</v>
      </c>
      <c r="I647" s="304">
        <f t="shared" ca="1" si="303"/>
        <v>120.41822733677209</v>
      </c>
      <c r="J647" s="306">
        <f t="shared" ca="1" si="304"/>
        <v>770.52896740167785</v>
      </c>
      <c r="K647" s="307">
        <f t="shared" ca="1" si="305"/>
        <v>-10.477884326016184</v>
      </c>
      <c r="L647" s="304">
        <f t="shared" ca="1" si="290"/>
        <v>770.60020481767674</v>
      </c>
      <c r="M647" s="306">
        <f t="shared" ca="1" si="306"/>
        <v>-1.4799172522541248</v>
      </c>
      <c r="N647" s="304">
        <f t="shared" ca="1" si="307"/>
        <v>-84.793012582758976</v>
      </c>
      <c r="P647" s="310">
        <f t="shared" ca="1" si="308"/>
        <v>23</v>
      </c>
      <c r="Q647" s="304">
        <f t="shared" ca="1" si="309"/>
        <v>0</v>
      </c>
      <c r="R647" s="306">
        <f t="shared" ca="1" si="310"/>
        <v>0</v>
      </c>
      <c r="S647" s="307">
        <f t="shared" ca="1" si="311"/>
        <v>7.4499999999999984</v>
      </c>
      <c r="T647" s="304">
        <f t="shared" ca="1" si="291"/>
        <v>73.084499999999991</v>
      </c>
      <c r="U647" s="311">
        <f t="shared" ca="1" si="292"/>
        <v>0</v>
      </c>
      <c r="V647" s="306">
        <f t="shared" ca="1" si="293"/>
        <v>1.2262842136220262</v>
      </c>
      <c r="W647" s="304">
        <f t="shared" ca="1" si="294"/>
        <v>58.363239923385102</v>
      </c>
      <c r="Y647" s="314" t="str">
        <f t="shared" ca="1" si="312"/>
        <v/>
      </c>
      <c r="Z647" s="315" t="str">
        <f t="shared" ca="1" si="313"/>
        <v/>
      </c>
      <c r="AA647" s="316" t="str">
        <f t="shared" ca="1" si="314"/>
        <v/>
      </c>
      <c r="AC647" s="310" t="e">
        <f t="shared" ca="1" si="315"/>
        <v>#N/A</v>
      </c>
      <c r="AD647" s="323" t="e">
        <f t="shared" ca="1" si="316"/>
        <v>#N/A</v>
      </c>
      <c r="AE647" s="324" t="e">
        <f t="shared" ca="1" si="295"/>
        <v>#N/A</v>
      </c>
      <c r="AG647" s="306">
        <f t="shared" ca="1" si="317"/>
        <v>1.9355594327486445</v>
      </c>
      <c r="AH647" s="304">
        <f t="shared" ca="1" si="318"/>
        <v>-7.8339573573010055</v>
      </c>
    </row>
    <row r="648" spans="1:34" x14ac:dyDescent="0.2">
      <c r="A648" s="347">
        <f t="shared" ca="1" si="296"/>
        <v>1E-4</v>
      </c>
      <c r="B648" s="304">
        <f t="shared" ca="1" si="297"/>
        <v>34.511900000000615</v>
      </c>
      <c r="D648" s="306">
        <f t="shared" ca="1" si="298"/>
        <v>-0.71096634739834907</v>
      </c>
      <c r="E648" s="307">
        <f t="shared" ca="1" si="299"/>
        <v>-2.0083362988033517</v>
      </c>
      <c r="F648" s="304">
        <f t="shared" ca="1" si="300"/>
        <v>2.1304665771196918</v>
      </c>
      <c r="G648" s="306">
        <f t="shared" ca="1" si="301"/>
        <v>10.928368445932758</v>
      </c>
      <c r="H648" s="307">
        <f t="shared" ca="1" si="302"/>
        <v>-119.92150287832489</v>
      </c>
      <c r="I648" s="304">
        <f t="shared" ca="1" si="303"/>
        <v>120.41842088935623</v>
      </c>
      <c r="J648" s="306">
        <f t="shared" ca="1" si="304"/>
        <v>770.52896740167785</v>
      </c>
      <c r="K648" s="307">
        <f t="shared" ca="1" si="305"/>
        <v>-10.489876466262336</v>
      </c>
      <c r="L648" s="304">
        <f t="shared" ca="1" si="290"/>
        <v>770.60036796862062</v>
      </c>
      <c r="M648" s="306">
        <f t="shared" ca="1" si="306"/>
        <v>-1.4799179915903808</v>
      </c>
      <c r="N648" s="304">
        <f t="shared" ca="1" si="307"/>
        <v>-84.79305494360608</v>
      </c>
      <c r="P648" s="310">
        <f t="shared" ca="1" si="308"/>
        <v>23</v>
      </c>
      <c r="Q648" s="304">
        <f t="shared" ca="1" si="309"/>
        <v>0</v>
      </c>
      <c r="R648" s="306">
        <f t="shared" ca="1" si="310"/>
        <v>0</v>
      </c>
      <c r="S648" s="307">
        <f t="shared" ca="1" si="311"/>
        <v>7.4499999999999984</v>
      </c>
      <c r="T648" s="304">
        <f t="shared" ca="1" si="291"/>
        <v>73.084499999999991</v>
      </c>
      <c r="U648" s="311">
        <f t="shared" ca="1" si="292"/>
        <v>0</v>
      </c>
      <c r="V648" s="306">
        <f t="shared" ca="1" si="293"/>
        <v>1.2262856842005392</v>
      </c>
      <c r="W648" s="304">
        <f t="shared" ca="1" si="294"/>
        <v>58.363497532542418</v>
      </c>
      <c r="Y648" s="314" t="str">
        <f t="shared" ca="1" si="312"/>
        <v/>
      </c>
      <c r="Z648" s="315" t="str">
        <f t="shared" ca="1" si="313"/>
        <v/>
      </c>
      <c r="AA648" s="316" t="str">
        <f t="shared" ca="1" si="314"/>
        <v/>
      </c>
      <c r="AC648" s="310" t="e">
        <f t="shared" ca="1" si="315"/>
        <v>#N/A</v>
      </c>
      <c r="AD648" s="323" t="e">
        <f t="shared" ca="1" si="316"/>
        <v>#N/A</v>
      </c>
      <c r="AE648" s="324" t="e">
        <f t="shared" ca="1" si="295"/>
        <v>#N/A</v>
      </c>
      <c r="AG648" s="306">
        <f t="shared" ca="1" si="317"/>
        <v>1.935525512262755</v>
      </c>
      <c r="AH648" s="304">
        <f t="shared" ca="1" si="318"/>
        <v>-7.833991936024848</v>
      </c>
    </row>
    <row r="649" spans="1:34" x14ac:dyDescent="0.2">
      <c r="A649" s="347">
        <f t="shared" ca="1" si="296"/>
        <v>1E-4</v>
      </c>
      <c r="B649" s="304">
        <f t="shared" ca="1" si="297"/>
        <v>34.512000000000619</v>
      </c>
      <c r="D649" s="306">
        <f t="shared" ca="1" si="298"/>
        <v>-0.71096371744999287</v>
      </c>
      <c r="E649" s="307">
        <f t="shared" ca="1" si="299"/>
        <v>-2.0083013374429921</v>
      </c>
      <c r="F649" s="304">
        <f t="shared" ca="1" si="300"/>
        <v>2.1304327423097931</v>
      </c>
      <c r="G649" s="306">
        <f t="shared" ca="1" si="301"/>
        <v>10.928297349561014</v>
      </c>
      <c r="H649" s="307">
        <f t="shared" ca="1" si="302"/>
        <v>-119.92170370845864</v>
      </c>
      <c r="I649" s="304">
        <f t="shared" ca="1" si="303"/>
        <v>120.41861443854835</v>
      </c>
      <c r="J649" s="306">
        <f t="shared" ca="1" si="304"/>
        <v>770.52896740167785</v>
      </c>
      <c r="K649" s="307">
        <f t="shared" ca="1" si="305"/>
        <v>-10.501868626591675</v>
      </c>
      <c r="L649" s="304">
        <f t="shared" ca="1" si="290"/>
        <v>770.60053130642609</v>
      </c>
      <c r="M649" s="306">
        <f t="shared" ca="1" si="306"/>
        <v>-1.4799187309194504</v>
      </c>
      <c r="N649" s="304">
        <f t="shared" ca="1" si="307"/>
        <v>-84.793097304041439</v>
      </c>
      <c r="P649" s="310">
        <f t="shared" ca="1" si="308"/>
        <v>23</v>
      </c>
      <c r="Q649" s="304">
        <f t="shared" ca="1" si="309"/>
        <v>0</v>
      </c>
      <c r="R649" s="306">
        <f t="shared" ca="1" si="310"/>
        <v>0</v>
      </c>
      <c r="S649" s="307">
        <f t="shared" ca="1" si="311"/>
        <v>7.4499999999999984</v>
      </c>
      <c r="T649" s="304">
        <f t="shared" ca="1" si="291"/>
        <v>73.084499999999991</v>
      </c>
      <c r="U649" s="311">
        <f t="shared" ca="1" si="292"/>
        <v>0</v>
      </c>
      <c r="V649" s="306">
        <f t="shared" ca="1" si="293"/>
        <v>1.2262871547832792</v>
      </c>
      <c r="W649" s="304">
        <f t="shared" ca="1" si="294"/>
        <v>58.363755139364429</v>
      </c>
      <c r="Y649" s="314" t="str">
        <f t="shared" ca="1" si="312"/>
        <v/>
      </c>
      <c r="Z649" s="315" t="str">
        <f t="shared" ca="1" si="313"/>
        <v/>
      </c>
      <c r="AA649" s="316" t="str">
        <f t="shared" ca="1" si="314"/>
        <v/>
      </c>
      <c r="AC649" s="310" t="e">
        <f t="shared" ca="1" si="315"/>
        <v>#N/A</v>
      </c>
      <c r="AD649" s="323" t="e">
        <f t="shared" ca="1" si="316"/>
        <v>#N/A</v>
      </c>
      <c r="AE649" s="324" t="e">
        <f t="shared" ca="1" si="295"/>
        <v>#N/A</v>
      </c>
      <c r="AG649" s="306">
        <f t="shared" ca="1" si="317"/>
        <v>1.9354915920785905</v>
      </c>
      <c r="AH649" s="304">
        <f t="shared" ca="1" si="318"/>
        <v>-7.8340265144352257</v>
      </c>
    </row>
    <row r="650" spans="1:34" x14ac:dyDescent="0.2">
      <c r="A650" s="347">
        <f t="shared" ca="1" si="296"/>
        <v>1E-4</v>
      </c>
      <c r="B650" s="304">
        <f t="shared" ca="1" si="297"/>
        <v>34.512100000000622</v>
      </c>
      <c r="D650" s="306">
        <f t="shared" ca="1" si="298"/>
        <v>-0.71096108747794817</v>
      </c>
      <c r="E650" s="307">
        <f t="shared" ca="1" si="299"/>
        <v>-2.0082663763995363</v>
      </c>
      <c r="F650" s="304">
        <f t="shared" ca="1" si="300"/>
        <v>2.1303989078303505</v>
      </c>
      <c r="G650" s="306">
        <f t="shared" ca="1" si="301"/>
        <v>10.928226253452266</v>
      </c>
      <c r="H650" s="307">
        <f t="shared" ca="1" si="302"/>
        <v>-119.92190453509627</v>
      </c>
      <c r="I650" s="304">
        <f t="shared" ca="1" si="303"/>
        <v>120.41880798434848</v>
      </c>
      <c r="J650" s="306">
        <f t="shared" ca="1" si="304"/>
        <v>770.52896740167785</v>
      </c>
      <c r="K650" s="307">
        <f t="shared" ca="1" si="305"/>
        <v>-10.513860807003852</v>
      </c>
      <c r="L650" s="304">
        <f t="shared" ca="1" si="290"/>
        <v>770.60069483109407</v>
      </c>
      <c r="M650" s="306">
        <f t="shared" ca="1" si="306"/>
        <v>-1.4799194702413334</v>
      </c>
      <c r="N650" s="304">
        <f t="shared" ca="1" si="307"/>
        <v>-84.793139664065038</v>
      </c>
      <c r="P650" s="310">
        <f t="shared" ca="1" si="308"/>
        <v>23</v>
      </c>
      <c r="Q650" s="304">
        <f t="shared" ca="1" si="309"/>
        <v>0</v>
      </c>
      <c r="R650" s="306">
        <f t="shared" ca="1" si="310"/>
        <v>0</v>
      </c>
      <c r="S650" s="307">
        <f t="shared" ca="1" si="311"/>
        <v>7.4499999999999984</v>
      </c>
      <c r="T650" s="304">
        <f t="shared" ca="1" si="291"/>
        <v>73.084499999999991</v>
      </c>
      <c r="U650" s="311">
        <f t="shared" ca="1" si="292"/>
        <v>0</v>
      </c>
      <c r="V650" s="306">
        <f t="shared" ca="1" si="293"/>
        <v>1.226288625370247</v>
      </c>
      <c r="W650" s="304">
        <f t="shared" ca="1" si="294"/>
        <v>58.364012743851163</v>
      </c>
      <c r="Y650" s="314" t="str">
        <f t="shared" ca="1" si="312"/>
        <v/>
      </c>
      <c r="Z650" s="315" t="str">
        <f t="shared" ca="1" si="313"/>
        <v/>
      </c>
      <c r="AA650" s="316" t="str">
        <f t="shared" ca="1" si="314"/>
        <v/>
      </c>
      <c r="AC650" s="310" t="e">
        <f t="shared" ca="1" si="315"/>
        <v>#N/A</v>
      </c>
      <c r="AD650" s="323" t="e">
        <f t="shared" ca="1" si="316"/>
        <v>#N/A</v>
      </c>
      <c r="AE650" s="324" t="e">
        <f t="shared" ca="1" si="295"/>
        <v>#N/A</v>
      </c>
      <c r="AG650" s="306">
        <f t="shared" ca="1" si="317"/>
        <v>1.9354576721961516</v>
      </c>
      <c r="AH650" s="304">
        <f t="shared" ca="1" si="318"/>
        <v>-7.8340610925321394</v>
      </c>
    </row>
    <row r="651" spans="1:34" x14ac:dyDescent="0.2">
      <c r="A651" s="347">
        <f t="shared" ca="1" si="296"/>
        <v>1E-4</v>
      </c>
      <c r="B651" s="304">
        <f t="shared" ca="1" si="297"/>
        <v>34.512200000000625</v>
      </c>
      <c r="D651" s="306">
        <f t="shared" ca="1" si="298"/>
        <v>-0.71095845748221687</v>
      </c>
      <c r="E651" s="307">
        <f t="shared" ca="1" si="299"/>
        <v>-2.0082314156729799</v>
      </c>
      <c r="F651" s="304">
        <f t="shared" ca="1" si="300"/>
        <v>2.1303650736813617</v>
      </c>
      <c r="G651" s="306">
        <f t="shared" ca="1" si="301"/>
        <v>10.928155157606518</v>
      </c>
      <c r="H651" s="307">
        <f t="shared" ca="1" si="302"/>
        <v>-119.92210535823784</v>
      </c>
      <c r="I651" s="304">
        <f t="shared" ca="1" si="303"/>
        <v>120.41900152675665</v>
      </c>
      <c r="J651" s="306">
        <f t="shared" ca="1" si="304"/>
        <v>770.52896740167785</v>
      </c>
      <c r="K651" s="307">
        <f t="shared" ca="1" si="305"/>
        <v>-10.525853007498519</v>
      </c>
      <c r="L651" s="304">
        <f t="shared" ca="1" si="290"/>
        <v>770.60085854262547</v>
      </c>
      <c r="M651" s="306">
        <f t="shared" ca="1" si="306"/>
        <v>-1.4799202095560302</v>
      </c>
      <c r="N651" s="304">
        <f t="shared" ca="1" si="307"/>
        <v>-84.793182023676891</v>
      </c>
      <c r="P651" s="310">
        <f t="shared" ca="1" si="308"/>
        <v>23</v>
      </c>
      <c r="Q651" s="304">
        <f t="shared" ca="1" si="309"/>
        <v>0</v>
      </c>
      <c r="R651" s="306">
        <f t="shared" ca="1" si="310"/>
        <v>0</v>
      </c>
      <c r="S651" s="307">
        <f t="shared" ca="1" si="311"/>
        <v>7.4499999999999984</v>
      </c>
      <c r="T651" s="304">
        <f t="shared" ca="1" si="291"/>
        <v>73.084499999999991</v>
      </c>
      <c r="U651" s="311">
        <f t="shared" ca="1" si="292"/>
        <v>0</v>
      </c>
      <c r="V651" s="306">
        <f t="shared" ca="1" si="293"/>
        <v>1.2262900959614411</v>
      </c>
      <c r="W651" s="304">
        <f t="shared" ca="1" si="294"/>
        <v>58.364270346002584</v>
      </c>
      <c r="Y651" s="314" t="str">
        <f t="shared" ca="1" si="312"/>
        <v/>
      </c>
      <c r="Z651" s="315" t="str">
        <f t="shared" ca="1" si="313"/>
        <v/>
      </c>
      <c r="AA651" s="316" t="str">
        <f t="shared" ca="1" si="314"/>
        <v/>
      </c>
      <c r="AC651" s="310" t="e">
        <f t="shared" ca="1" si="315"/>
        <v>#N/A</v>
      </c>
      <c r="AD651" s="323" t="e">
        <f t="shared" ca="1" si="316"/>
        <v>#N/A</v>
      </c>
      <c r="AE651" s="324" t="e">
        <f t="shared" ca="1" si="295"/>
        <v>#N/A</v>
      </c>
      <c r="AG651" s="306">
        <f t="shared" ca="1" si="317"/>
        <v>1.9354237526154359</v>
      </c>
      <c r="AH651" s="304">
        <f t="shared" ca="1" si="318"/>
        <v>-7.8340956703155937</v>
      </c>
    </row>
    <row r="652" spans="1:34" x14ac:dyDescent="0.2">
      <c r="A652" s="347">
        <f t="shared" ca="1" si="296"/>
        <v>1E-4</v>
      </c>
      <c r="B652" s="304">
        <f t="shared" ca="1" si="297"/>
        <v>34.512300000000629</v>
      </c>
      <c r="D652" s="306">
        <f t="shared" ca="1" si="298"/>
        <v>-0.71095582746279817</v>
      </c>
      <c r="E652" s="307">
        <f t="shared" ca="1" si="299"/>
        <v>-2.0081964552633291</v>
      </c>
      <c r="F652" s="304">
        <f t="shared" ca="1" si="300"/>
        <v>2.1303312398628322</v>
      </c>
      <c r="G652" s="306">
        <f t="shared" ca="1" si="301"/>
        <v>10.928084062023773</v>
      </c>
      <c r="H652" s="307">
        <f t="shared" ca="1" si="302"/>
        <v>-119.92230617788337</v>
      </c>
      <c r="I652" s="304">
        <f t="shared" ca="1" si="303"/>
        <v>120.4191950657729</v>
      </c>
      <c r="J652" s="306">
        <f t="shared" ca="1" si="304"/>
        <v>770.52896740167785</v>
      </c>
      <c r="K652" s="307">
        <f t="shared" ca="1" si="305"/>
        <v>-10.537845228075325</v>
      </c>
      <c r="L652" s="304">
        <f t="shared" ca="1" si="290"/>
        <v>770.60102244102086</v>
      </c>
      <c r="M652" s="306">
        <f t="shared" ca="1" si="306"/>
        <v>-1.4799209488635405</v>
      </c>
      <c r="N652" s="304">
        <f t="shared" ca="1" si="307"/>
        <v>-84.793224382877</v>
      </c>
      <c r="P652" s="310">
        <f t="shared" ca="1" si="308"/>
        <v>23</v>
      </c>
      <c r="Q652" s="304">
        <f t="shared" ca="1" si="309"/>
        <v>0</v>
      </c>
      <c r="R652" s="306">
        <f t="shared" ca="1" si="310"/>
        <v>0</v>
      </c>
      <c r="S652" s="307">
        <f t="shared" ca="1" si="311"/>
        <v>7.4499999999999984</v>
      </c>
      <c r="T652" s="304">
        <f t="shared" ca="1" si="291"/>
        <v>73.084499999999991</v>
      </c>
      <c r="U652" s="311">
        <f t="shared" ca="1" si="292"/>
        <v>0</v>
      </c>
      <c r="V652" s="306">
        <f t="shared" ca="1" si="293"/>
        <v>1.2262915665568632</v>
      </c>
      <c r="W652" s="304">
        <f t="shared" ca="1" si="294"/>
        <v>58.36452794581875</v>
      </c>
      <c r="Y652" s="314" t="str">
        <f t="shared" ca="1" si="312"/>
        <v/>
      </c>
      <c r="Z652" s="315" t="str">
        <f t="shared" ca="1" si="313"/>
        <v/>
      </c>
      <c r="AA652" s="316" t="str">
        <f t="shared" ca="1" si="314"/>
        <v/>
      </c>
      <c r="AC652" s="310" t="e">
        <f t="shared" ca="1" si="315"/>
        <v>#N/A</v>
      </c>
      <c r="AD652" s="323" t="e">
        <f t="shared" ca="1" si="316"/>
        <v>#N/A</v>
      </c>
      <c r="AE652" s="324" t="e">
        <f t="shared" ca="1" si="295"/>
        <v>#N/A</v>
      </c>
      <c r="AG652" s="306">
        <f t="shared" ca="1" si="317"/>
        <v>1.9353898333364468</v>
      </c>
      <c r="AH652" s="304">
        <f t="shared" ca="1" si="318"/>
        <v>-7.8341302477855832</v>
      </c>
    </row>
    <row r="653" spans="1:34" x14ac:dyDescent="0.2">
      <c r="A653" s="347">
        <f t="shared" ca="1" si="296"/>
        <v>1E-4</v>
      </c>
      <c r="B653" s="304">
        <f t="shared" ca="1" si="297"/>
        <v>34.512400000000632</v>
      </c>
      <c r="D653" s="306">
        <f t="shared" ca="1" si="298"/>
        <v>-0.71095319741969587</v>
      </c>
      <c r="E653" s="307">
        <f t="shared" ca="1" si="299"/>
        <v>-2.0081614951705751</v>
      </c>
      <c r="F653" s="304">
        <f t="shared" ca="1" si="300"/>
        <v>2.1302974063747553</v>
      </c>
      <c r="G653" s="306">
        <f t="shared" ca="1" si="301"/>
        <v>10.928012966704031</v>
      </c>
      <c r="H653" s="307">
        <f t="shared" ca="1" si="302"/>
        <v>-119.92250699403289</v>
      </c>
      <c r="I653" s="304">
        <f t="shared" ca="1" si="303"/>
        <v>120.41938860139723</v>
      </c>
      <c r="J653" s="306">
        <f t="shared" ca="1" si="304"/>
        <v>770.52896740167785</v>
      </c>
      <c r="K653" s="307">
        <f t="shared" ca="1" si="305"/>
        <v>-10.549837468733921</v>
      </c>
      <c r="L653" s="304">
        <f t="shared" ca="1" si="290"/>
        <v>770.60118652628137</v>
      </c>
      <c r="M653" s="306">
        <f t="shared" ca="1" si="306"/>
        <v>-1.479921688163865</v>
      </c>
      <c r="N653" s="304">
        <f t="shared" ca="1" si="307"/>
        <v>-84.793266741665391</v>
      </c>
      <c r="P653" s="310">
        <f t="shared" ca="1" si="308"/>
        <v>23</v>
      </c>
      <c r="Q653" s="304">
        <f t="shared" ca="1" si="309"/>
        <v>0</v>
      </c>
      <c r="R653" s="306">
        <f t="shared" ca="1" si="310"/>
        <v>0</v>
      </c>
      <c r="S653" s="307">
        <f t="shared" ca="1" si="311"/>
        <v>7.4499999999999984</v>
      </c>
      <c r="T653" s="304">
        <f t="shared" ca="1" si="291"/>
        <v>73.084499999999991</v>
      </c>
      <c r="U653" s="311">
        <f t="shared" ca="1" si="292"/>
        <v>0</v>
      </c>
      <c r="V653" s="306">
        <f t="shared" ca="1" si="293"/>
        <v>1.2262930371565122</v>
      </c>
      <c r="W653" s="304">
        <f t="shared" ca="1" si="294"/>
        <v>58.364785543299625</v>
      </c>
      <c r="Y653" s="314" t="str">
        <f t="shared" ca="1" si="312"/>
        <v/>
      </c>
      <c r="Z653" s="315" t="str">
        <f t="shared" ca="1" si="313"/>
        <v/>
      </c>
      <c r="AA653" s="316" t="str">
        <f t="shared" ca="1" si="314"/>
        <v/>
      </c>
      <c r="AC653" s="310" t="e">
        <f t="shared" ca="1" si="315"/>
        <v>#N/A</v>
      </c>
      <c r="AD653" s="323" t="e">
        <f t="shared" ca="1" si="316"/>
        <v>#N/A</v>
      </c>
      <c r="AE653" s="324" t="e">
        <f t="shared" ca="1" si="295"/>
        <v>#N/A</v>
      </c>
      <c r="AG653" s="306">
        <f t="shared" ca="1" si="317"/>
        <v>1.9353559143591763</v>
      </c>
      <c r="AH653" s="304">
        <f t="shared" ca="1" si="318"/>
        <v>-7.8341648249421159</v>
      </c>
    </row>
    <row r="654" spans="1:34" x14ac:dyDescent="0.2">
      <c r="A654" s="347">
        <f t="shared" ca="1" si="296"/>
        <v>1E-4</v>
      </c>
      <c r="B654" s="304">
        <f t="shared" ca="1" si="297"/>
        <v>34.512500000000635</v>
      </c>
      <c r="D654" s="306">
        <f t="shared" ca="1" si="298"/>
        <v>-0.71095056735290596</v>
      </c>
      <c r="E654" s="307">
        <f t="shared" ca="1" si="299"/>
        <v>-2.0081265353947231</v>
      </c>
      <c r="F654" s="304">
        <f t="shared" ca="1" si="300"/>
        <v>2.1302635732171344</v>
      </c>
      <c r="G654" s="306">
        <f t="shared" ca="1" si="301"/>
        <v>10.927941871647295</v>
      </c>
      <c r="H654" s="307">
        <f t="shared" ca="1" si="302"/>
        <v>-119.92270780668643</v>
      </c>
      <c r="I654" s="304">
        <f t="shared" ca="1" si="303"/>
        <v>120.41958213362972</v>
      </c>
      <c r="J654" s="306">
        <f t="shared" ca="1" si="304"/>
        <v>770.52896740167785</v>
      </c>
      <c r="K654" s="307">
        <f t="shared" ca="1" si="305"/>
        <v>-10.561829729473956</v>
      </c>
      <c r="L654" s="304">
        <f t="shared" ca="1" si="290"/>
        <v>770.60135079840757</v>
      </c>
      <c r="M654" s="306">
        <f t="shared" ca="1" si="306"/>
        <v>-1.4799224274570033</v>
      </c>
      <c r="N654" s="304">
        <f t="shared" ca="1" si="307"/>
        <v>-84.793309100042023</v>
      </c>
      <c r="P654" s="310">
        <f t="shared" ca="1" si="308"/>
        <v>23</v>
      </c>
      <c r="Q654" s="304">
        <f t="shared" ca="1" si="309"/>
        <v>0</v>
      </c>
      <c r="R654" s="306">
        <f t="shared" ca="1" si="310"/>
        <v>0</v>
      </c>
      <c r="S654" s="307">
        <f t="shared" ca="1" si="311"/>
        <v>7.4499999999999984</v>
      </c>
      <c r="T654" s="304">
        <f t="shared" ca="1" si="291"/>
        <v>73.084499999999991</v>
      </c>
      <c r="U654" s="311">
        <f t="shared" ca="1" si="292"/>
        <v>0</v>
      </c>
      <c r="V654" s="306">
        <f t="shared" ca="1" si="293"/>
        <v>1.2262945077603882</v>
      </c>
      <c r="W654" s="304">
        <f t="shared" ca="1" si="294"/>
        <v>58.365043138445209</v>
      </c>
      <c r="Y654" s="314" t="str">
        <f t="shared" ca="1" si="312"/>
        <v/>
      </c>
      <c r="Z654" s="315" t="str">
        <f t="shared" ca="1" si="313"/>
        <v/>
      </c>
      <c r="AA654" s="316" t="str">
        <f t="shared" ca="1" si="314"/>
        <v/>
      </c>
      <c r="AC654" s="310" t="e">
        <f t="shared" ca="1" si="315"/>
        <v>#N/A</v>
      </c>
      <c r="AD654" s="323" t="e">
        <f t="shared" ca="1" si="316"/>
        <v>#N/A</v>
      </c>
      <c r="AE654" s="324" t="e">
        <f t="shared" ca="1" si="295"/>
        <v>#N/A</v>
      </c>
      <c r="AG654" s="306">
        <f t="shared" ca="1" si="317"/>
        <v>1.9353219956836298</v>
      </c>
      <c r="AH654" s="304">
        <f t="shared" ca="1" si="318"/>
        <v>-7.8341994017851864</v>
      </c>
    </row>
    <row r="655" spans="1:34" x14ac:dyDescent="0.2">
      <c r="A655" s="347">
        <f t="shared" ca="1" si="296"/>
        <v>1E-4</v>
      </c>
      <c r="B655" s="304">
        <f t="shared" ca="1" si="297"/>
        <v>34.512600000000639</v>
      </c>
      <c r="D655" s="306">
        <f t="shared" ca="1" si="298"/>
        <v>-0.71094793726243311</v>
      </c>
      <c r="E655" s="307">
        <f t="shared" ca="1" si="299"/>
        <v>-2.008091575935774</v>
      </c>
      <c r="F655" s="304">
        <f t="shared" ca="1" si="300"/>
        <v>2.1302297403899724</v>
      </c>
      <c r="G655" s="306">
        <f t="shared" ca="1" si="301"/>
        <v>10.927870776853569</v>
      </c>
      <c r="H655" s="307">
        <f t="shared" ca="1" si="302"/>
        <v>-119.92290861584402</v>
      </c>
      <c r="I655" s="304">
        <f t="shared" ca="1" si="303"/>
        <v>120.41977566247036</v>
      </c>
      <c r="J655" s="306">
        <f t="shared" ca="1" si="304"/>
        <v>770.52896740167785</v>
      </c>
      <c r="K655" s="307">
        <f t="shared" ca="1" si="305"/>
        <v>-10.573822010295082</v>
      </c>
      <c r="L655" s="304">
        <f t="shared" ca="1" si="290"/>
        <v>770.60151525740025</v>
      </c>
      <c r="M655" s="306">
        <f t="shared" ca="1" si="306"/>
        <v>-1.4799231667429555</v>
      </c>
      <c r="N655" s="304">
        <f t="shared" ca="1" si="307"/>
        <v>-84.793351458006953</v>
      </c>
      <c r="P655" s="310">
        <f t="shared" ca="1" si="308"/>
        <v>23</v>
      </c>
      <c r="Q655" s="304">
        <f t="shared" ca="1" si="309"/>
        <v>0</v>
      </c>
      <c r="R655" s="306">
        <f t="shared" ca="1" si="310"/>
        <v>0</v>
      </c>
      <c r="S655" s="307">
        <f t="shared" ca="1" si="311"/>
        <v>7.4499999999999984</v>
      </c>
      <c r="T655" s="304">
        <f t="shared" ca="1" si="291"/>
        <v>73.084499999999991</v>
      </c>
      <c r="U655" s="311">
        <f t="shared" ca="1" si="292"/>
        <v>0</v>
      </c>
      <c r="V655" s="306">
        <f t="shared" ca="1" si="293"/>
        <v>1.226295978368491</v>
      </c>
      <c r="W655" s="304">
        <f t="shared" ca="1" si="294"/>
        <v>58.365300731255502</v>
      </c>
      <c r="Y655" s="314" t="str">
        <f t="shared" ca="1" si="312"/>
        <v/>
      </c>
      <c r="Z655" s="315" t="str">
        <f t="shared" ca="1" si="313"/>
        <v/>
      </c>
      <c r="AA655" s="316" t="str">
        <f t="shared" ca="1" si="314"/>
        <v/>
      </c>
      <c r="AC655" s="310" t="e">
        <f t="shared" ca="1" si="315"/>
        <v>#N/A</v>
      </c>
      <c r="AD655" s="323" t="e">
        <f t="shared" ca="1" si="316"/>
        <v>#N/A</v>
      </c>
      <c r="AE655" s="324" t="e">
        <f t="shared" ca="1" si="295"/>
        <v>#N/A</v>
      </c>
      <c r="AG655" s="306">
        <f t="shared" ca="1" si="317"/>
        <v>1.9352880773098091</v>
      </c>
      <c r="AH655" s="304">
        <f t="shared" ca="1" si="318"/>
        <v>-7.8342339783147947</v>
      </c>
    </row>
    <row r="656" spans="1:34" x14ac:dyDescent="0.2">
      <c r="A656" s="347">
        <f t="shared" ca="1" si="296"/>
        <v>1E-4</v>
      </c>
      <c r="B656" s="304">
        <f t="shared" ca="1" si="297"/>
        <v>34.512700000000642</v>
      </c>
      <c r="D656" s="306">
        <f t="shared" ca="1" si="298"/>
        <v>-0.71094530714827719</v>
      </c>
      <c r="E656" s="307">
        <f t="shared" ca="1" si="299"/>
        <v>-2.0080566167937262</v>
      </c>
      <c r="F656" s="304">
        <f t="shared" ca="1" si="300"/>
        <v>2.1301959078932677</v>
      </c>
      <c r="G656" s="306">
        <f t="shared" ca="1" si="301"/>
        <v>10.927799682322854</v>
      </c>
      <c r="H656" s="307">
        <f t="shared" ca="1" si="302"/>
        <v>-119.9231094215057</v>
      </c>
      <c r="I656" s="304">
        <f t="shared" ca="1" si="303"/>
        <v>120.41996918791918</v>
      </c>
      <c r="J656" s="306">
        <f t="shared" ca="1" si="304"/>
        <v>770.52896740167785</v>
      </c>
      <c r="K656" s="307">
        <f t="shared" ca="1" si="305"/>
        <v>-10.58581431119695</v>
      </c>
      <c r="L656" s="304">
        <f t="shared" ca="1" si="290"/>
        <v>770.60167990326045</v>
      </c>
      <c r="M656" s="306">
        <f t="shared" ca="1" si="306"/>
        <v>-1.4799239060217222</v>
      </c>
      <c r="N656" s="304">
        <f t="shared" ca="1" si="307"/>
        <v>-84.793393815560165</v>
      </c>
      <c r="P656" s="310">
        <f t="shared" ca="1" si="308"/>
        <v>23</v>
      </c>
      <c r="Q656" s="304">
        <f t="shared" ca="1" si="309"/>
        <v>0</v>
      </c>
      <c r="R656" s="306">
        <f t="shared" ca="1" si="310"/>
        <v>0</v>
      </c>
      <c r="S656" s="307">
        <f t="shared" ca="1" si="311"/>
        <v>7.4499999999999984</v>
      </c>
      <c r="T656" s="304">
        <f t="shared" ca="1" si="291"/>
        <v>73.084499999999991</v>
      </c>
      <c r="U656" s="311">
        <f t="shared" ca="1" si="292"/>
        <v>0</v>
      </c>
      <c r="V656" s="306">
        <f t="shared" ca="1" si="293"/>
        <v>1.2262974489808212</v>
      </c>
      <c r="W656" s="304">
        <f t="shared" ca="1" si="294"/>
        <v>58.365558321730525</v>
      </c>
      <c r="Y656" s="314" t="str">
        <f t="shared" ca="1" si="312"/>
        <v/>
      </c>
      <c r="Z656" s="315" t="str">
        <f t="shared" ca="1" si="313"/>
        <v/>
      </c>
      <c r="AA656" s="316" t="str">
        <f t="shared" ca="1" si="314"/>
        <v/>
      </c>
      <c r="AC656" s="310" t="e">
        <f t="shared" ca="1" si="315"/>
        <v>#N/A</v>
      </c>
      <c r="AD656" s="323" t="e">
        <f t="shared" ca="1" si="316"/>
        <v>#N/A</v>
      </c>
      <c r="AE656" s="324" t="e">
        <f t="shared" ca="1" si="295"/>
        <v>#N/A</v>
      </c>
      <c r="AG656" s="306">
        <f t="shared" ca="1" si="317"/>
        <v>1.9352541592377115</v>
      </c>
      <c r="AH656" s="304">
        <f t="shared" ca="1" si="318"/>
        <v>-7.8342685545309418</v>
      </c>
    </row>
    <row r="657" spans="1:34" x14ac:dyDescent="0.2">
      <c r="A657" s="347">
        <f t="shared" ca="1" si="296"/>
        <v>1E-4</v>
      </c>
      <c r="B657" s="304">
        <f t="shared" ca="1" si="297"/>
        <v>34.512800000000645</v>
      </c>
      <c r="D657" s="306">
        <f t="shared" ca="1" si="298"/>
        <v>-0.71094267701043656</v>
      </c>
      <c r="E657" s="307">
        <f t="shared" ca="1" si="299"/>
        <v>-2.0080216579685777</v>
      </c>
      <c r="F657" s="304">
        <f t="shared" ca="1" si="300"/>
        <v>2.1301620757270188</v>
      </c>
      <c r="G657" s="306">
        <f t="shared" ca="1" si="301"/>
        <v>10.927728588055153</v>
      </c>
      <c r="H657" s="307">
        <f t="shared" ca="1" si="302"/>
        <v>-119.92331022367149</v>
      </c>
      <c r="I657" s="304">
        <f t="shared" ca="1" si="303"/>
        <v>120.42016270997622</v>
      </c>
      <c r="J657" s="306">
        <f t="shared" ca="1" si="304"/>
        <v>770.52896740167785</v>
      </c>
      <c r="K657" s="307">
        <f t="shared" ca="1" si="305"/>
        <v>-10.597806632179209</v>
      </c>
      <c r="L657" s="304">
        <f t="shared" ca="1" si="290"/>
        <v>770.60184473598883</v>
      </c>
      <c r="M657" s="306">
        <f t="shared" ca="1" si="306"/>
        <v>-1.479924645293303</v>
      </c>
      <c r="N657" s="304">
        <f t="shared" ca="1" si="307"/>
        <v>-84.793436172701661</v>
      </c>
      <c r="P657" s="310">
        <f t="shared" ca="1" si="308"/>
        <v>23</v>
      </c>
      <c r="Q657" s="304">
        <f t="shared" ca="1" si="309"/>
        <v>0</v>
      </c>
      <c r="R657" s="306">
        <f t="shared" ca="1" si="310"/>
        <v>0</v>
      </c>
      <c r="S657" s="307">
        <f t="shared" ca="1" si="311"/>
        <v>7.4499999999999984</v>
      </c>
      <c r="T657" s="304">
        <f t="shared" ca="1" si="291"/>
        <v>73.084499999999991</v>
      </c>
      <c r="U657" s="311">
        <f t="shared" ca="1" si="292"/>
        <v>0</v>
      </c>
      <c r="V657" s="306">
        <f t="shared" ca="1" si="293"/>
        <v>1.2262989195973784</v>
      </c>
      <c r="W657" s="304">
        <f t="shared" ca="1" si="294"/>
        <v>58.365815909870285</v>
      </c>
      <c r="Y657" s="314" t="str">
        <f t="shared" ca="1" si="312"/>
        <v/>
      </c>
      <c r="Z657" s="315" t="str">
        <f t="shared" ca="1" si="313"/>
        <v/>
      </c>
      <c r="AA657" s="316" t="str">
        <f t="shared" ca="1" si="314"/>
        <v/>
      </c>
      <c r="AC657" s="310" t="e">
        <f t="shared" ca="1" si="315"/>
        <v>#N/A</v>
      </c>
      <c r="AD657" s="323" t="e">
        <f t="shared" ca="1" si="316"/>
        <v>#N/A</v>
      </c>
      <c r="AE657" s="324" t="e">
        <f t="shared" ca="1" si="295"/>
        <v>#N/A</v>
      </c>
      <c r="AG657" s="306">
        <f t="shared" ca="1" si="317"/>
        <v>1.9352202414673405</v>
      </c>
      <c r="AH657" s="304">
        <f t="shared" ca="1" si="318"/>
        <v>-7.8343031304336295</v>
      </c>
    </row>
    <row r="658" spans="1:34" x14ac:dyDescent="0.2">
      <c r="A658" s="347">
        <f t="shared" ca="1" si="296"/>
        <v>1E-4</v>
      </c>
      <c r="B658" s="304">
        <f t="shared" ca="1" si="297"/>
        <v>34.512900000000649</v>
      </c>
      <c r="D658" s="306">
        <f t="shared" ca="1" si="298"/>
        <v>-0.7109400468489141</v>
      </c>
      <c r="E658" s="307">
        <f t="shared" ca="1" si="299"/>
        <v>-2.0079866994603268</v>
      </c>
      <c r="F658" s="304">
        <f t="shared" ca="1" si="300"/>
        <v>2.1301282438912246</v>
      </c>
      <c r="G658" s="306">
        <f t="shared" ca="1" si="301"/>
        <v>10.927657494050468</v>
      </c>
      <c r="H658" s="307">
        <f t="shared" ca="1" si="302"/>
        <v>-119.92351102234144</v>
      </c>
      <c r="I658" s="304">
        <f t="shared" ca="1" si="303"/>
        <v>120.42035622864154</v>
      </c>
      <c r="J658" s="306">
        <f t="shared" ca="1" si="304"/>
        <v>770.52896740167785</v>
      </c>
      <c r="K658" s="307">
        <f t="shared" ca="1" si="305"/>
        <v>-10.60979897324151</v>
      </c>
      <c r="L658" s="304">
        <f t="shared" ca="1" si="290"/>
        <v>770.60200975558621</v>
      </c>
      <c r="M658" s="306">
        <f t="shared" ca="1" si="306"/>
        <v>-1.4799253845576981</v>
      </c>
      <c r="N658" s="304">
        <f t="shared" ca="1" si="307"/>
        <v>-84.793478529431439</v>
      </c>
      <c r="P658" s="310">
        <f t="shared" ca="1" si="308"/>
        <v>23</v>
      </c>
      <c r="Q658" s="304">
        <f t="shared" ca="1" si="309"/>
        <v>0</v>
      </c>
      <c r="R658" s="306">
        <f t="shared" ca="1" si="310"/>
        <v>0</v>
      </c>
      <c r="S658" s="307">
        <f t="shared" ca="1" si="311"/>
        <v>7.4499999999999984</v>
      </c>
      <c r="T658" s="304">
        <f t="shared" ca="1" si="291"/>
        <v>73.084499999999991</v>
      </c>
      <c r="U658" s="311">
        <f t="shared" ca="1" si="292"/>
        <v>0</v>
      </c>
      <c r="V658" s="306">
        <f t="shared" ca="1" si="293"/>
        <v>1.2263003902181622</v>
      </c>
      <c r="W658" s="304">
        <f t="shared" ca="1" si="294"/>
        <v>58.366073495674769</v>
      </c>
      <c r="Y658" s="314" t="str">
        <f t="shared" ca="1" si="312"/>
        <v/>
      </c>
      <c r="Z658" s="315" t="str">
        <f t="shared" ca="1" si="313"/>
        <v/>
      </c>
      <c r="AA658" s="316" t="str">
        <f t="shared" ca="1" si="314"/>
        <v/>
      </c>
      <c r="AC658" s="310" t="e">
        <f t="shared" ca="1" si="315"/>
        <v>#N/A</v>
      </c>
      <c r="AD658" s="323" t="e">
        <f t="shared" ca="1" si="316"/>
        <v>#N/A</v>
      </c>
      <c r="AE658" s="324" t="e">
        <f t="shared" ca="1" si="295"/>
        <v>#N/A</v>
      </c>
      <c r="AG658" s="306">
        <f t="shared" ca="1" si="317"/>
        <v>1.93518632399869</v>
      </c>
      <c r="AH658" s="304">
        <f t="shared" ca="1" si="318"/>
        <v>-7.8343377060228585</v>
      </c>
    </row>
    <row r="659" spans="1:34" x14ac:dyDescent="0.2">
      <c r="A659" s="347">
        <f t="shared" ca="1" si="296"/>
        <v>1E-4</v>
      </c>
      <c r="B659" s="304">
        <f t="shared" ca="1" si="297"/>
        <v>34.513000000000652</v>
      </c>
      <c r="D659" s="306">
        <f t="shared" ca="1" si="298"/>
        <v>-0.71093741666371157</v>
      </c>
      <c r="E659" s="307">
        <f t="shared" ca="1" si="299"/>
        <v>-2.0079517412689771</v>
      </c>
      <c r="F659" s="304">
        <f t="shared" ca="1" si="300"/>
        <v>2.1300944123858896</v>
      </c>
      <c r="G659" s="306">
        <f t="shared" ca="1" si="301"/>
        <v>10.927586400308801</v>
      </c>
      <c r="H659" s="307">
        <f t="shared" ca="1" si="302"/>
        <v>-119.92371181751557</v>
      </c>
      <c r="I659" s="304">
        <f t="shared" ca="1" si="303"/>
        <v>120.42054974391512</v>
      </c>
      <c r="J659" s="306">
        <f t="shared" ca="1" si="304"/>
        <v>770.52896740167785</v>
      </c>
      <c r="K659" s="307">
        <f t="shared" ca="1" si="305"/>
        <v>-10.621791334383502</v>
      </c>
      <c r="L659" s="304">
        <f t="shared" ca="1" si="290"/>
        <v>770.60217496205337</v>
      </c>
      <c r="M659" s="306">
        <f t="shared" ca="1" si="306"/>
        <v>-1.4799261238149077</v>
      </c>
      <c r="N659" s="304">
        <f t="shared" ca="1" si="307"/>
        <v>-84.79352088574953</v>
      </c>
      <c r="P659" s="310">
        <f t="shared" ca="1" si="308"/>
        <v>23</v>
      </c>
      <c r="Q659" s="304">
        <f t="shared" ca="1" si="309"/>
        <v>0</v>
      </c>
      <c r="R659" s="306">
        <f t="shared" ca="1" si="310"/>
        <v>0</v>
      </c>
      <c r="S659" s="307">
        <f t="shared" ca="1" si="311"/>
        <v>7.4499999999999984</v>
      </c>
      <c r="T659" s="304">
        <f t="shared" ca="1" si="291"/>
        <v>73.084499999999991</v>
      </c>
      <c r="U659" s="311">
        <f t="shared" ca="1" si="292"/>
        <v>0</v>
      </c>
      <c r="V659" s="306">
        <f t="shared" ca="1" si="293"/>
        <v>1.2263018608431731</v>
      </c>
      <c r="W659" s="304">
        <f t="shared" ca="1" si="294"/>
        <v>58.366331079143968</v>
      </c>
      <c r="Y659" s="314" t="str">
        <f t="shared" ca="1" si="312"/>
        <v/>
      </c>
      <c r="Z659" s="315" t="str">
        <f t="shared" ca="1" si="313"/>
        <v/>
      </c>
      <c r="AA659" s="316" t="str">
        <f t="shared" ca="1" si="314"/>
        <v/>
      </c>
      <c r="AC659" s="310" t="e">
        <f t="shared" ca="1" si="315"/>
        <v>#N/A</v>
      </c>
      <c r="AD659" s="323" t="e">
        <f t="shared" ca="1" si="316"/>
        <v>#N/A</v>
      </c>
      <c r="AE659" s="324" t="e">
        <f t="shared" ca="1" si="295"/>
        <v>#N/A</v>
      </c>
      <c r="AG659" s="306">
        <f t="shared" ca="1" si="317"/>
        <v>1.9351524068317607</v>
      </c>
      <c r="AH659" s="304">
        <f t="shared" ca="1" si="318"/>
        <v>-7.8343722812986281</v>
      </c>
    </row>
    <row r="660" spans="1:34" x14ac:dyDescent="0.2">
      <c r="A660" s="347">
        <f t="shared" ca="1" si="296"/>
        <v>1E-4</v>
      </c>
      <c r="B660" s="304">
        <f t="shared" ca="1" si="297"/>
        <v>34.513100000000655</v>
      </c>
      <c r="D660" s="306">
        <f t="shared" ca="1" si="298"/>
        <v>-0.71093478645482655</v>
      </c>
      <c r="E660" s="307">
        <f t="shared" ca="1" si="299"/>
        <v>-2.0079167833945277</v>
      </c>
      <c r="F660" s="304">
        <f t="shared" ca="1" si="300"/>
        <v>2.1300605812110125</v>
      </c>
      <c r="G660" s="306">
        <f t="shared" ca="1" si="301"/>
        <v>10.927515306830156</v>
      </c>
      <c r="H660" s="307">
        <f t="shared" ca="1" si="302"/>
        <v>-119.92391260919391</v>
      </c>
      <c r="I660" s="304">
        <f t="shared" ca="1" si="303"/>
        <v>120.42074325579702</v>
      </c>
      <c r="J660" s="306">
        <f t="shared" ca="1" si="304"/>
        <v>770.52896740167785</v>
      </c>
      <c r="K660" s="307">
        <f t="shared" ca="1" si="305"/>
        <v>-10.633783715604837</v>
      </c>
      <c r="L660" s="304">
        <f t="shared" ca="1" si="290"/>
        <v>770.60234035539122</v>
      </c>
      <c r="M660" s="306">
        <f t="shared" ca="1" si="306"/>
        <v>-1.479926863064932</v>
      </c>
      <c r="N660" s="304">
        <f t="shared" ca="1" si="307"/>
        <v>-84.793563241655917</v>
      </c>
      <c r="P660" s="310">
        <f t="shared" ca="1" si="308"/>
        <v>23</v>
      </c>
      <c r="Q660" s="304">
        <f t="shared" ca="1" si="309"/>
        <v>0</v>
      </c>
      <c r="R660" s="306">
        <f t="shared" ca="1" si="310"/>
        <v>0</v>
      </c>
      <c r="S660" s="307">
        <f t="shared" ca="1" si="311"/>
        <v>7.4499999999999984</v>
      </c>
      <c r="T660" s="304">
        <f t="shared" ca="1" si="291"/>
        <v>73.084499999999991</v>
      </c>
      <c r="U660" s="311">
        <f t="shared" ca="1" si="292"/>
        <v>0</v>
      </c>
      <c r="V660" s="306">
        <f t="shared" ca="1" si="293"/>
        <v>1.2263033314724112</v>
      </c>
      <c r="W660" s="304">
        <f t="shared" ca="1" si="294"/>
        <v>58.366588660277948</v>
      </c>
      <c r="Y660" s="314" t="str">
        <f t="shared" ca="1" si="312"/>
        <v/>
      </c>
      <c r="Z660" s="315" t="str">
        <f t="shared" ca="1" si="313"/>
        <v/>
      </c>
      <c r="AA660" s="316" t="str">
        <f t="shared" ca="1" si="314"/>
        <v/>
      </c>
      <c r="AC660" s="310" t="e">
        <f t="shared" ca="1" si="315"/>
        <v>#N/A</v>
      </c>
      <c r="AD660" s="323" t="e">
        <f t="shared" ca="1" si="316"/>
        <v>#N/A</v>
      </c>
      <c r="AE660" s="324" t="e">
        <f t="shared" ca="1" si="295"/>
        <v>#N/A</v>
      </c>
      <c r="AG660" s="306">
        <f t="shared" ca="1" si="317"/>
        <v>1.935118489966559</v>
      </c>
      <c r="AH660" s="304">
        <f t="shared" ca="1" si="318"/>
        <v>-7.8344068562609372</v>
      </c>
    </row>
    <row r="661" spans="1:34" x14ac:dyDescent="0.2">
      <c r="A661" s="347">
        <f t="shared" ca="1" si="296"/>
        <v>1E-4</v>
      </c>
      <c r="B661" s="304">
        <f t="shared" ca="1" si="297"/>
        <v>34.513200000000658</v>
      </c>
      <c r="D661" s="306">
        <f t="shared" ca="1" si="298"/>
        <v>-0.71093215622226125</v>
      </c>
      <c r="E661" s="307">
        <f t="shared" ca="1" si="299"/>
        <v>-2.0078818258369697</v>
      </c>
      <c r="F661" s="304">
        <f t="shared" ca="1" si="300"/>
        <v>2.1300267503665857</v>
      </c>
      <c r="G661" s="306">
        <f t="shared" ca="1" si="301"/>
        <v>10.927444213614534</v>
      </c>
      <c r="H661" s="307">
        <f t="shared" ca="1" si="302"/>
        <v>-119.92411339737649</v>
      </c>
      <c r="I661" s="304">
        <f t="shared" ca="1" si="303"/>
        <v>120.42093676428726</v>
      </c>
      <c r="J661" s="306">
        <f t="shared" ca="1" si="304"/>
        <v>770.52896740167785</v>
      </c>
      <c r="K661" s="307">
        <f t="shared" ca="1" si="305"/>
        <v>-10.645776116905166</v>
      </c>
      <c r="L661" s="304">
        <f t="shared" ca="1" si="290"/>
        <v>770.60250593560045</v>
      </c>
      <c r="M661" s="306">
        <f t="shared" ca="1" si="306"/>
        <v>-1.479927602307771</v>
      </c>
      <c r="N661" s="304">
        <f t="shared" ca="1" si="307"/>
        <v>-84.793605597150631</v>
      </c>
      <c r="P661" s="310">
        <f t="shared" ca="1" si="308"/>
        <v>23</v>
      </c>
      <c r="Q661" s="304">
        <f t="shared" ca="1" si="309"/>
        <v>0</v>
      </c>
      <c r="R661" s="306">
        <f t="shared" ca="1" si="310"/>
        <v>0</v>
      </c>
      <c r="S661" s="307">
        <f t="shared" ca="1" si="311"/>
        <v>7.4499999999999984</v>
      </c>
      <c r="T661" s="304">
        <f t="shared" ca="1" si="291"/>
        <v>73.084499999999991</v>
      </c>
      <c r="U661" s="311">
        <f t="shared" ca="1" si="292"/>
        <v>0</v>
      </c>
      <c r="V661" s="306">
        <f t="shared" ca="1" si="293"/>
        <v>1.2263048021058758</v>
      </c>
      <c r="W661" s="304">
        <f t="shared" ca="1" si="294"/>
        <v>58.366846239076644</v>
      </c>
      <c r="Y661" s="314" t="str">
        <f t="shared" ca="1" si="312"/>
        <v/>
      </c>
      <c r="Z661" s="315" t="str">
        <f t="shared" ca="1" si="313"/>
        <v/>
      </c>
      <c r="AA661" s="316" t="str">
        <f t="shared" ca="1" si="314"/>
        <v/>
      </c>
      <c r="AC661" s="310" t="e">
        <f t="shared" ca="1" si="315"/>
        <v>#N/A</v>
      </c>
      <c r="AD661" s="323" t="e">
        <f t="shared" ca="1" si="316"/>
        <v>#N/A</v>
      </c>
      <c r="AE661" s="324" t="e">
        <f t="shared" ca="1" si="295"/>
        <v>#N/A</v>
      </c>
      <c r="AG661" s="306">
        <f t="shared" ca="1" si="317"/>
        <v>1.9350845734030742</v>
      </c>
      <c r="AH661" s="304">
        <f t="shared" ca="1" si="318"/>
        <v>-7.8344414309097932</v>
      </c>
    </row>
    <row r="662" spans="1:34" x14ac:dyDescent="0.2">
      <c r="A662" s="347">
        <f t="shared" ca="1" si="296"/>
        <v>1E-4</v>
      </c>
      <c r="B662" s="304">
        <f t="shared" ca="1" si="297"/>
        <v>34.513300000000662</v>
      </c>
      <c r="D662" s="306">
        <f t="shared" ca="1" si="298"/>
        <v>-0.71092952596601633</v>
      </c>
      <c r="E662" s="307">
        <f t="shared" ca="1" si="299"/>
        <v>-2.0078468685963138</v>
      </c>
      <c r="F662" s="304">
        <f t="shared" ca="1" si="300"/>
        <v>2.1299929198526195</v>
      </c>
      <c r="G662" s="306">
        <f t="shared" ca="1" si="301"/>
        <v>10.927373120661937</v>
      </c>
      <c r="H662" s="307">
        <f t="shared" ca="1" si="302"/>
        <v>-119.92431418206334</v>
      </c>
      <c r="I662" s="304">
        <f t="shared" ca="1" si="303"/>
        <v>120.42113026938588</v>
      </c>
      <c r="J662" s="306">
        <f t="shared" ca="1" si="304"/>
        <v>770.52896740167785</v>
      </c>
      <c r="K662" s="307">
        <f t="shared" ca="1" si="305"/>
        <v>-10.657768538284138</v>
      </c>
      <c r="L662" s="304">
        <f t="shared" ca="1" si="290"/>
        <v>770.60267170268207</v>
      </c>
      <c r="M662" s="306">
        <f t="shared" ca="1" si="306"/>
        <v>-1.4799283415434246</v>
      </c>
      <c r="N662" s="304">
        <f t="shared" ca="1" si="307"/>
        <v>-84.793647952233641</v>
      </c>
      <c r="P662" s="310">
        <f t="shared" ca="1" si="308"/>
        <v>23</v>
      </c>
      <c r="Q662" s="304">
        <f t="shared" ca="1" si="309"/>
        <v>0</v>
      </c>
      <c r="R662" s="306">
        <f t="shared" ca="1" si="310"/>
        <v>0</v>
      </c>
      <c r="S662" s="307">
        <f t="shared" ca="1" si="311"/>
        <v>7.4499999999999984</v>
      </c>
      <c r="T662" s="304">
        <f t="shared" ca="1" si="291"/>
        <v>73.084499999999991</v>
      </c>
      <c r="U662" s="311">
        <f t="shared" ca="1" si="292"/>
        <v>0</v>
      </c>
      <c r="V662" s="306">
        <f t="shared" ca="1" si="293"/>
        <v>1.2263062727435672</v>
      </c>
      <c r="W662" s="304">
        <f t="shared" ca="1" si="294"/>
        <v>58.367103815540069</v>
      </c>
      <c r="Y662" s="314" t="str">
        <f t="shared" ca="1" si="312"/>
        <v/>
      </c>
      <c r="Z662" s="315" t="str">
        <f t="shared" ca="1" si="313"/>
        <v/>
      </c>
      <c r="AA662" s="316" t="str">
        <f t="shared" ca="1" si="314"/>
        <v/>
      </c>
      <c r="AC662" s="310" t="e">
        <f t="shared" ca="1" si="315"/>
        <v>#N/A</v>
      </c>
      <c r="AD662" s="323" t="e">
        <f t="shared" ca="1" si="316"/>
        <v>#N/A</v>
      </c>
      <c r="AE662" s="324" t="e">
        <f t="shared" ca="1" si="295"/>
        <v>#N/A</v>
      </c>
      <c r="AG662" s="306">
        <f t="shared" ca="1" si="317"/>
        <v>1.9350506571413133</v>
      </c>
      <c r="AH662" s="304">
        <f t="shared" ca="1" si="318"/>
        <v>-7.8344760052451887</v>
      </c>
    </row>
    <row r="663" spans="1:34" x14ac:dyDescent="0.2">
      <c r="A663" s="347">
        <f t="shared" ca="1" si="296"/>
        <v>1E-4</v>
      </c>
      <c r="B663" s="304">
        <f t="shared" ca="1" si="297"/>
        <v>34.513400000000665</v>
      </c>
      <c r="D663" s="306">
        <f t="shared" ca="1" si="298"/>
        <v>-0.71092689568609369</v>
      </c>
      <c r="E663" s="307">
        <f t="shared" ca="1" si="299"/>
        <v>-2.0078119116725581</v>
      </c>
      <c r="F663" s="304">
        <f t="shared" ca="1" si="300"/>
        <v>2.1299590896691134</v>
      </c>
      <c r="G663" s="306">
        <f t="shared" ca="1" si="301"/>
        <v>10.927302027972368</v>
      </c>
      <c r="H663" s="307">
        <f t="shared" ca="1" si="302"/>
        <v>-119.92451496325451</v>
      </c>
      <c r="I663" s="304">
        <f t="shared" ca="1" si="303"/>
        <v>120.4213237710929</v>
      </c>
      <c r="J663" s="306">
        <f t="shared" ca="1" si="304"/>
        <v>770.52896740167785</v>
      </c>
      <c r="K663" s="307">
        <f t="shared" ca="1" si="305"/>
        <v>-10.669760979741405</v>
      </c>
      <c r="L663" s="304">
        <f t="shared" ca="1" si="290"/>
        <v>770.60283765663678</v>
      </c>
      <c r="M663" s="306">
        <f t="shared" ca="1" si="306"/>
        <v>-1.4799290807718932</v>
      </c>
      <c r="N663" s="304">
        <f t="shared" ca="1" si="307"/>
        <v>-84.793690306904992</v>
      </c>
      <c r="P663" s="310">
        <f t="shared" ca="1" si="308"/>
        <v>23</v>
      </c>
      <c r="Q663" s="304">
        <f t="shared" ca="1" si="309"/>
        <v>0</v>
      </c>
      <c r="R663" s="306">
        <f t="shared" ca="1" si="310"/>
        <v>0</v>
      </c>
      <c r="S663" s="307">
        <f t="shared" ca="1" si="311"/>
        <v>7.4499999999999984</v>
      </c>
      <c r="T663" s="304">
        <f t="shared" ca="1" si="291"/>
        <v>73.084499999999991</v>
      </c>
      <c r="U663" s="311">
        <f t="shared" ca="1" si="292"/>
        <v>0</v>
      </c>
      <c r="V663" s="306">
        <f t="shared" ca="1" si="293"/>
        <v>1.2263077433854856</v>
      </c>
      <c r="W663" s="304">
        <f t="shared" ca="1" si="294"/>
        <v>58.367361389668268</v>
      </c>
      <c r="Y663" s="314" t="str">
        <f t="shared" ca="1" si="312"/>
        <v/>
      </c>
      <c r="Z663" s="315" t="str">
        <f t="shared" ca="1" si="313"/>
        <v/>
      </c>
      <c r="AA663" s="316" t="str">
        <f t="shared" ca="1" si="314"/>
        <v/>
      </c>
      <c r="AC663" s="310" t="e">
        <f t="shared" ca="1" si="315"/>
        <v>#N/A</v>
      </c>
      <c r="AD663" s="323" t="e">
        <f t="shared" ca="1" si="316"/>
        <v>#N/A</v>
      </c>
      <c r="AE663" s="324" t="e">
        <f t="shared" ca="1" si="295"/>
        <v>#N/A</v>
      </c>
      <c r="AG663" s="306">
        <f t="shared" ca="1" si="317"/>
        <v>1.9350167411812773</v>
      </c>
      <c r="AH663" s="304">
        <f t="shared" ca="1" si="318"/>
        <v>-7.8345105792671248</v>
      </c>
    </row>
    <row r="664" spans="1:34" x14ac:dyDescent="0.2">
      <c r="A664" s="347">
        <f t="shared" ca="1" si="296"/>
        <v>1E-4</v>
      </c>
      <c r="B664" s="304">
        <f t="shared" ca="1" si="297"/>
        <v>34.513500000000668</v>
      </c>
      <c r="D664" s="306">
        <f t="shared" ca="1" si="298"/>
        <v>-0.71092426538249154</v>
      </c>
      <c r="E664" s="307">
        <f t="shared" ca="1" si="299"/>
        <v>-2.0077769550656939</v>
      </c>
      <c r="F664" s="304">
        <f t="shared" ca="1" si="300"/>
        <v>2.1299252598160585</v>
      </c>
      <c r="G664" s="306">
        <f t="shared" ca="1" si="301"/>
        <v>10.927230935545831</v>
      </c>
      <c r="H664" s="307">
        <f t="shared" ca="1" si="302"/>
        <v>-119.92471574095002</v>
      </c>
      <c r="I664" s="304">
        <f t="shared" ca="1" si="303"/>
        <v>120.42151726940835</v>
      </c>
      <c r="J664" s="306">
        <f t="shared" ca="1" si="304"/>
        <v>770.52896740167785</v>
      </c>
      <c r="K664" s="307">
        <f t="shared" ca="1" si="305"/>
        <v>-10.681753441276614</v>
      </c>
      <c r="L664" s="304">
        <f t="shared" ca="1" si="290"/>
        <v>770.60300379746525</v>
      </c>
      <c r="M664" s="306">
        <f t="shared" ca="1" si="306"/>
        <v>-1.4799298199931767</v>
      </c>
      <c r="N664" s="304">
        <f t="shared" ca="1" si="307"/>
        <v>-84.793732661164668</v>
      </c>
      <c r="P664" s="310">
        <f t="shared" ca="1" si="308"/>
        <v>23</v>
      </c>
      <c r="Q664" s="304">
        <f t="shared" ca="1" si="309"/>
        <v>0</v>
      </c>
      <c r="R664" s="306">
        <f t="shared" ca="1" si="310"/>
        <v>0</v>
      </c>
      <c r="S664" s="307">
        <f t="shared" ca="1" si="311"/>
        <v>7.4499999999999984</v>
      </c>
      <c r="T664" s="304">
        <f t="shared" ca="1" si="291"/>
        <v>73.084499999999991</v>
      </c>
      <c r="U664" s="311">
        <f t="shared" ca="1" si="292"/>
        <v>0</v>
      </c>
      <c r="V664" s="306">
        <f t="shared" ca="1" si="293"/>
        <v>1.2263092140316307</v>
      </c>
      <c r="W664" s="304">
        <f t="shared" ca="1" si="294"/>
        <v>58.367618961461197</v>
      </c>
      <c r="Y664" s="314" t="str">
        <f t="shared" ca="1" si="312"/>
        <v/>
      </c>
      <c r="Z664" s="315" t="str">
        <f t="shared" ca="1" si="313"/>
        <v/>
      </c>
      <c r="AA664" s="316" t="str">
        <f t="shared" ca="1" si="314"/>
        <v/>
      </c>
      <c r="AC664" s="310" t="e">
        <f t="shared" ca="1" si="315"/>
        <v>#N/A</v>
      </c>
      <c r="AD664" s="323" t="e">
        <f t="shared" ca="1" si="316"/>
        <v>#N/A</v>
      </c>
      <c r="AE664" s="324" t="e">
        <f t="shared" ca="1" si="295"/>
        <v>#N/A</v>
      </c>
      <c r="AG664" s="306">
        <f t="shared" ca="1" si="317"/>
        <v>1.9349828255229591</v>
      </c>
      <c r="AH664" s="304">
        <f t="shared" ca="1" si="318"/>
        <v>-7.8345451529756085</v>
      </c>
    </row>
    <row r="665" spans="1:34" x14ac:dyDescent="0.2">
      <c r="A665" s="347">
        <f t="shared" ca="1" si="296"/>
        <v>1E-4</v>
      </c>
      <c r="B665" s="304">
        <f t="shared" ca="1" si="297"/>
        <v>34.513600000000672</v>
      </c>
      <c r="D665" s="306">
        <f t="shared" ca="1" si="298"/>
        <v>-0.71092163505521255</v>
      </c>
      <c r="E665" s="307">
        <f t="shared" ca="1" si="299"/>
        <v>-2.0077419987757299</v>
      </c>
      <c r="F665" s="304">
        <f t="shared" ca="1" si="300"/>
        <v>2.1298914302934646</v>
      </c>
      <c r="G665" s="306">
        <f t="shared" ca="1" si="301"/>
        <v>10.927159843382325</v>
      </c>
      <c r="H665" s="307">
        <f t="shared" ca="1" si="302"/>
        <v>-119.9249165151499</v>
      </c>
      <c r="I665" s="304">
        <f t="shared" ca="1" si="303"/>
        <v>120.42171076433229</v>
      </c>
      <c r="J665" s="306">
        <f t="shared" ca="1" si="304"/>
        <v>770.52896740167785</v>
      </c>
      <c r="K665" s="307">
        <f t="shared" ca="1" si="305"/>
        <v>-10.69374592288942</v>
      </c>
      <c r="L665" s="304">
        <f t="shared" ca="1" si="290"/>
        <v>770.60317012516839</v>
      </c>
      <c r="M665" s="306">
        <f t="shared" ca="1" si="306"/>
        <v>-1.4799305592072753</v>
      </c>
      <c r="N665" s="304">
        <f t="shared" ca="1" si="307"/>
        <v>-84.79377501501267</v>
      </c>
      <c r="P665" s="310">
        <f t="shared" ca="1" si="308"/>
        <v>23</v>
      </c>
      <c r="Q665" s="304">
        <f t="shared" ca="1" si="309"/>
        <v>0</v>
      </c>
      <c r="R665" s="306">
        <f t="shared" ca="1" si="310"/>
        <v>0</v>
      </c>
      <c r="S665" s="307">
        <f t="shared" ca="1" si="311"/>
        <v>7.4499999999999984</v>
      </c>
      <c r="T665" s="304">
        <f t="shared" ca="1" si="291"/>
        <v>73.084499999999991</v>
      </c>
      <c r="U665" s="311">
        <f t="shared" ca="1" si="292"/>
        <v>0</v>
      </c>
      <c r="V665" s="306">
        <f t="shared" ca="1" si="293"/>
        <v>1.2263106846820029</v>
      </c>
      <c r="W665" s="304">
        <f t="shared" ca="1" si="294"/>
        <v>58.367876530918913</v>
      </c>
      <c r="Y665" s="314" t="str">
        <f t="shared" ca="1" si="312"/>
        <v/>
      </c>
      <c r="Z665" s="315" t="str">
        <f t="shared" ca="1" si="313"/>
        <v/>
      </c>
      <c r="AA665" s="316" t="str">
        <f t="shared" ca="1" si="314"/>
        <v/>
      </c>
      <c r="AC665" s="310" t="e">
        <f t="shared" ca="1" si="315"/>
        <v>#N/A</v>
      </c>
      <c r="AD665" s="323" t="e">
        <f t="shared" ca="1" si="316"/>
        <v>#N/A</v>
      </c>
      <c r="AE665" s="324" t="e">
        <f t="shared" ca="1" si="295"/>
        <v>#N/A</v>
      </c>
      <c r="AG665" s="306">
        <f t="shared" ca="1" si="317"/>
        <v>1.9349489101663684</v>
      </c>
      <c r="AH665" s="304">
        <f t="shared" ca="1" si="318"/>
        <v>-7.8345797263706318</v>
      </c>
    </row>
    <row r="666" spans="1:34" x14ac:dyDescent="0.2">
      <c r="A666" s="347">
        <f t="shared" ca="1" si="296"/>
        <v>1E-4</v>
      </c>
      <c r="B666" s="304">
        <f t="shared" ca="1" si="297"/>
        <v>34.513700000000675</v>
      </c>
      <c r="D666" s="306">
        <f t="shared" ca="1" si="298"/>
        <v>-0.71091900470425728</v>
      </c>
      <c r="E666" s="307">
        <f t="shared" ca="1" si="299"/>
        <v>-2.0077070428026573</v>
      </c>
      <c r="F666" s="304">
        <f t="shared" ca="1" si="300"/>
        <v>2.1298576011013233</v>
      </c>
      <c r="G666" s="306">
        <f t="shared" ca="1" si="301"/>
        <v>10.927088751481856</v>
      </c>
      <c r="H666" s="307">
        <f t="shared" ca="1" si="302"/>
        <v>-119.92511728585418</v>
      </c>
      <c r="I666" s="304">
        <f t="shared" ca="1" si="303"/>
        <v>120.4219042558647</v>
      </c>
      <c r="J666" s="306">
        <f t="shared" ca="1" si="304"/>
        <v>770.52896740167785</v>
      </c>
      <c r="K666" s="307">
        <f t="shared" ca="1" si="305"/>
        <v>-10.70573842457947</v>
      </c>
      <c r="L666" s="304">
        <f t="shared" ca="1" si="290"/>
        <v>770.60333663974711</v>
      </c>
      <c r="M666" s="306">
        <f t="shared" ca="1" si="306"/>
        <v>-1.479931298414189</v>
      </c>
      <c r="N666" s="304">
        <f t="shared" ca="1" si="307"/>
        <v>-84.793817368449012</v>
      </c>
      <c r="P666" s="310">
        <f t="shared" ca="1" si="308"/>
        <v>23</v>
      </c>
      <c r="Q666" s="304">
        <f t="shared" ca="1" si="309"/>
        <v>0</v>
      </c>
      <c r="R666" s="306">
        <f t="shared" ca="1" si="310"/>
        <v>0</v>
      </c>
      <c r="S666" s="307">
        <f t="shared" ca="1" si="311"/>
        <v>7.4499999999999984</v>
      </c>
      <c r="T666" s="304">
        <f t="shared" ca="1" si="291"/>
        <v>73.084499999999991</v>
      </c>
      <c r="U666" s="311">
        <f t="shared" ca="1" si="292"/>
        <v>0</v>
      </c>
      <c r="V666" s="306">
        <f t="shared" ca="1" si="293"/>
        <v>1.2263121553366012</v>
      </c>
      <c r="W666" s="304">
        <f t="shared" ca="1" si="294"/>
        <v>58.368134098041338</v>
      </c>
      <c r="Y666" s="314" t="str">
        <f t="shared" ca="1" si="312"/>
        <v/>
      </c>
      <c r="Z666" s="315" t="str">
        <f t="shared" ca="1" si="313"/>
        <v/>
      </c>
      <c r="AA666" s="316" t="str">
        <f t="shared" ca="1" si="314"/>
        <v/>
      </c>
      <c r="AC666" s="310" t="e">
        <f t="shared" ca="1" si="315"/>
        <v>#N/A</v>
      </c>
      <c r="AD666" s="323" t="e">
        <f t="shared" ca="1" si="316"/>
        <v>#N/A</v>
      </c>
      <c r="AE666" s="324" t="e">
        <f t="shared" ca="1" si="295"/>
        <v>#N/A</v>
      </c>
      <c r="AG666" s="306">
        <f t="shared" ca="1" si="317"/>
        <v>1.9349149951114919</v>
      </c>
      <c r="AH666" s="304">
        <f t="shared" ca="1" si="318"/>
        <v>-7.8346142994522046</v>
      </c>
    </row>
    <row r="667" spans="1:34" x14ac:dyDescent="0.2">
      <c r="A667" s="347">
        <f t="shared" ca="1" si="296"/>
        <v>1E-4</v>
      </c>
      <c r="B667" s="304">
        <f t="shared" ca="1" si="297"/>
        <v>34.513800000000678</v>
      </c>
      <c r="D667" s="306">
        <f t="shared" ca="1" si="298"/>
        <v>-0.71091637432962607</v>
      </c>
      <c r="E667" s="307">
        <f t="shared" ca="1" si="299"/>
        <v>-2.0076720871464868</v>
      </c>
      <c r="F667" s="304">
        <f t="shared" ca="1" si="300"/>
        <v>2.1298237722396451</v>
      </c>
      <c r="G667" s="306">
        <f t="shared" ca="1" si="301"/>
        <v>10.927017659844422</v>
      </c>
      <c r="H667" s="307">
        <f t="shared" ca="1" si="302"/>
        <v>-119.9253180530629</v>
      </c>
      <c r="I667" s="304">
        <f t="shared" ca="1" si="303"/>
        <v>120.42209774400563</v>
      </c>
      <c r="J667" s="306">
        <f t="shared" ca="1" si="304"/>
        <v>770.52896740167785</v>
      </c>
      <c r="K667" s="307">
        <f t="shared" ca="1" si="305"/>
        <v>-10.717730946346416</v>
      </c>
      <c r="L667" s="304">
        <f t="shared" ca="1" si="290"/>
        <v>770.60350334120221</v>
      </c>
      <c r="M667" s="306">
        <f t="shared" ca="1" si="306"/>
        <v>-1.4799320376139182</v>
      </c>
      <c r="N667" s="304">
        <f t="shared" ca="1" si="307"/>
        <v>-84.793859721473709</v>
      </c>
      <c r="P667" s="310">
        <f t="shared" ca="1" si="308"/>
        <v>23</v>
      </c>
      <c r="Q667" s="304">
        <f t="shared" ca="1" si="309"/>
        <v>0</v>
      </c>
      <c r="R667" s="306">
        <f t="shared" ca="1" si="310"/>
        <v>0</v>
      </c>
      <c r="S667" s="307">
        <f t="shared" ca="1" si="311"/>
        <v>7.4499999999999984</v>
      </c>
      <c r="T667" s="304">
        <f t="shared" ca="1" si="291"/>
        <v>73.084499999999991</v>
      </c>
      <c r="U667" s="311">
        <f t="shared" ca="1" si="292"/>
        <v>0</v>
      </c>
      <c r="V667" s="306">
        <f t="shared" ca="1" si="293"/>
        <v>1.2263136259954268</v>
      </c>
      <c r="W667" s="304">
        <f t="shared" ca="1" si="294"/>
        <v>58.36839166282855</v>
      </c>
      <c r="Y667" s="314" t="str">
        <f t="shared" ca="1" si="312"/>
        <v/>
      </c>
      <c r="Z667" s="315" t="str">
        <f t="shared" ca="1" si="313"/>
        <v/>
      </c>
      <c r="AA667" s="316" t="str">
        <f t="shared" ca="1" si="314"/>
        <v/>
      </c>
      <c r="AC667" s="310" t="e">
        <f t="shared" ca="1" si="315"/>
        <v>#N/A</v>
      </c>
      <c r="AD667" s="323" t="e">
        <f t="shared" ca="1" si="316"/>
        <v>#N/A</v>
      </c>
      <c r="AE667" s="324" t="e">
        <f t="shared" ca="1" si="295"/>
        <v>#N/A</v>
      </c>
      <c r="AG667" s="306">
        <f t="shared" ca="1" si="317"/>
        <v>1.9348810803583447</v>
      </c>
      <c r="AH667" s="304">
        <f t="shared" ca="1" si="318"/>
        <v>-7.8346488722203151</v>
      </c>
    </row>
    <row r="668" spans="1:34" x14ac:dyDescent="0.2">
      <c r="A668" s="347">
        <f t="shared" ca="1" si="296"/>
        <v>1E-4</v>
      </c>
      <c r="B668" s="304">
        <f t="shared" ca="1" si="297"/>
        <v>34.513900000000682</v>
      </c>
      <c r="D668" s="306">
        <f t="shared" ca="1" si="298"/>
        <v>-0.71091374393131801</v>
      </c>
      <c r="E668" s="307">
        <f t="shared" ca="1" si="299"/>
        <v>-2.0076371318072068</v>
      </c>
      <c r="F668" s="304">
        <f t="shared" ca="1" si="300"/>
        <v>2.1297899437084191</v>
      </c>
      <c r="G668" s="306">
        <f t="shared" ca="1" si="301"/>
        <v>10.926946568470029</v>
      </c>
      <c r="H668" s="307">
        <f t="shared" ca="1" si="302"/>
        <v>-119.92551881677608</v>
      </c>
      <c r="I668" s="304">
        <f t="shared" ca="1" si="303"/>
        <v>120.42229122875511</v>
      </c>
      <c r="J668" s="306">
        <f t="shared" ca="1" si="304"/>
        <v>770.52896740167785</v>
      </c>
      <c r="K668" s="307">
        <f t="shared" ca="1" si="305"/>
        <v>-10.729723488189908</v>
      </c>
      <c r="L668" s="304">
        <f t="shared" ca="1" si="290"/>
        <v>770.60367022953437</v>
      </c>
      <c r="M668" s="306">
        <f t="shared" ca="1" si="306"/>
        <v>-1.4799327768064627</v>
      </c>
      <c r="N668" s="304">
        <f t="shared" ca="1" si="307"/>
        <v>-84.793902074086759</v>
      </c>
      <c r="P668" s="310">
        <f t="shared" ca="1" si="308"/>
        <v>23</v>
      </c>
      <c r="Q668" s="304">
        <f t="shared" ca="1" si="309"/>
        <v>0</v>
      </c>
      <c r="R668" s="306">
        <f t="shared" ca="1" si="310"/>
        <v>0</v>
      </c>
      <c r="S668" s="307">
        <f t="shared" ca="1" si="311"/>
        <v>7.4499999999999984</v>
      </c>
      <c r="T668" s="304">
        <f t="shared" ca="1" si="291"/>
        <v>73.084499999999991</v>
      </c>
      <c r="U668" s="311">
        <f t="shared" ca="1" si="292"/>
        <v>0</v>
      </c>
      <c r="V668" s="306">
        <f t="shared" ca="1" si="293"/>
        <v>1.2263150966584788</v>
      </c>
      <c r="W668" s="304">
        <f t="shared" ca="1" si="294"/>
        <v>58.368649225280521</v>
      </c>
      <c r="Y668" s="314" t="str">
        <f t="shared" ca="1" si="312"/>
        <v/>
      </c>
      <c r="Z668" s="315" t="str">
        <f t="shared" ca="1" si="313"/>
        <v/>
      </c>
      <c r="AA668" s="316" t="str">
        <f t="shared" ca="1" si="314"/>
        <v/>
      </c>
      <c r="AC668" s="310" t="e">
        <f t="shared" ca="1" si="315"/>
        <v>#N/A</v>
      </c>
      <c r="AD668" s="323" t="e">
        <f t="shared" ca="1" si="316"/>
        <v>#N/A</v>
      </c>
      <c r="AE668" s="324" t="e">
        <f t="shared" ca="1" si="295"/>
        <v>#N/A</v>
      </c>
      <c r="AG668" s="306">
        <f t="shared" ca="1" si="317"/>
        <v>1.9348471659069117</v>
      </c>
      <c r="AH668" s="304">
        <f t="shared" ca="1" si="318"/>
        <v>-7.8346834446749751</v>
      </c>
    </row>
    <row r="669" spans="1:34" x14ac:dyDescent="0.2">
      <c r="A669" s="347">
        <f t="shared" ca="1" si="296"/>
        <v>1E-4</v>
      </c>
      <c r="B669" s="304">
        <f t="shared" ca="1" si="297"/>
        <v>34.514000000000685</v>
      </c>
      <c r="D669" s="306">
        <f t="shared" ca="1" si="298"/>
        <v>-0.71091111350933578</v>
      </c>
      <c r="E669" s="307">
        <f t="shared" ca="1" si="299"/>
        <v>-2.0076021767848218</v>
      </c>
      <c r="F669" s="304">
        <f t="shared" ca="1" si="300"/>
        <v>2.129756115507651</v>
      </c>
      <c r="G669" s="306">
        <f t="shared" ca="1" si="301"/>
        <v>10.926875477358678</v>
      </c>
      <c r="H669" s="307">
        <f t="shared" ca="1" si="302"/>
        <v>-119.92571957699376</v>
      </c>
      <c r="I669" s="304">
        <f t="shared" ca="1" si="303"/>
        <v>120.4224847101132</v>
      </c>
      <c r="J669" s="306">
        <f t="shared" ca="1" si="304"/>
        <v>770.52896740167785</v>
      </c>
      <c r="K669" s="307">
        <f t="shared" ca="1" si="305"/>
        <v>-10.741716050109597</v>
      </c>
      <c r="L669" s="304">
        <f t="shared" ca="1" si="290"/>
        <v>770.6038373047445</v>
      </c>
      <c r="M669" s="306">
        <f t="shared" ca="1" si="306"/>
        <v>-1.4799335159918228</v>
      </c>
      <c r="N669" s="304">
        <f t="shared" ca="1" si="307"/>
        <v>-84.793944426288164</v>
      </c>
      <c r="P669" s="310">
        <f t="shared" ca="1" si="308"/>
        <v>23</v>
      </c>
      <c r="Q669" s="304">
        <f t="shared" ca="1" si="309"/>
        <v>0</v>
      </c>
      <c r="R669" s="306">
        <f t="shared" ca="1" si="310"/>
        <v>0</v>
      </c>
      <c r="S669" s="307">
        <f t="shared" ca="1" si="311"/>
        <v>7.4499999999999984</v>
      </c>
      <c r="T669" s="304">
        <f t="shared" ca="1" si="291"/>
        <v>73.084499999999991</v>
      </c>
      <c r="U669" s="311">
        <f t="shared" ca="1" si="292"/>
        <v>0</v>
      </c>
      <c r="V669" s="306">
        <f t="shared" ca="1" si="293"/>
        <v>1.2263165673257572</v>
      </c>
      <c r="W669" s="304">
        <f t="shared" ca="1" si="294"/>
        <v>58.36890678539725</v>
      </c>
      <c r="Y669" s="314" t="str">
        <f t="shared" ca="1" si="312"/>
        <v/>
      </c>
      <c r="Z669" s="315" t="str">
        <f t="shared" ca="1" si="313"/>
        <v/>
      </c>
      <c r="AA669" s="316" t="str">
        <f t="shared" ca="1" si="314"/>
        <v/>
      </c>
      <c r="AC669" s="310" t="e">
        <f t="shared" ca="1" si="315"/>
        <v>#N/A</v>
      </c>
      <c r="AD669" s="323" t="e">
        <f t="shared" ca="1" si="316"/>
        <v>#N/A</v>
      </c>
      <c r="AE669" s="324" t="e">
        <f t="shared" ca="1" si="295"/>
        <v>#N/A</v>
      </c>
      <c r="AG669" s="306">
        <f t="shared" ca="1" si="317"/>
        <v>1.9348132517572036</v>
      </c>
      <c r="AH669" s="304">
        <f t="shared" ca="1" si="318"/>
        <v>-7.8347180168161792</v>
      </c>
    </row>
    <row r="670" spans="1:34" x14ac:dyDescent="0.2">
      <c r="A670" s="347">
        <f t="shared" ca="1" si="296"/>
        <v>1E-4</v>
      </c>
      <c r="B670" s="304">
        <f t="shared" ca="1" si="297"/>
        <v>34.514100000000688</v>
      </c>
      <c r="D670" s="306">
        <f t="shared" ca="1" si="298"/>
        <v>-0.71090848306367926</v>
      </c>
      <c r="E670" s="307">
        <f t="shared" ca="1" si="299"/>
        <v>-2.0075672220793326</v>
      </c>
      <c r="F670" s="304">
        <f t="shared" ca="1" si="300"/>
        <v>2.1297222876373412</v>
      </c>
      <c r="G670" s="306">
        <f t="shared" ca="1" si="301"/>
        <v>10.926804386510371</v>
      </c>
      <c r="H670" s="307">
        <f t="shared" ca="1" si="302"/>
        <v>-119.92592033371596</v>
      </c>
      <c r="I670" s="304">
        <f t="shared" ca="1" si="303"/>
        <v>120.42267818807989</v>
      </c>
      <c r="J670" s="306">
        <f t="shared" ca="1" si="304"/>
        <v>770.52896740167785</v>
      </c>
      <c r="K670" s="307">
        <f t="shared" ca="1" si="305"/>
        <v>-10.753708632105132</v>
      </c>
      <c r="L670" s="304">
        <f t="shared" ca="1" si="290"/>
        <v>770.6040045668334</v>
      </c>
      <c r="M670" s="306">
        <f t="shared" ca="1" si="306"/>
        <v>-1.4799342551699983</v>
      </c>
      <c r="N670" s="304">
        <f t="shared" ca="1" si="307"/>
        <v>-84.793986778077937</v>
      </c>
      <c r="P670" s="310">
        <f t="shared" ca="1" si="308"/>
        <v>23</v>
      </c>
      <c r="Q670" s="304">
        <f t="shared" ca="1" si="309"/>
        <v>0</v>
      </c>
      <c r="R670" s="306">
        <f t="shared" ca="1" si="310"/>
        <v>0</v>
      </c>
      <c r="S670" s="307">
        <f t="shared" ca="1" si="311"/>
        <v>7.4499999999999984</v>
      </c>
      <c r="T670" s="304">
        <f t="shared" ca="1" si="291"/>
        <v>73.084499999999991</v>
      </c>
      <c r="U670" s="311">
        <f t="shared" ca="1" si="292"/>
        <v>0</v>
      </c>
      <c r="V670" s="306">
        <f t="shared" ca="1" si="293"/>
        <v>1.2263180379972625</v>
      </c>
      <c r="W670" s="304">
        <f t="shared" ca="1" si="294"/>
        <v>58.369164343178738</v>
      </c>
      <c r="Y670" s="314" t="str">
        <f t="shared" ca="1" si="312"/>
        <v/>
      </c>
      <c r="Z670" s="315" t="str">
        <f t="shared" ca="1" si="313"/>
        <v/>
      </c>
      <c r="AA670" s="316" t="str">
        <f t="shared" ca="1" si="314"/>
        <v/>
      </c>
      <c r="AC670" s="310" t="e">
        <f t="shared" ca="1" si="315"/>
        <v>#N/A</v>
      </c>
      <c r="AD670" s="323" t="e">
        <f t="shared" ca="1" si="316"/>
        <v>#N/A</v>
      </c>
      <c r="AE670" s="324" t="e">
        <f t="shared" ca="1" si="295"/>
        <v>#N/A</v>
      </c>
      <c r="AG670" s="306">
        <f t="shared" ca="1" si="317"/>
        <v>1.9347793379092177</v>
      </c>
      <c r="AH670" s="304">
        <f t="shared" ca="1" si="318"/>
        <v>-7.8347525886439282</v>
      </c>
    </row>
    <row r="671" spans="1:34" x14ac:dyDescent="0.2">
      <c r="A671" s="347">
        <f t="shared" ca="1" si="296"/>
        <v>1E-4</v>
      </c>
      <c r="B671" s="304">
        <f t="shared" ca="1" si="297"/>
        <v>34.514200000000692</v>
      </c>
      <c r="D671" s="306">
        <f t="shared" ca="1" si="298"/>
        <v>-0.71090585259434957</v>
      </c>
      <c r="E671" s="307">
        <f t="shared" ca="1" si="299"/>
        <v>-2.0075322676907392</v>
      </c>
      <c r="F671" s="304">
        <f t="shared" ca="1" si="300"/>
        <v>2.1296884600974906</v>
      </c>
      <c r="G671" s="306">
        <f t="shared" ca="1" si="301"/>
        <v>10.926733295925112</v>
      </c>
      <c r="H671" s="307">
        <f t="shared" ca="1" si="302"/>
        <v>-119.92612108694273</v>
      </c>
      <c r="I671" s="304">
        <f t="shared" ca="1" si="303"/>
        <v>120.42287166265521</v>
      </c>
      <c r="J671" s="306">
        <f t="shared" ca="1" si="304"/>
        <v>770.52896740167785</v>
      </c>
      <c r="K671" s="307">
        <f t="shared" ca="1" si="305"/>
        <v>-10.765701234176165</v>
      </c>
      <c r="L671" s="304">
        <f t="shared" ca="1" si="290"/>
        <v>770.60417201580185</v>
      </c>
      <c r="M671" s="306">
        <f t="shared" ca="1" si="306"/>
        <v>-1.4799349943409894</v>
      </c>
      <c r="N671" s="304">
        <f t="shared" ca="1" si="307"/>
        <v>-84.794029129456064</v>
      </c>
      <c r="P671" s="310">
        <f t="shared" ca="1" si="308"/>
        <v>23</v>
      </c>
      <c r="Q671" s="304">
        <f t="shared" ca="1" si="309"/>
        <v>0</v>
      </c>
      <c r="R671" s="306">
        <f t="shared" ca="1" si="310"/>
        <v>0</v>
      </c>
      <c r="S671" s="307">
        <f t="shared" ca="1" si="311"/>
        <v>7.4499999999999984</v>
      </c>
      <c r="T671" s="304">
        <f t="shared" ca="1" si="291"/>
        <v>73.084499999999991</v>
      </c>
      <c r="U671" s="311">
        <f t="shared" ca="1" si="292"/>
        <v>0</v>
      </c>
      <c r="V671" s="306">
        <f t="shared" ca="1" si="293"/>
        <v>1.2263195086729941</v>
      </c>
      <c r="W671" s="304">
        <f t="shared" ca="1" si="294"/>
        <v>58.369421898625006</v>
      </c>
      <c r="Y671" s="314" t="str">
        <f t="shared" ca="1" si="312"/>
        <v/>
      </c>
      <c r="Z671" s="315" t="str">
        <f t="shared" ca="1" si="313"/>
        <v/>
      </c>
      <c r="AA671" s="316" t="str">
        <f t="shared" ca="1" si="314"/>
        <v/>
      </c>
      <c r="AC671" s="310" t="e">
        <f t="shared" ca="1" si="315"/>
        <v>#N/A</v>
      </c>
      <c r="AD671" s="323" t="e">
        <f t="shared" ca="1" si="316"/>
        <v>#N/A</v>
      </c>
      <c r="AE671" s="324" t="e">
        <f t="shared" ca="1" si="295"/>
        <v>#N/A</v>
      </c>
      <c r="AG671" s="306">
        <f t="shared" ca="1" si="317"/>
        <v>1.9347454243629532</v>
      </c>
      <c r="AH671" s="304">
        <f t="shared" ca="1" si="318"/>
        <v>-7.8347871601582213</v>
      </c>
    </row>
    <row r="672" spans="1:34" x14ac:dyDescent="0.2">
      <c r="A672" s="347">
        <f t="shared" ca="1" si="296"/>
        <v>1E-4</v>
      </c>
      <c r="B672" s="304">
        <f t="shared" ca="1" si="297"/>
        <v>34.514300000000695</v>
      </c>
      <c r="D672" s="306">
        <f t="shared" ca="1" si="298"/>
        <v>-0.71090322210134882</v>
      </c>
      <c r="E672" s="307">
        <f t="shared" ca="1" si="299"/>
        <v>-2.0074973136190373</v>
      </c>
      <c r="F672" s="304">
        <f t="shared" ca="1" si="300"/>
        <v>2.1296546328880961</v>
      </c>
      <c r="G672" s="306">
        <f t="shared" ca="1" si="301"/>
        <v>10.926662205602902</v>
      </c>
      <c r="H672" s="307">
        <f t="shared" ca="1" si="302"/>
        <v>-119.92632183667409</v>
      </c>
      <c r="I672" s="304">
        <f t="shared" ca="1" si="303"/>
        <v>120.42306513383923</v>
      </c>
      <c r="J672" s="306">
        <f t="shared" ca="1" si="304"/>
        <v>770.52896740167785</v>
      </c>
      <c r="K672" s="307">
        <f t="shared" ca="1" si="305"/>
        <v>-10.777693856322346</v>
      </c>
      <c r="L672" s="304">
        <f t="shared" ca="1" si="290"/>
        <v>770.60433965165066</v>
      </c>
      <c r="M672" s="306">
        <f t="shared" ca="1" si="306"/>
        <v>-1.4799357335047965</v>
      </c>
      <c r="N672" s="304">
        <f t="shared" ca="1" si="307"/>
        <v>-84.794071480422573</v>
      </c>
      <c r="P672" s="310">
        <f t="shared" ca="1" si="308"/>
        <v>23</v>
      </c>
      <c r="Q672" s="304">
        <f t="shared" ca="1" si="309"/>
        <v>0</v>
      </c>
      <c r="R672" s="306">
        <f t="shared" ca="1" si="310"/>
        <v>0</v>
      </c>
      <c r="S672" s="307">
        <f t="shared" ca="1" si="311"/>
        <v>7.4499999999999984</v>
      </c>
      <c r="T672" s="304">
        <f t="shared" ca="1" si="291"/>
        <v>73.084499999999991</v>
      </c>
      <c r="U672" s="311">
        <f t="shared" ca="1" si="292"/>
        <v>0</v>
      </c>
      <c r="V672" s="306">
        <f t="shared" ca="1" si="293"/>
        <v>1.2263209793529524</v>
      </c>
      <c r="W672" s="304">
        <f t="shared" ca="1" si="294"/>
        <v>58.369679451736054</v>
      </c>
      <c r="Y672" s="314" t="str">
        <f t="shared" ca="1" si="312"/>
        <v/>
      </c>
      <c r="Z672" s="315" t="str">
        <f t="shared" ca="1" si="313"/>
        <v/>
      </c>
      <c r="AA672" s="316" t="str">
        <f t="shared" ca="1" si="314"/>
        <v/>
      </c>
      <c r="AC672" s="310" t="e">
        <f t="shared" ca="1" si="315"/>
        <v>#N/A</v>
      </c>
      <c r="AD672" s="323" t="e">
        <f t="shared" ca="1" si="316"/>
        <v>#N/A</v>
      </c>
      <c r="AE672" s="324" t="e">
        <f t="shared" ca="1" si="295"/>
        <v>#N/A</v>
      </c>
      <c r="AG672" s="306">
        <f t="shared" ca="1" si="317"/>
        <v>1.9347115111184072</v>
      </c>
      <c r="AH672" s="304">
        <f t="shared" ca="1" si="318"/>
        <v>-7.8348217313590629</v>
      </c>
    </row>
    <row r="673" spans="1:34" x14ac:dyDescent="0.2">
      <c r="A673" s="347">
        <f t="shared" ca="1" si="296"/>
        <v>1E-4</v>
      </c>
      <c r="B673" s="304">
        <f t="shared" ca="1" si="297"/>
        <v>34.514400000000698</v>
      </c>
      <c r="D673" s="306">
        <f t="shared" ca="1" si="298"/>
        <v>-0.71090059158467467</v>
      </c>
      <c r="E673" s="307">
        <f t="shared" ca="1" si="299"/>
        <v>-2.0074623598642276</v>
      </c>
      <c r="F673" s="304">
        <f t="shared" ca="1" si="300"/>
        <v>2.1296208060091577</v>
      </c>
      <c r="G673" s="306">
        <f t="shared" ca="1" si="301"/>
        <v>10.926591115543744</v>
      </c>
      <c r="H673" s="307">
        <f t="shared" ca="1" si="302"/>
        <v>-119.92652258291008</v>
      </c>
      <c r="I673" s="304">
        <f t="shared" ca="1" si="303"/>
        <v>120.42325860163194</v>
      </c>
      <c r="J673" s="306">
        <f t="shared" ca="1" si="304"/>
        <v>770.52896740167785</v>
      </c>
      <c r="K673" s="307">
        <f t="shared" ca="1" si="305"/>
        <v>-10.789686498543325</v>
      </c>
      <c r="L673" s="304">
        <f t="shared" ca="1" si="290"/>
        <v>770.60450747438063</v>
      </c>
      <c r="M673" s="306">
        <f t="shared" ca="1" si="306"/>
        <v>-1.4799364726614195</v>
      </c>
      <c r="N673" s="304">
        <f t="shared" ca="1" si="307"/>
        <v>-84.79411383097748</v>
      </c>
      <c r="P673" s="310">
        <f t="shared" ca="1" si="308"/>
        <v>23</v>
      </c>
      <c r="Q673" s="304">
        <f t="shared" ca="1" si="309"/>
        <v>0</v>
      </c>
      <c r="R673" s="306">
        <f t="shared" ca="1" si="310"/>
        <v>0</v>
      </c>
      <c r="S673" s="307">
        <f t="shared" ca="1" si="311"/>
        <v>7.4499999999999984</v>
      </c>
      <c r="T673" s="304">
        <f t="shared" ca="1" si="291"/>
        <v>73.084499999999991</v>
      </c>
      <c r="U673" s="311">
        <f t="shared" ca="1" si="292"/>
        <v>0</v>
      </c>
      <c r="V673" s="306">
        <f t="shared" ca="1" si="293"/>
        <v>1.2263224500371372</v>
      </c>
      <c r="W673" s="304">
        <f t="shared" ca="1" si="294"/>
        <v>58.369937002511897</v>
      </c>
      <c r="Y673" s="314" t="str">
        <f t="shared" ca="1" si="312"/>
        <v/>
      </c>
      <c r="Z673" s="315" t="str">
        <f t="shared" ca="1" si="313"/>
        <v/>
      </c>
      <c r="AA673" s="316" t="str">
        <f t="shared" ca="1" si="314"/>
        <v/>
      </c>
      <c r="AC673" s="310" t="e">
        <f t="shared" ca="1" si="315"/>
        <v>#N/A</v>
      </c>
      <c r="AD673" s="323" t="e">
        <f t="shared" ca="1" si="316"/>
        <v>#N/A</v>
      </c>
      <c r="AE673" s="324" t="e">
        <f t="shared" ca="1" si="295"/>
        <v>#N/A</v>
      </c>
      <c r="AG673" s="306">
        <f t="shared" ca="1" si="317"/>
        <v>1.9346775981755826</v>
      </c>
      <c r="AH673" s="304">
        <f t="shared" ca="1" si="318"/>
        <v>-7.8348563022464521</v>
      </c>
    </row>
    <row r="674" spans="1:34" x14ac:dyDescent="0.2">
      <c r="A674" s="347">
        <f t="shared" ca="1" si="296"/>
        <v>1E-4</v>
      </c>
      <c r="B674" s="304">
        <f t="shared" ca="1" si="297"/>
        <v>34.514500000000702</v>
      </c>
      <c r="D674" s="306">
        <f t="shared" ca="1" si="298"/>
        <v>-0.71089796104432901</v>
      </c>
      <c r="E674" s="307">
        <f t="shared" ca="1" si="299"/>
        <v>-2.0074274064263093</v>
      </c>
      <c r="F674" s="304">
        <f t="shared" ca="1" si="300"/>
        <v>2.1295869794606754</v>
      </c>
      <c r="G674" s="306">
        <f t="shared" ca="1" si="301"/>
        <v>10.926520025747639</v>
      </c>
      <c r="H674" s="307">
        <f t="shared" ca="1" si="302"/>
        <v>-119.92672332565073</v>
      </c>
      <c r="I674" s="304">
        <f t="shared" ca="1" si="303"/>
        <v>120.42345206603339</v>
      </c>
      <c r="J674" s="306">
        <f t="shared" ca="1" si="304"/>
        <v>770.52896740167785</v>
      </c>
      <c r="K674" s="307">
        <f t="shared" ca="1" si="305"/>
        <v>-10.801679160838754</v>
      </c>
      <c r="L674" s="304">
        <f t="shared" ca="1" si="290"/>
        <v>770.60467548399265</v>
      </c>
      <c r="M674" s="306">
        <f t="shared" ca="1" si="306"/>
        <v>-1.4799372118108585</v>
      </c>
      <c r="N674" s="304">
        <f t="shared" ca="1" si="307"/>
        <v>-84.794156181120755</v>
      </c>
      <c r="P674" s="310">
        <f t="shared" ca="1" si="308"/>
        <v>23</v>
      </c>
      <c r="Q674" s="304">
        <f t="shared" ca="1" si="309"/>
        <v>0</v>
      </c>
      <c r="R674" s="306">
        <f t="shared" ca="1" si="310"/>
        <v>0</v>
      </c>
      <c r="S674" s="307">
        <f t="shared" ca="1" si="311"/>
        <v>7.4499999999999984</v>
      </c>
      <c r="T674" s="304">
        <f t="shared" ca="1" si="291"/>
        <v>73.084499999999991</v>
      </c>
      <c r="U674" s="311">
        <f t="shared" ca="1" si="292"/>
        <v>0</v>
      </c>
      <c r="V674" s="306">
        <f t="shared" ca="1" si="293"/>
        <v>1.2263239207255483</v>
      </c>
      <c r="W674" s="304">
        <f t="shared" ca="1" si="294"/>
        <v>58.370194550952483</v>
      </c>
      <c r="Y674" s="314" t="str">
        <f t="shared" ca="1" si="312"/>
        <v/>
      </c>
      <c r="Z674" s="315" t="str">
        <f t="shared" ca="1" si="313"/>
        <v/>
      </c>
      <c r="AA674" s="316" t="str">
        <f t="shared" ca="1" si="314"/>
        <v/>
      </c>
      <c r="AC674" s="310" t="e">
        <f t="shared" ca="1" si="315"/>
        <v>#N/A</v>
      </c>
      <c r="AD674" s="323" t="e">
        <f t="shared" ca="1" si="316"/>
        <v>#N/A</v>
      </c>
      <c r="AE674" s="324" t="e">
        <f t="shared" ca="1" si="295"/>
        <v>#N/A</v>
      </c>
      <c r="AG674" s="306">
        <f t="shared" ca="1" si="317"/>
        <v>1.934643685534474</v>
      </c>
      <c r="AH674" s="304">
        <f t="shared" ca="1" si="318"/>
        <v>-7.8348908728203908</v>
      </c>
    </row>
    <row r="675" spans="1:34" x14ac:dyDescent="0.2">
      <c r="A675" s="347">
        <f t="shared" ca="1" si="296"/>
        <v>1E-4</v>
      </c>
      <c r="B675" s="304">
        <f t="shared" ca="1" si="297"/>
        <v>34.514600000000705</v>
      </c>
      <c r="D675" s="306">
        <f t="shared" ca="1" si="298"/>
        <v>-0.71089533048031228</v>
      </c>
      <c r="E675" s="307">
        <f t="shared" ca="1" si="299"/>
        <v>-2.0073924533052878</v>
      </c>
      <c r="F675" s="304">
        <f t="shared" ca="1" si="300"/>
        <v>2.129553153242655</v>
      </c>
      <c r="G675" s="306">
        <f t="shared" ca="1" si="301"/>
        <v>10.926448936214591</v>
      </c>
      <c r="H675" s="307">
        <f t="shared" ca="1" si="302"/>
        <v>-119.92692406489606</v>
      </c>
      <c r="I675" s="304">
        <f t="shared" ca="1" si="303"/>
        <v>120.4236455270436</v>
      </c>
      <c r="J675" s="306">
        <f t="shared" ca="1" si="304"/>
        <v>770.52896740167785</v>
      </c>
      <c r="K675" s="307">
        <f t="shared" ca="1" si="305"/>
        <v>-10.813671843208281</v>
      </c>
      <c r="L675" s="304">
        <f t="shared" ca="1" si="290"/>
        <v>770.60484368048753</v>
      </c>
      <c r="M675" s="306">
        <f t="shared" ca="1" si="306"/>
        <v>-1.4799379509531136</v>
      </c>
      <c r="N675" s="304">
        <f t="shared" ca="1" si="307"/>
        <v>-84.794198530852441</v>
      </c>
      <c r="P675" s="310">
        <f t="shared" ca="1" si="308"/>
        <v>23</v>
      </c>
      <c r="Q675" s="304">
        <f t="shared" ca="1" si="309"/>
        <v>0</v>
      </c>
      <c r="R675" s="306">
        <f t="shared" ca="1" si="310"/>
        <v>0</v>
      </c>
      <c r="S675" s="307">
        <f t="shared" ca="1" si="311"/>
        <v>7.4499999999999984</v>
      </c>
      <c r="T675" s="304">
        <f t="shared" ca="1" si="291"/>
        <v>73.084499999999991</v>
      </c>
      <c r="U675" s="311">
        <f t="shared" ca="1" si="292"/>
        <v>0</v>
      </c>
      <c r="V675" s="306">
        <f t="shared" ca="1" si="293"/>
        <v>1.2263253914181858</v>
      </c>
      <c r="W675" s="304">
        <f t="shared" ca="1" si="294"/>
        <v>58.37045209705785</v>
      </c>
      <c r="Y675" s="314" t="str">
        <f t="shared" ca="1" si="312"/>
        <v/>
      </c>
      <c r="Z675" s="315" t="str">
        <f t="shared" ca="1" si="313"/>
        <v/>
      </c>
      <c r="AA675" s="316" t="str">
        <f t="shared" ca="1" si="314"/>
        <v/>
      </c>
      <c r="AC675" s="310" t="e">
        <f t="shared" ca="1" si="315"/>
        <v>#N/A</v>
      </c>
      <c r="AD675" s="323" t="e">
        <f t="shared" ca="1" si="316"/>
        <v>#N/A</v>
      </c>
      <c r="AE675" s="324" t="e">
        <f t="shared" ca="1" si="295"/>
        <v>#N/A</v>
      </c>
      <c r="AG675" s="306">
        <f t="shared" ca="1" si="317"/>
        <v>1.9346097731950938</v>
      </c>
      <c r="AH675" s="304">
        <f t="shared" ca="1" si="318"/>
        <v>-7.8349254430808717</v>
      </c>
    </row>
    <row r="676" spans="1:34" x14ac:dyDescent="0.2">
      <c r="A676" s="347">
        <f t="shared" ca="1" si="296"/>
        <v>1E-4</v>
      </c>
      <c r="B676" s="304">
        <f t="shared" ca="1" si="297"/>
        <v>34.514700000000708</v>
      </c>
      <c r="D676" s="306">
        <f t="shared" ca="1" si="298"/>
        <v>-0.71089269989262505</v>
      </c>
      <c r="E676" s="307">
        <f t="shared" ca="1" si="299"/>
        <v>-2.0073575005011586</v>
      </c>
      <c r="F676" s="304">
        <f t="shared" ca="1" si="300"/>
        <v>2.1295193273550925</v>
      </c>
      <c r="G676" s="306">
        <f t="shared" ca="1" si="301"/>
        <v>10.926377846944602</v>
      </c>
      <c r="H676" s="307">
        <f t="shared" ca="1" si="302"/>
        <v>-119.92712480064611</v>
      </c>
      <c r="I676" s="304">
        <f t="shared" ca="1" si="303"/>
        <v>120.42383898466262</v>
      </c>
      <c r="J676" s="306">
        <f t="shared" ca="1" si="304"/>
        <v>770.52896740167785</v>
      </c>
      <c r="K676" s="307">
        <f t="shared" ca="1" si="305"/>
        <v>-10.825664545651559</v>
      </c>
      <c r="L676" s="304">
        <f t="shared" ca="1" si="290"/>
        <v>770.60501206386596</v>
      </c>
      <c r="M676" s="306">
        <f t="shared" ca="1" si="306"/>
        <v>-1.4799386900881848</v>
      </c>
      <c r="N676" s="304">
        <f t="shared" ca="1" si="307"/>
        <v>-84.794240880172509</v>
      </c>
      <c r="P676" s="310">
        <f t="shared" ca="1" si="308"/>
        <v>23</v>
      </c>
      <c r="Q676" s="304">
        <f t="shared" ca="1" si="309"/>
        <v>0</v>
      </c>
      <c r="R676" s="306">
        <f t="shared" ca="1" si="310"/>
        <v>0</v>
      </c>
      <c r="S676" s="307">
        <f t="shared" ca="1" si="311"/>
        <v>7.4499999999999984</v>
      </c>
      <c r="T676" s="304">
        <f t="shared" ca="1" si="291"/>
        <v>73.084499999999991</v>
      </c>
      <c r="U676" s="311">
        <f t="shared" ca="1" si="292"/>
        <v>0</v>
      </c>
      <c r="V676" s="306">
        <f t="shared" ca="1" si="293"/>
        <v>1.2263268621150505</v>
      </c>
      <c r="W676" s="304">
        <f t="shared" ca="1" si="294"/>
        <v>58.370709640828068</v>
      </c>
      <c r="Y676" s="314" t="str">
        <f t="shared" ca="1" si="312"/>
        <v/>
      </c>
      <c r="Z676" s="315" t="str">
        <f t="shared" ca="1" si="313"/>
        <v/>
      </c>
      <c r="AA676" s="316" t="str">
        <f t="shared" ca="1" si="314"/>
        <v/>
      </c>
      <c r="AC676" s="310" t="e">
        <f t="shared" ca="1" si="315"/>
        <v>#N/A</v>
      </c>
      <c r="AD676" s="323" t="e">
        <f t="shared" ca="1" si="316"/>
        <v>#N/A</v>
      </c>
      <c r="AE676" s="324" t="e">
        <f t="shared" ca="1" si="295"/>
        <v>#N/A</v>
      </c>
      <c r="AG676" s="306">
        <f t="shared" ca="1" si="317"/>
        <v>1.9345758611574286</v>
      </c>
      <c r="AH676" s="304">
        <f t="shared" ca="1" si="318"/>
        <v>-7.8349600130279011</v>
      </c>
    </row>
    <row r="677" spans="1:34" x14ac:dyDescent="0.2">
      <c r="A677" s="347">
        <f t="shared" ca="1" si="296"/>
        <v>1E-4</v>
      </c>
      <c r="B677" s="304">
        <f t="shared" ca="1" si="297"/>
        <v>34.514800000000712</v>
      </c>
      <c r="D677" s="306">
        <f t="shared" ca="1" si="298"/>
        <v>-0.71089006928127119</v>
      </c>
      <c r="E677" s="307">
        <f t="shared" ca="1" si="299"/>
        <v>-2.0073225480139119</v>
      </c>
      <c r="F677" s="304">
        <f t="shared" ca="1" si="300"/>
        <v>2.1294855017979799</v>
      </c>
      <c r="G677" s="306">
        <f t="shared" ca="1" si="301"/>
        <v>10.926306757937674</v>
      </c>
      <c r="H677" s="307">
        <f t="shared" ca="1" si="302"/>
        <v>-119.92732553290091</v>
      </c>
      <c r="I677" s="304">
        <f t="shared" ca="1" si="303"/>
        <v>120.42403243889045</v>
      </c>
      <c r="J677" s="306">
        <f t="shared" ca="1" si="304"/>
        <v>770.52896740167785</v>
      </c>
      <c r="K677" s="307">
        <f t="shared" ca="1" si="305"/>
        <v>-10.837657268168236</v>
      </c>
      <c r="L677" s="304">
        <f t="shared" ca="1" si="290"/>
        <v>770.60518063412871</v>
      </c>
      <c r="M677" s="306">
        <f t="shared" ca="1" si="306"/>
        <v>-1.4799394292160724</v>
      </c>
      <c r="N677" s="304">
        <f t="shared" ca="1" si="307"/>
        <v>-84.794283229080989</v>
      </c>
      <c r="P677" s="310">
        <f t="shared" ca="1" si="308"/>
        <v>23</v>
      </c>
      <c r="Q677" s="304">
        <f t="shared" ca="1" si="309"/>
        <v>0</v>
      </c>
      <c r="R677" s="306">
        <f t="shared" ca="1" si="310"/>
        <v>0</v>
      </c>
      <c r="S677" s="307">
        <f t="shared" ca="1" si="311"/>
        <v>7.4499999999999984</v>
      </c>
      <c r="T677" s="304">
        <f t="shared" ca="1" si="291"/>
        <v>73.084499999999991</v>
      </c>
      <c r="U677" s="311">
        <f t="shared" ca="1" si="292"/>
        <v>0</v>
      </c>
      <c r="V677" s="306">
        <f t="shared" ca="1" si="293"/>
        <v>1.226328332816141</v>
      </c>
      <c r="W677" s="304">
        <f t="shared" ca="1" si="294"/>
        <v>58.37096718226303</v>
      </c>
      <c r="Y677" s="314" t="str">
        <f t="shared" ca="1" si="312"/>
        <v/>
      </c>
      <c r="Z677" s="315" t="str">
        <f t="shared" ca="1" si="313"/>
        <v/>
      </c>
      <c r="AA677" s="316" t="str">
        <f t="shared" ca="1" si="314"/>
        <v/>
      </c>
      <c r="AC677" s="310" t="e">
        <f t="shared" ca="1" si="315"/>
        <v>#N/A</v>
      </c>
      <c r="AD677" s="323" t="e">
        <f t="shared" ca="1" si="316"/>
        <v>#N/A</v>
      </c>
      <c r="AE677" s="324" t="e">
        <f t="shared" ca="1" si="295"/>
        <v>#N/A</v>
      </c>
      <c r="AG677" s="306">
        <f t="shared" ca="1" si="317"/>
        <v>1.9345419494214795</v>
      </c>
      <c r="AH677" s="304">
        <f t="shared" ca="1" si="318"/>
        <v>-7.8349945826614871</v>
      </c>
    </row>
    <row r="678" spans="1:34" x14ac:dyDescent="0.2">
      <c r="A678" s="347">
        <f t="shared" ca="1" si="296"/>
        <v>1E-4</v>
      </c>
      <c r="B678" s="304">
        <f t="shared" ca="1" si="297"/>
        <v>34.514900000000715</v>
      </c>
      <c r="D678" s="306">
        <f t="shared" ca="1" si="298"/>
        <v>-0.71088743864624737</v>
      </c>
      <c r="E678" s="307">
        <f t="shared" ca="1" si="299"/>
        <v>-2.0072875958435628</v>
      </c>
      <c r="F678" s="304">
        <f t="shared" ca="1" si="300"/>
        <v>2.1294516765713309</v>
      </c>
      <c r="G678" s="306">
        <f t="shared" ca="1" si="301"/>
        <v>10.92623566919381</v>
      </c>
      <c r="H678" s="307">
        <f t="shared" ca="1" si="302"/>
        <v>-119.92752626166049</v>
      </c>
      <c r="I678" s="304">
        <f t="shared" ca="1" si="303"/>
        <v>120.42422588972714</v>
      </c>
      <c r="J678" s="306">
        <f t="shared" ca="1" si="304"/>
        <v>770.52896740167785</v>
      </c>
      <c r="K678" s="307">
        <f t="shared" ca="1" si="305"/>
        <v>-10.849650010757964</v>
      </c>
      <c r="L678" s="304">
        <f t="shared" ca="1" si="290"/>
        <v>770.60534939127683</v>
      </c>
      <c r="M678" s="306">
        <f t="shared" ca="1" si="306"/>
        <v>-1.4799401683367763</v>
      </c>
      <c r="N678" s="304">
        <f t="shared" ca="1" si="307"/>
        <v>-84.794325577577879</v>
      </c>
      <c r="P678" s="310">
        <f t="shared" ca="1" si="308"/>
        <v>23</v>
      </c>
      <c r="Q678" s="304">
        <f t="shared" ca="1" si="309"/>
        <v>0</v>
      </c>
      <c r="R678" s="306">
        <f t="shared" ca="1" si="310"/>
        <v>0</v>
      </c>
      <c r="S678" s="307">
        <f t="shared" ca="1" si="311"/>
        <v>7.4499999999999984</v>
      </c>
      <c r="T678" s="304">
        <f t="shared" ca="1" si="291"/>
        <v>73.084499999999991</v>
      </c>
      <c r="U678" s="311">
        <f t="shared" ca="1" si="292"/>
        <v>0</v>
      </c>
      <c r="V678" s="306">
        <f t="shared" ca="1" si="293"/>
        <v>1.2263298035214576</v>
      </c>
      <c r="W678" s="304">
        <f t="shared" ca="1" si="294"/>
        <v>58.371224721362779</v>
      </c>
      <c r="Y678" s="314" t="str">
        <f t="shared" ca="1" si="312"/>
        <v/>
      </c>
      <c r="Z678" s="315" t="str">
        <f t="shared" ca="1" si="313"/>
        <v/>
      </c>
      <c r="AA678" s="316" t="str">
        <f t="shared" ca="1" si="314"/>
        <v/>
      </c>
      <c r="AC678" s="310" t="e">
        <f t="shared" ca="1" si="315"/>
        <v>#N/A</v>
      </c>
      <c r="AD678" s="323" t="e">
        <f t="shared" ca="1" si="316"/>
        <v>#N/A</v>
      </c>
      <c r="AE678" s="324" t="e">
        <f t="shared" ca="1" si="295"/>
        <v>#N/A</v>
      </c>
      <c r="AG678" s="306">
        <f t="shared" ca="1" si="317"/>
        <v>1.9345080379872543</v>
      </c>
      <c r="AH678" s="304">
        <f t="shared" ca="1" si="318"/>
        <v>-7.8350291519816162</v>
      </c>
    </row>
    <row r="679" spans="1:34" x14ac:dyDescent="0.2">
      <c r="A679" s="347">
        <f t="shared" ca="1" si="296"/>
        <v>1E-4</v>
      </c>
      <c r="B679" s="304">
        <f t="shared" ca="1" si="297"/>
        <v>34.515000000000718</v>
      </c>
      <c r="D679" s="306">
        <f t="shared" ca="1" si="298"/>
        <v>-0.7108848079875556</v>
      </c>
      <c r="E679" s="307">
        <f t="shared" ca="1" si="299"/>
        <v>-2.0072526439901042</v>
      </c>
      <c r="F679" s="304">
        <f t="shared" ca="1" si="300"/>
        <v>2.1294178516751399</v>
      </c>
      <c r="G679" s="306">
        <f t="shared" ca="1" si="301"/>
        <v>10.926164580713012</v>
      </c>
      <c r="H679" s="307">
        <f t="shared" ca="1" si="302"/>
        <v>-119.92772698692488</v>
      </c>
      <c r="I679" s="304">
        <f t="shared" ca="1" si="303"/>
        <v>120.42441933717272</v>
      </c>
      <c r="J679" s="306">
        <f t="shared" ca="1" si="304"/>
        <v>770.52896740167785</v>
      </c>
      <c r="K679" s="307">
        <f t="shared" ca="1" si="305"/>
        <v>-10.861642773420392</v>
      </c>
      <c r="L679" s="304">
        <f t="shared" ca="1" si="290"/>
        <v>770.60551833531099</v>
      </c>
      <c r="M679" s="306">
        <f t="shared" ca="1" si="306"/>
        <v>-1.4799409074502967</v>
      </c>
      <c r="N679" s="304">
        <f t="shared" ca="1" si="307"/>
        <v>-84.794367925663167</v>
      </c>
      <c r="P679" s="310">
        <f t="shared" ca="1" si="308"/>
        <v>23</v>
      </c>
      <c r="Q679" s="304">
        <f t="shared" ca="1" si="309"/>
        <v>0</v>
      </c>
      <c r="R679" s="306">
        <f t="shared" ca="1" si="310"/>
        <v>0</v>
      </c>
      <c r="S679" s="307">
        <f t="shared" ca="1" si="311"/>
        <v>7.4499999999999984</v>
      </c>
      <c r="T679" s="304">
        <f t="shared" ca="1" si="291"/>
        <v>73.084499999999991</v>
      </c>
      <c r="U679" s="311">
        <f t="shared" ca="1" si="292"/>
        <v>0</v>
      </c>
      <c r="V679" s="306">
        <f t="shared" ca="1" si="293"/>
        <v>1.2263312742310006</v>
      </c>
      <c r="W679" s="304">
        <f t="shared" ca="1" si="294"/>
        <v>58.371482258127322</v>
      </c>
      <c r="Y679" s="314" t="str">
        <f t="shared" ca="1" si="312"/>
        <v/>
      </c>
      <c r="Z679" s="315" t="str">
        <f t="shared" ca="1" si="313"/>
        <v/>
      </c>
      <c r="AA679" s="316" t="str">
        <f t="shared" ca="1" si="314"/>
        <v/>
      </c>
      <c r="AC679" s="310" t="e">
        <f t="shared" ca="1" si="315"/>
        <v>#N/A</v>
      </c>
      <c r="AD679" s="323" t="e">
        <f t="shared" ca="1" si="316"/>
        <v>#N/A</v>
      </c>
      <c r="AE679" s="324" t="e">
        <f t="shared" ca="1" si="295"/>
        <v>#N/A</v>
      </c>
      <c r="AG679" s="306">
        <f t="shared" ca="1" si="317"/>
        <v>1.9344741268547496</v>
      </c>
      <c r="AH679" s="304">
        <f t="shared" ca="1" si="318"/>
        <v>-7.8350637209882938</v>
      </c>
    </row>
    <row r="680" spans="1:34" x14ac:dyDescent="0.2">
      <c r="A680" s="347">
        <f t="shared" ca="1" si="296"/>
        <v>1E-4</v>
      </c>
      <c r="B680" s="304">
        <f t="shared" ca="1" si="297"/>
        <v>34.515100000000722</v>
      </c>
      <c r="D680" s="306">
        <f t="shared" ca="1" si="298"/>
        <v>-0.7108821773051972</v>
      </c>
      <c r="E680" s="307">
        <f t="shared" ca="1" si="299"/>
        <v>-2.0072176924535361</v>
      </c>
      <c r="F680" s="304">
        <f t="shared" ca="1" si="300"/>
        <v>2.1293840271094071</v>
      </c>
      <c r="G680" s="306">
        <f t="shared" ca="1" si="301"/>
        <v>10.926093492495282</v>
      </c>
      <c r="H680" s="307">
        <f t="shared" ca="1" si="302"/>
        <v>-119.92792770869413</v>
      </c>
      <c r="I680" s="304">
        <f t="shared" ca="1" si="303"/>
        <v>120.42461278122721</v>
      </c>
      <c r="J680" s="306">
        <f t="shared" ca="1" si="304"/>
        <v>770.52896740167785</v>
      </c>
      <c r="K680" s="307">
        <f t="shared" ca="1" si="305"/>
        <v>-10.873635556155174</v>
      </c>
      <c r="L680" s="304">
        <f t="shared" ca="1" si="290"/>
        <v>770.60568746623198</v>
      </c>
      <c r="M680" s="306">
        <f t="shared" ca="1" si="306"/>
        <v>-1.479941646556634</v>
      </c>
      <c r="N680" s="304">
        <f t="shared" ca="1" si="307"/>
        <v>-84.794410273336908</v>
      </c>
      <c r="P680" s="310">
        <f t="shared" ca="1" si="308"/>
        <v>23</v>
      </c>
      <c r="Q680" s="304">
        <f t="shared" ca="1" si="309"/>
        <v>0</v>
      </c>
      <c r="R680" s="306">
        <f t="shared" ca="1" si="310"/>
        <v>0</v>
      </c>
      <c r="S680" s="307">
        <f t="shared" ca="1" si="311"/>
        <v>7.4499999999999984</v>
      </c>
      <c r="T680" s="304">
        <f t="shared" ca="1" si="291"/>
        <v>73.084499999999991</v>
      </c>
      <c r="U680" s="311">
        <f t="shared" ca="1" si="292"/>
        <v>0</v>
      </c>
      <c r="V680" s="306">
        <f t="shared" ca="1" si="293"/>
        <v>1.2263327449447701</v>
      </c>
      <c r="W680" s="304">
        <f t="shared" ca="1" si="294"/>
        <v>58.371739792556681</v>
      </c>
      <c r="Y680" s="314" t="str">
        <f t="shared" ca="1" si="312"/>
        <v/>
      </c>
      <c r="Z680" s="315" t="str">
        <f t="shared" ca="1" si="313"/>
        <v/>
      </c>
      <c r="AA680" s="316" t="str">
        <f t="shared" ca="1" si="314"/>
        <v/>
      </c>
      <c r="AC680" s="310" t="e">
        <f t="shared" ca="1" si="315"/>
        <v>#N/A</v>
      </c>
      <c r="AD680" s="323" t="e">
        <f t="shared" ca="1" si="316"/>
        <v>#N/A</v>
      </c>
      <c r="AE680" s="324" t="e">
        <f t="shared" ca="1" si="295"/>
        <v>#N/A</v>
      </c>
      <c r="AG680" s="306">
        <f t="shared" ca="1" si="317"/>
        <v>1.9344402160239635</v>
      </c>
      <c r="AH680" s="304">
        <f t="shared" ca="1" si="318"/>
        <v>-7.8350982896815218</v>
      </c>
    </row>
    <row r="681" spans="1:34" x14ac:dyDescent="0.2">
      <c r="A681" s="347">
        <f t="shared" ca="1" si="296"/>
        <v>1E-4</v>
      </c>
      <c r="B681" s="304">
        <f t="shared" ca="1" si="297"/>
        <v>34.515200000000725</v>
      </c>
      <c r="D681" s="306">
        <f t="shared" ca="1" si="298"/>
        <v>-0.71087954659917074</v>
      </c>
      <c r="E681" s="307">
        <f t="shared" ca="1" si="299"/>
        <v>-2.0071827412338559</v>
      </c>
      <c r="F681" s="304">
        <f t="shared" ca="1" si="300"/>
        <v>2.12935020287413</v>
      </c>
      <c r="G681" s="306">
        <f t="shared" ca="1" si="301"/>
        <v>10.926022404540621</v>
      </c>
      <c r="H681" s="307">
        <f t="shared" ca="1" si="302"/>
        <v>-119.92812842696826</v>
      </c>
      <c r="I681" s="304">
        <f t="shared" ca="1" si="303"/>
        <v>120.42480622189065</v>
      </c>
      <c r="J681" s="306">
        <f t="shared" ca="1" si="304"/>
        <v>770.52896740167785</v>
      </c>
      <c r="K681" s="307">
        <f t="shared" ca="1" si="305"/>
        <v>-10.885628358961958</v>
      </c>
      <c r="L681" s="304">
        <f t="shared" ca="1" si="290"/>
        <v>770.60585678404072</v>
      </c>
      <c r="M681" s="306">
        <f t="shared" ca="1" si="306"/>
        <v>-1.4799423856557878</v>
      </c>
      <c r="N681" s="304">
        <f t="shared" ca="1" si="307"/>
        <v>-84.794452620599074</v>
      </c>
      <c r="P681" s="310">
        <f t="shared" ca="1" si="308"/>
        <v>23</v>
      </c>
      <c r="Q681" s="304">
        <f t="shared" ca="1" si="309"/>
        <v>0</v>
      </c>
      <c r="R681" s="306">
        <f t="shared" ca="1" si="310"/>
        <v>0</v>
      </c>
      <c r="S681" s="307">
        <f t="shared" ca="1" si="311"/>
        <v>7.4499999999999984</v>
      </c>
      <c r="T681" s="304">
        <f t="shared" ca="1" si="291"/>
        <v>73.084499999999991</v>
      </c>
      <c r="U681" s="311">
        <f t="shared" ca="1" si="292"/>
        <v>0</v>
      </c>
      <c r="V681" s="306">
        <f t="shared" ca="1" si="293"/>
        <v>1.2263342156627659</v>
      </c>
      <c r="W681" s="304">
        <f t="shared" ca="1" si="294"/>
        <v>58.371997324650835</v>
      </c>
      <c r="Y681" s="314" t="str">
        <f t="shared" ca="1" si="312"/>
        <v/>
      </c>
      <c r="Z681" s="315" t="str">
        <f t="shared" ca="1" si="313"/>
        <v/>
      </c>
      <c r="AA681" s="316" t="str">
        <f t="shared" ca="1" si="314"/>
        <v/>
      </c>
      <c r="AC681" s="310" t="e">
        <f t="shared" ca="1" si="315"/>
        <v>#N/A</v>
      </c>
      <c r="AD681" s="323" t="e">
        <f t="shared" ca="1" si="316"/>
        <v>#N/A</v>
      </c>
      <c r="AE681" s="324" t="e">
        <f t="shared" ca="1" si="295"/>
        <v>#N/A</v>
      </c>
      <c r="AG681" s="306">
        <f t="shared" ca="1" si="317"/>
        <v>1.934406305494897</v>
      </c>
      <c r="AH681" s="304">
        <f t="shared" ca="1" si="318"/>
        <v>-7.8351328580613009</v>
      </c>
    </row>
    <row r="682" spans="1:34" x14ac:dyDescent="0.2">
      <c r="A682" s="347">
        <f t="shared" ca="1" si="296"/>
        <v>1E-4</v>
      </c>
      <c r="B682" s="304">
        <f t="shared" ca="1" si="297"/>
        <v>34.515300000000728</v>
      </c>
      <c r="D682" s="306">
        <f t="shared" ca="1" si="298"/>
        <v>-0.71087691586947888</v>
      </c>
      <c r="E682" s="307">
        <f t="shared" ca="1" si="299"/>
        <v>-2.0071477903310662</v>
      </c>
      <c r="F682" s="304">
        <f t="shared" ca="1" si="300"/>
        <v>2.1293163789693121</v>
      </c>
      <c r="G682" s="306">
        <f t="shared" ca="1" si="301"/>
        <v>10.925951316849034</v>
      </c>
      <c r="H682" s="307">
        <f t="shared" ca="1" si="302"/>
        <v>-119.92832914174728</v>
      </c>
      <c r="I682" s="304">
        <f t="shared" ca="1" si="303"/>
        <v>120.42499965916306</v>
      </c>
      <c r="J682" s="306">
        <f t="shared" ca="1" si="304"/>
        <v>770.52896740167785</v>
      </c>
      <c r="K682" s="307">
        <f t="shared" ca="1" si="305"/>
        <v>-10.897621181840393</v>
      </c>
      <c r="L682" s="304">
        <f t="shared" ca="1" si="290"/>
        <v>770.60602628873778</v>
      </c>
      <c r="M682" s="306">
        <f t="shared" ca="1" si="306"/>
        <v>-1.4799431247477584</v>
      </c>
      <c r="N682" s="304">
        <f t="shared" ca="1" si="307"/>
        <v>-84.794494967449651</v>
      </c>
      <c r="P682" s="310">
        <f t="shared" ca="1" si="308"/>
        <v>23</v>
      </c>
      <c r="Q682" s="304">
        <f t="shared" ca="1" si="309"/>
        <v>0</v>
      </c>
      <c r="R682" s="306">
        <f t="shared" ca="1" si="310"/>
        <v>0</v>
      </c>
      <c r="S682" s="307">
        <f t="shared" ca="1" si="311"/>
        <v>7.4499999999999984</v>
      </c>
      <c r="T682" s="304">
        <f t="shared" ca="1" si="291"/>
        <v>73.084499999999991</v>
      </c>
      <c r="U682" s="311">
        <f t="shared" ca="1" si="292"/>
        <v>0</v>
      </c>
      <c r="V682" s="306">
        <f t="shared" ca="1" si="293"/>
        <v>1.2263356863849877</v>
      </c>
      <c r="W682" s="304">
        <f t="shared" ca="1" si="294"/>
        <v>58.372254854409796</v>
      </c>
      <c r="Y682" s="314" t="str">
        <f t="shared" ca="1" si="312"/>
        <v/>
      </c>
      <c r="Z682" s="315" t="str">
        <f t="shared" ca="1" si="313"/>
        <v/>
      </c>
      <c r="AA682" s="316" t="str">
        <f t="shared" ca="1" si="314"/>
        <v/>
      </c>
      <c r="AC682" s="310" t="e">
        <f t="shared" ca="1" si="315"/>
        <v>#N/A</v>
      </c>
      <c r="AD682" s="323" t="e">
        <f t="shared" ca="1" si="316"/>
        <v>#N/A</v>
      </c>
      <c r="AE682" s="324" t="e">
        <f t="shared" ca="1" si="295"/>
        <v>#N/A</v>
      </c>
      <c r="AG682" s="306">
        <f t="shared" ca="1" si="317"/>
        <v>1.9343723952675473</v>
      </c>
      <c r="AH682" s="304">
        <f t="shared" ca="1" si="318"/>
        <v>-7.8351674261276303</v>
      </c>
    </row>
    <row r="683" spans="1:34" x14ac:dyDescent="0.2">
      <c r="A683" s="347">
        <f t="shared" ca="1" si="296"/>
        <v>1E-4</v>
      </c>
      <c r="B683" s="304">
        <f t="shared" ca="1" si="297"/>
        <v>34.515400000000731</v>
      </c>
      <c r="D683" s="306">
        <f t="shared" ca="1" si="298"/>
        <v>-0.71087428511612327</v>
      </c>
      <c r="E683" s="307">
        <f t="shared" ca="1" si="299"/>
        <v>-2.0071128397451643</v>
      </c>
      <c r="F683" s="304">
        <f t="shared" ca="1" si="300"/>
        <v>2.1292825553949521</v>
      </c>
      <c r="G683" s="306">
        <f t="shared" ca="1" si="301"/>
        <v>10.925880229420523</v>
      </c>
      <c r="H683" s="307">
        <f t="shared" ca="1" si="302"/>
        <v>-119.92852985303126</v>
      </c>
      <c r="I683" s="304">
        <f t="shared" ca="1" si="303"/>
        <v>120.4251930930445</v>
      </c>
      <c r="J683" s="306">
        <f t="shared" ca="1" si="304"/>
        <v>770.52896740167785</v>
      </c>
      <c r="K683" s="307">
        <f t="shared" ca="1" si="305"/>
        <v>-10.909614024790132</v>
      </c>
      <c r="L683" s="304">
        <f t="shared" ca="1" si="290"/>
        <v>770.60619598032417</v>
      </c>
      <c r="M683" s="306">
        <f t="shared" ca="1" si="306"/>
        <v>-1.4799438638325459</v>
      </c>
      <c r="N683" s="304">
        <f t="shared" ca="1" si="307"/>
        <v>-84.794537313888682</v>
      </c>
      <c r="P683" s="310">
        <f t="shared" ca="1" si="308"/>
        <v>23</v>
      </c>
      <c r="Q683" s="304">
        <f t="shared" ca="1" si="309"/>
        <v>0</v>
      </c>
      <c r="R683" s="306">
        <f t="shared" ca="1" si="310"/>
        <v>0</v>
      </c>
      <c r="S683" s="307">
        <f t="shared" ca="1" si="311"/>
        <v>7.4499999999999984</v>
      </c>
      <c r="T683" s="304">
        <f t="shared" ca="1" si="291"/>
        <v>73.084499999999991</v>
      </c>
      <c r="U683" s="311">
        <f t="shared" ca="1" si="292"/>
        <v>0</v>
      </c>
      <c r="V683" s="306">
        <f t="shared" ca="1" si="293"/>
        <v>1.2263371571114356</v>
      </c>
      <c r="W683" s="304">
        <f t="shared" ca="1" si="294"/>
        <v>58.372512381833573</v>
      </c>
      <c r="Y683" s="314" t="str">
        <f t="shared" ca="1" si="312"/>
        <v/>
      </c>
      <c r="Z683" s="315" t="str">
        <f t="shared" ca="1" si="313"/>
        <v/>
      </c>
      <c r="AA683" s="316" t="str">
        <f t="shared" ca="1" si="314"/>
        <v/>
      </c>
      <c r="AC683" s="310" t="e">
        <f t="shared" ca="1" si="315"/>
        <v>#N/A</v>
      </c>
      <c r="AD683" s="323" t="e">
        <f t="shared" ca="1" si="316"/>
        <v>#N/A</v>
      </c>
      <c r="AE683" s="324" t="e">
        <f t="shared" ca="1" si="295"/>
        <v>#N/A</v>
      </c>
      <c r="AG683" s="306">
        <f t="shared" ca="1" si="317"/>
        <v>1.934338485341919</v>
      </c>
      <c r="AH683" s="304">
        <f t="shared" ca="1" si="318"/>
        <v>-7.8352019938805109</v>
      </c>
    </row>
    <row r="684" spans="1:34" x14ac:dyDescent="0.2">
      <c r="A684" s="347">
        <f t="shared" ca="1" si="296"/>
        <v>1E-4</v>
      </c>
      <c r="B684" s="304">
        <f t="shared" ca="1" si="297"/>
        <v>34.515500000000735</v>
      </c>
      <c r="D684" s="306">
        <f t="shared" ca="1" si="298"/>
        <v>-0.71087165433910215</v>
      </c>
      <c r="E684" s="307">
        <f t="shared" ca="1" si="299"/>
        <v>-2.0070778894761512</v>
      </c>
      <c r="F684" s="304">
        <f t="shared" ca="1" si="300"/>
        <v>2.12924873215105</v>
      </c>
      <c r="G684" s="306">
        <f t="shared" ca="1" si="301"/>
        <v>10.925809142255089</v>
      </c>
      <c r="H684" s="307">
        <f t="shared" ca="1" si="302"/>
        <v>-119.92873056082021</v>
      </c>
      <c r="I684" s="304">
        <f t="shared" ca="1" si="303"/>
        <v>120.42538652353497</v>
      </c>
      <c r="J684" s="306">
        <f t="shared" ca="1" si="304"/>
        <v>770.52896740167785</v>
      </c>
      <c r="K684" s="307">
        <f t="shared" ca="1" si="305"/>
        <v>-10.921606887810825</v>
      </c>
      <c r="L684" s="304">
        <f t="shared" ca="1" si="290"/>
        <v>770.6063658588007</v>
      </c>
      <c r="M684" s="306">
        <f t="shared" ca="1" si="306"/>
        <v>-1.4799446029101504</v>
      </c>
      <c r="N684" s="304">
        <f t="shared" ca="1" si="307"/>
        <v>-84.794579659916153</v>
      </c>
      <c r="P684" s="310">
        <f t="shared" ca="1" si="308"/>
        <v>23</v>
      </c>
      <c r="Q684" s="304">
        <f t="shared" ca="1" si="309"/>
        <v>0</v>
      </c>
      <c r="R684" s="306">
        <f t="shared" ca="1" si="310"/>
        <v>0</v>
      </c>
      <c r="S684" s="307">
        <f t="shared" ca="1" si="311"/>
        <v>7.4499999999999984</v>
      </c>
      <c r="T684" s="304">
        <f t="shared" ca="1" si="291"/>
        <v>73.084499999999991</v>
      </c>
      <c r="U684" s="311">
        <f t="shared" ca="1" si="292"/>
        <v>0</v>
      </c>
      <c r="V684" s="306">
        <f t="shared" ca="1" si="293"/>
        <v>1.2263386278421102</v>
      </c>
      <c r="W684" s="304">
        <f t="shared" ca="1" si="294"/>
        <v>58.37276990692218</v>
      </c>
      <c r="Y684" s="314" t="str">
        <f t="shared" ca="1" si="312"/>
        <v/>
      </c>
      <c r="Z684" s="315" t="str">
        <f t="shared" ca="1" si="313"/>
        <v/>
      </c>
      <c r="AA684" s="316" t="str">
        <f t="shared" ca="1" si="314"/>
        <v/>
      </c>
      <c r="AC684" s="310" t="e">
        <f t="shared" ca="1" si="315"/>
        <v>#N/A</v>
      </c>
      <c r="AD684" s="323" t="e">
        <f t="shared" ca="1" si="316"/>
        <v>#N/A</v>
      </c>
      <c r="AE684" s="324" t="e">
        <f t="shared" ca="1" si="295"/>
        <v>#N/A</v>
      </c>
      <c r="AG684" s="306">
        <f t="shared" ca="1" si="317"/>
        <v>1.9343045757180066</v>
      </c>
      <c r="AH684" s="304">
        <f t="shared" ca="1" si="318"/>
        <v>-7.8352365613199444</v>
      </c>
    </row>
    <row r="685" spans="1:34" x14ac:dyDescent="0.2">
      <c r="A685" s="347">
        <f t="shared" ca="1" si="296"/>
        <v>1E-4</v>
      </c>
      <c r="B685" s="304">
        <f t="shared" ca="1" si="297"/>
        <v>34.515600000000738</v>
      </c>
      <c r="D685" s="306">
        <f t="shared" ca="1" si="298"/>
        <v>-0.71086902353841874</v>
      </c>
      <c r="E685" s="307">
        <f t="shared" ca="1" si="299"/>
        <v>-2.0070429395240224</v>
      </c>
      <c r="F685" s="304">
        <f t="shared" ca="1" si="300"/>
        <v>2.1292149092376027</v>
      </c>
      <c r="G685" s="306">
        <f t="shared" ca="1" si="301"/>
        <v>10.925738055352735</v>
      </c>
      <c r="H685" s="307">
        <f t="shared" ca="1" si="302"/>
        <v>-119.92893126511416</v>
      </c>
      <c r="I685" s="304">
        <f t="shared" ca="1" si="303"/>
        <v>120.42557995063449</v>
      </c>
      <c r="J685" s="306">
        <f t="shared" ca="1" si="304"/>
        <v>770.52896740167785</v>
      </c>
      <c r="K685" s="307">
        <f t="shared" ca="1" si="305"/>
        <v>-10.933599770902122</v>
      </c>
      <c r="L685" s="304">
        <f t="shared" ca="1" si="290"/>
        <v>770.60653592416816</v>
      </c>
      <c r="M685" s="306">
        <f t="shared" ca="1" si="306"/>
        <v>-1.4799453419805721</v>
      </c>
      <c r="N685" s="304">
        <f t="shared" ca="1" si="307"/>
        <v>-84.794622005532077</v>
      </c>
      <c r="P685" s="310">
        <f t="shared" ca="1" si="308"/>
        <v>23</v>
      </c>
      <c r="Q685" s="304">
        <f t="shared" ca="1" si="309"/>
        <v>0</v>
      </c>
      <c r="R685" s="306">
        <f t="shared" ca="1" si="310"/>
        <v>0</v>
      </c>
      <c r="S685" s="307">
        <f t="shared" ca="1" si="311"/>
        <v>7.4499999999999984</v>
      </c>
      <c r="T685" s="304">
        <f t="shared" ca="1" si="291"/>
        <v>73.084499999999991</v>
      </c>
      <c r="U685" s="311">
        <f t="shared" ca="1" si="292"/>
        <v>0</v>
      </c>
      <c r="V685" s="306">
        <f t="shared" ca="1" si="293"/>
        <v>1.2263400985770103</v>
      </c>
      <c r="W685" s="304">
        <f t="shared" ca="1" si="294"/>
        <v>58.373027429675552</v>
      </c>
      <c r="Y685" s="314" t="str">
        <f t="shared" ca="1" si="312"/>
        <v/>
      </c>
      <c r="Z685" s="315" t="str">
        <f t="shared" ca="1" si="313"/>
        <v/>
      </c>
      <c r="AA685" s="316" t="str">
        <f t="shared" ca="1" si="314"/>
        <v/>
      </c>
      <c r="AC685" s="310" t="e">
        <f t="shared" ca="1" si="315"/>
        <v>#N/A</v>
      </c>
      <c r="AD685" s="323" t="e">
        <f t="shared" ca="1" si="316"/>
        <v>#N/A</v>
      </c>
      <c r="AE685" s="324" t="e">
        <f t="shared" ca="1" si="295"/>
        <v>#N/A</v>
      </c>
      <c r="AG685" s="306">
        <f t="shared" ca="1" si="317"/>
        <v>1.9342706663958094</v>
      </c>
      <c r="AH685" s="304">
        <f t="shared" ca="1" si="318"/>
        <v>-7.8352711284459318</v>
      </c>
    </row>
    <row r="686" spans="1:34" x14ac:dyDescent="0.2">
      <c r="A686" s="347">
        <f t="shared" ca="1" si="296"/>
        <v>1E-4</v>
      </c>
      <c r="B686" s="304">
        <f t="shared" ca="1" si="297"/>
        <v>34.515700000000741</v>
      </c>
      <c r="D686" s="306">
        <f t="shared" ca="1" si="298"/>
        <v>-0.71086639271407015</v>
      </c>
      <c r="E686" s="307">
        <f t="shared" ca="1" si="299"/>
        <v>-2.0070079898887885</v>
      </c>
      <c r="F686" s="304">
        <f t="shared" ca="1" si="300"/>
        <v>2.1291810866546204</v>
      </c>
      <c r="G686" s="306">
        <f t="shared" ca="1" si="301"/>
        <v>10.925666968713463</v>
      </c>
      <c r="H686" s="307">
        <f t="shared" ca="1" si="302"/>
        <v>-119.92913196591314</v>
      </c>
      <c r="I686" s="304">
        <f t="shared" ca="1" si="303"/>
        <v>120.42577337434311</v>
      </c>
      <c r="J686" s="306">
        <f t="shared" ca="1" si="304"/>
        <v>770.52896740167785</v>
      </c>
      <c r="K686" s="307">
        <f t="shared" ca="1" si="305"/>
        <v>-10.945592674063674</v>
      </c>
      <c r="L686" s="304">
        <f t="shared" ca="1" si="290"/>
        <v>770.60670617642722</v>
      </c>
      <c r="M686" s="306">
        <f t="shared" ca="1" si="306"/>
        <v>-1.479946081043811</v>
      </c>
      <c r="N686" s="304">
        <f t="shared" ca="1" si="307"/>
        <v>-84.794664350736454</v>
      </c>
      <c r="P686" s="310">
        <f t="shared" ca="1" si="308"/>
        <v>23</v>
      </c>
      <c r="Q686" s="304">
        <f t="shared" ca="1" si="309"/>
        <v>0</v>
      </c>
      <c r="R686" s="306">
        <f t="shared" ca="1" si="310"/>
        <v>0</v>
      </c>
      <c r="S686" s="307">
        <f t="shared" ca="1" si="311"/>
        <v>7.4499999999999984</v>
      </c>
      <c r="T686" s="304">
        <f t="shared" ca="1" si="291"/>
        <v>73.084499999999991</v>
      </c>
      <c r="U686" s="311">
        <f t="shared" ca="1" si="292"/>
        <v>0</v>
      </c>
      <c r="V686" s="306">
        <f t="shared" ca="1" si="293"/>
        <v>1.2263415693161368</v>
      </c>
      <c r="W686" s="304">
        <f t="shared" ca="1" si="294"/>
        <v>58.373284950093776</v>
      </c>
      <c r="Y686" s="314" t="str">
        <f t="shared" ca="1" si="312"/>
        <v/>
      </c>
      <c r="Z686" s="315" t="str">
        <f t="shared" ca="1" si="313"/>
        <v/>
      </c>
      <c r="AA686" s="316" t="str">
        <f t="shared" ca="1" si="314"/>
        <v/>
      </c>
      <c r="AC686" s="310" t="e">
        <f t="shared" ca="1" si="315"/>
        <v>#N/A</v>
      </c>
      <c r="AD686" s="323" t="e">
        <f t="shared" ca="1" si="316"/>
        <v>#N/A</v>
      </c>
      <c r="AE686" s="324" t="e">
        <f t="shared" ca="1" si="295"/>
        <v>#N/A</v>
      </c>
      <c r="AG686" s="306">
        <f t="shared" ca="1" si="317"/>
        <v>1.9342367573753387</v>
      </c>
      <c r="AH686" s="304">
        <f t="shared" ca="1" si="318"/>
        <v>-7.835305695258465</v>
      </c>
    </row>
    <row r="687" spans="1:34" x14ac:dyDescent="0.2">
      <c r="A687" s="347">
        <f t="shared" ca="1" si="296"/>
        <v>1E-4</v>
      </c>
      <c r="B687" s="304">
        <f t="shared" ca="1" si="297"/>
        <v>34.515800000000745</v>
      </c>
      <c r="D687" s="306">
        <f t="shared" ca="1" si="298"/>
        <v>-0.71086376186606082</v>
      </c>
      <c r="E687" s="307">
        <f t="shared" ca="1" si="299"/>
        <v>-2.0069730405704362</v>
      </c>
      <c r="F687" s="304">
        <f t="shared" ca="1" si="300"/>
        <v>2.1291472644020915</v>
      </c>
      <c r="G687" s="306">
        <f t="shared" ca="1" si="301"/>
        <v>10.925595882337277</v>
      </c>
      <c r="H687" s="307">
        <f t="shared" ca="1" si="302"/>
        <v>-119.9293326632172</v>
      </c>
      <c r="I687" s="304">
        <f t="shared" ca="1" si="303"/>
        <v>120.42596679466087</v>
      </c>
      <c r="J687" s="306">
        <f t="shared" ca="1" si="304"/>
        <v>770.52896740167785</v>
      </c>
      <c r="K687" s="307">
        <f t="shared" ca="1" si="305"/>
        <v>-10.957585597295131</v>
      </c>
      <c r="L687" s="304">
        <f t="shared" ca="1" si="290"/>
        <v>770.60687661557893</v>
      </c>
      <c r="M687" s="306">
        <f t="shared" ca="1" si="306"/>
        <v>-1.4799468200998673</v>
      </c>
      <c r="N687" s="304">
        <f t="shared" ca="1" si="307"/>
        <v>-84.794706695529314</v>
      </c>
      <c r="P687" s="310">
        <f t="shared" ca="1" si="308"/>
        <v>23</v>
      </c>
      <c r="Q687" s="304">
        <f t="shared" ca="1" si="309"/>
        <v>0</v>
      </c>
      <c r="R687" s="306">
        <f t="shared" ca="1" si="310"/>
        <v>0</v>
      </c>
      <c r="S687" s="307">
        <f t="shared" ca="1" si="311"/>
        <v>7.4499999999999984</v>
      </c>
      <c r="T687" s="304">
        <f t="shared" ca="1" si="291"/>
        <v>73.084499999999991</v>
      </c>
      <c r="U687" s="311">
        <f t="shared" ca="1" si="292"/>
        <v>0</v>
      </c>
      <c r="V687" s="306">
        <f t="shared" ca="1" si="293"/>
        <v>1.2263430400594892</v>
      </c>
      <c r="W687" s="304">
        <f t="shared" ca="1" si="294"/>
        <v>58.373542468176808</v>
      </c>
      <c r="Y687" s="314" t="str">
        <f t="shared" ca="1" si="312"/>
        <v/>
      </c>
      <c r="Z687" s="315" t="str">
        <f t="shared" ca="1" si="313"/>
        <v/>
      </c>
      <c r="AA687" s="316" t="str">
        <f t="shared" ca="1" si="314"/>
        <v/>
      </c>
      <c r="AC687" s="310" t="e">
        <f t="shared" ca="1" si="315"/>
        <v>#N/A</v>
      </c>
      <c r="AD687" s="323" t="e">
        <f t="shared" ca="1" si="316"/>
        <v>#N/A</v>
      </c>
      <c r="AE687" s="324" t="e">
        <f t="shared" ca="1" si="295"/>
        <v>#N/A</v>
      </c>
      <c r="AG687" s="306">
        <f t="shared" ca="1" si="317"/>
        <v>1.9342028486565814</v>
      </c>
      <c r="AH687" s="304">
        <f t="shared" ca="1" si="318"/>
        <v>-7.8353402617575556</v>
      </c>
    </row>
    <row r="688" spans="1:34" x14ac:dyDescent="0.2">
      <c r="A688" s="347">
        <f t="shared" ca="1" si="296"/>
        <v>1E-4</v>
      </c>
      <c r="B688" s="304">
        <f t="shared" ca="1" si="297"/>
        <v>34.515900000000748</v>
      </c>
      <c r="D688" s="306">
        <f t="shared" ca="1" si="298"/>
        <v>-0.71086113099438808</v>
      </c>
      <c r="E688" s="307">
        <f t="shared" ca="1" si="299"/>
        <v>-2.0069380915689736</v>
      </c>
      <c r="F688" s="304">
        <f t="shared" ca="1" si="300"/>
        <v>2.1291134424800231</v>
      </c>
      <c r="G688" s="306">
        <f t="shared" ca="1" si="301"/>
        <v>10.925524796224177</v>
      </c>
      <c r="H688" s="307">
        <f t="shared" ca="1" si="302"/>
        <v>-119.92953335702636</v>
      </c>
      <c r="I688" s="304">
        <f t="shared" ca="1" si="303"/>
        <v>120.42616021158778</v>
      </c>
      <c r="J688" s="306">
        <f t="shared" ca="1" si="304"/>
        <v>770.52896740167785</v>
      </c>
      <c r="K688" s="307">
        <f t="shared" ca="1" si="305"/>
        <v>-10.969578540596142</v>
      </c>
      <c r="L688" s="304">
        <f t="shared" ca="1" si="290"/>
        <v>770.60704724162383</v>
      </c>
      <c r="M688" s="306">
        <f t="shared" ca="1" si="306"/>
        <v>-1.4799475591487408</v>
      </c>
      <c r="N688" s="304">
        <f t="shared" ca="1" si="307"/>
        <v>-84.794749039910613</v>
      </c>
      <c r="P688" s="310">
        <f t="shared" ca="1" si="308"/>
        <v>23</v>
      </c>
      <c r="Q688" s="304">
        <f t="shared" ca="1" si="309"/>
        <v>0</v>
      </c>
      <c r="R688" s="306">
        <f t="shared" ca="1" si="310"/>
        <v>0</v>
      </c>
      <c r="S688" s="307">
        <f t="shared" ca="1" si="311"/>
        <v>7.4499999999999984</v>
      </c>
      <c r="T688" s="304">
        <f t="shared" ca="1" si="291"/>
        <v>73.084499999999991</v>
      </c>
      <c r="U688" s="311">
        <f t="shared" ca="1" si="292"/>
        <v>0</v>
      </c>
      <c r="V688" s="306">
        <f t="shared" ca="1" si="293"/>
        <v>1.2263445108070679</v>
      </c>
      <c r="W688" s="304">
        <f t="shared" ca="1" si="294"/>
        <v>58.373799983924684</v>
      </c>
      <c r="Y688" s="314" t="str">
        <f t="shared" ca="1" si="312"/>
        <v/>
      </c>
      <c r="Z688" s="315" t="str">
        <f t="shared" ca="1" si="313"/>
        <v/>
      </c>
      <c r="AA688" s="316" t="str">
        <f t="shared" ca="1" si="314"/>
        <v/>
      </c>
      <c r="AC688" s="310" t="e">
        <f t="shared" ca="1" si="315"/>
        <v>#N/A</v>
      </c>
      <c r="AD688" s="323" t="e">
        <f t="shared" ca="1" si="316"/>
        <v>#N/A</v>
      </c>
      <c r="AE688" s="324" t="e">
        <f t="shared" ca="1" si="295"/>
        <v>#N/A</v>
      </c>
      <c r="AG688" s="306">
        <f t="shared" ca="1" si="317"/>
        <v>1.9341689402395454</v>
      </c>
      <c r="AH688" s="304">
        <f t="shared" ca="1" si="318"/>
        <v>-7.8353748279431974</v>
      </c>
    </row>
    <row r="689" spans="1:34" x14ac:dyDescent="0.2">
      <c r="A689" s="347">
        <f t="shared" ca="1" si="296"/>
        <v>1E-4</v>
      </c>
      <c r="B689" s="304">
        <f t="shared" ca="1" si="297"/>
        <v>34.516000000000751</v>
      </c>
      <c r="D689" s="306">
        <f t="shared" ca="1" si="298"/>
        <v>-0.71085850009905727</v>
      </c>
      <c r="E689" s="307">
        <f t="shared" ca="1" si="299"/>
        <v>-2.0069031428843935</v>
      </c>
      <c r="F689" s="304">
        <f t="shared" ca="1" si="300"/>
        <v>2.1290796208884104</v>
      </c>
      <c r="G689" s="306">
        <f t="shared" ca="1" si="301"/>
        <v>10.925453710374168</v>
      </c>
      <c r="H689" s="307">
        <f t="shared" ca="1" si="302"/>
        <v>-119.92973404734065</v>
      </c>
      <c r="I689" s="304">
        <f t="shared" ca="1" si="303"/>
        <v>120.42635362512388</v>
      </c>
      <c r="J689" s="306">
        <f t="shared" ca="1" si="304"/>
        <v>770.52896740167785</v>
      </c>
      <c r="K689" s="307">
        <f t="shared" ca="1" si="305"/>
        <v>-10.981571503966361</v>
      </c>
      <c r="L689" s="304">
        <f t="shared" ca="1" si="290"/>
        <v>770.60721805456296</v>
      </c>
      <c r="M689" s="306">
        <f t="shared" ca="1" si="306"/>
        <v>-1.4799482981904319</v>
      </c>
      <c r="N689" s="304">
        <f t="shared" ca="1" si="307"/>
        <v>-84.794791383880394</v>
      </c>
      <c r="P689" s="310">
        <f t="shared" ca="1" si="308"/>
        <v>23</v>
      </c>
      <c r="Q689" s="304">
        <f t="shared" ca="1" si="309"/>
        <v>0</v>
      </c>
      <c r="R689" s="306">
        <f t="shared" ca="1" si="310"/>
        <v>0</v>
      </c>
      <c r="S689" s="307">
        <f t="shared" ca="1" si="311"/>
        <v>7.4499999999999984</v>
      </c>
      <c r="T689" s="304">
        <f t="shared" ca="1" si="291"/>
        <v>73.084499999999991</v>
      </c>
      <c r="U689" s="311">
        <f t="shared" ca="1" si="292"/>
        <v>0</v>
      </c>
      <c r="V689" s="306">
        <f t="shared" ca="1" si="293"/>
        <v>1.2263459815588724</v>
      </c>
      <c r="W689" s="304">
        <f t="shared" ca="1" si="294"/>
        <v>58.374057497337368</v>
      </c>
      <c r="Y689" s="314" t="str">
        <f t="shared" ca="1" si="312"/>
        <v/>
      </c>
      <c r="Z689" s="315" t="str">
        <f t="shared" ca="1" si="313"/>
        <v/>
      </c>
      <c r="AA689" s="316" t="str">
        <f t="shared" ca="1" si="314"/>
        <v/>
      </c>
      <c r="AC689" s="310" t="e">
        <f t="shared" ca="1" si="315"/>
        <v>#N/A</v>
      </c>
      <c r="AD689" s="323" t="e">
        <f t="shared" ca="1" si="316"/>
        <v>#N/A</v>
      </c>
      <c r="AE689" s="324" t="e">
        <f t="shared" ca="1" si="295"/>
        <v>#N/A</v>
      </c>
      <c r="AG689" s="306">
        <f t="shared" ca="1" si="317"/>
        <v>1.9341350321242219</v>
      </c>
      <c r="AH689" s="304">
        <f t="shared" ca="1" si="318"/>
        <v>-7.8354093938153957</v>
      </c>
    </row>
    <row r="690" spans="1:34" x14ac:dyDescent="0.2">
      <c r="A690" s="347">
        <f t="shared" ca="1" si="296"/>
        <v>1E-4</v>
      </c>
      <c r="B690" s="304">
        <f t="shared" ca="1" si="297"/>
        <v>34.516100000000755</v>
      </c>
      <c r="D690" s="306">
        <f t="shared" ca="1" si="298"/>
        <v>-0.71085586918006416</v>
      </c>
      <c r="E690" s="307">
        <f t="shared" ca="1" si="299"/>
        <v>-2.0068681945167022</v>
      </c>
      <c r="F690" s="304">
        <f t="shared" ca="1" si="300"/>
        <v>2.1290457996272587</v>
      </c>
      <c r="G690" s="306">
        <f t="shared" ca="1" si="301"/>
        <v>10.92538262478725</v>
      </c>
      <c r="H690" s="307">
        <f t="shared" ca="1" si="302"/>
        <v>-119.9299347341601</v>
      </c>
      <c r="I690" s="304">
        <f t="shared" ca="1" si="303"/>
        <v>120.42654703526919</v>
      </c>
      <c r="J690" s="306">
        <f t="shared" ca="1" si="304"/>
        <v>770.52896740167785</v>
      </c>
      <c r="K690" s="307">
        <f t="shared" ca="1" si="305"/>
        <v>-10.993564487405436</v>
      </c>
      <c r="L690" s="304">
        <f t="shared" ca="1" si="290"/>
        <v>770.607389054397</v>
      </c>
      <c r="M690" s="306">
        <f t="shared" ca="1" si="306"/>
        <v>-1.4799490372249409</v>
      </c>
      <c r="N690" s="304">
        <f t="shared" ca="1" si="307"/>
        <v>-84.794833727438672</v>
      </c>
      <c r="P690" s="310">
        <f t="shared" ca="1" si="308"/>
        <v>23</v>
      </c>
      <c r="Q690" s="304">
        <f t="shared" ca="1" si="309"/>
        <v>0</v>
      </c>
      <c r="R690" s="306">
        <f t="shared" ca="1" si="310"/>
        <v>0</v>
      </c>
      <c r="S690" s="307">
        <f t="shared" ca="1" si="311"/>
        <v>7.4499999999999984</v>
      </c>
      <c r="T690" s="304">
        <f t="shared" ca="1" si="291"/>
        <v>73.084499999999991</v>
      </c>
      <c r="U690" s="311">
        <f t="shared" ca="1" si="292"/>
        <v>0</v>
      </c>
      <c r="V690" s="306">
        <f t="shared" ca="1" si="293"/>
        <v>1.2263474523149032</v>
      </c>
      <c r="W690" s="304">
        <f t="shared" ca="1" si="294"/>
        <v>58.374315008414889</v>
      </c>
      <c r="Y690" s="314" t="str">
        <f t="shared" ca="1" si="312"/>
        <v/>
      </c>
      <c r="Z690" s="315" t="str">
        <f t="shared" ca="1" si="313"/>
        <v/>
      </c>
      <c r="AA690" s="316" t="str">
        <f t="shared" ca="1" si="314"/>
        <v/>
      </c>
      <c r="AC690" s="310" t="e">
        <f t="shared" ca="1" si="315"/>
        <v>#N/A</v>
      </c>
      <c r="AD690" s="323" t="e">
        <f t="shared" ca="1" si="316"/>
        <v>#N/A</v>
      </c>
      <c r="AE690" s="324" t="e">
        <f t="shared" ca="1" si="295"/>
        <v>#N/A</v>
      </c>
      <c r="AG690" s="306">
        <f t="shared" ca="1" si="317"/>
        <v>1.9341011243106196</v>
      </c>
      <c r="AH690" s="304">
        <f t="shared" ca="1" si="318"/>
        <v>-7.8354439593741452</v>
      </c>
    </row>
    <row r="691" spans="1:34" x14ac:dyDescent="0.2">
      <c r="A691" s="347">
        <f t="shared" ca="1" si="296"/>
        <v>1E-4</v>
      </c>
      <c r="B691" s="304">
        <f t="shared" ca="1" si="297"/>
        <v>34.516200000000758</v>
      </c>
      <c r="D691" s="306">
        <f t="shared" ca="1" si="298"/>
        <v>-0.71085323823741065</v>
      </c>
      <c r="E691" s="307">
        <f t="shared" ca="1" si="299"/>
        <v>-2.0068332464658951</v>
      </c>
      <c r="F691" s="304">
        <f t="shared" ca="1" si="300"/>
        <v>2.1290119786965636</v>
      </c>
      <c r="G691" s="306">
        <f t="shared" ca="1" si="301"/>
        <v>10.925311539463426</v>
      </c>
      <c r="H691" s="307">
        <f t="shared" ca="1" si="302"/>
        <v>-119.93013541748475</v>
      </c>
      <c r="I691" s="304">
        <f t="shared" ca="1" si="303"/>
        <v>120.42674044202377</v>
      </c>
      <c r="J691" s="306">
        <f t="shared" ca="1" si="304"/>
        <v>770.52896740167785</v>
      </c>
      <c r="K691" s="307">
        <f t="shared" ca="1" si="305"/>
        <v>-11.005557490913018</v>
      </c>
      <c r="L691" s="304">
        <f t="shared" ca="1" si="290"/>
        <v>770.60756024112675</v>
      </c>
      <c r="M691" s="306">
        <f t="shared" ca="1" si="306"/>
        <v>-1.4799497762522673</v>
      </c>
      <c r="N691" s="304">
        <f t="shared" ca="1" si="307"/>
        <v>-84.794876070585431</v>
      </c>
      <c r="P691" s="310">
        <f t="shared" ca="1" si="308"/>
        <v>23</v>
      </c>
      <c r="Q691" s="304">
        <f t="shared" ca="1" si="309"/>
        <v>0</v>
      </c>
      <c r="R691" s="306">
        <f t="shared" ca="1" si="310"/>
        <v>0</v>
      </c>
      <c r="S691" s="307">
        <f t="shared" ca="1" si="311"/>
        <v>7.4499999999999984</v>
      </c>
      <c r="T691" s="304">
        <f t="shared" ca="1" si="291"/>
        <v>73.084499999999991</v>
      </c>
      <c r="U691" s="311">
        <f t="shared" ca="1" si="292"/>
        <v>0</v>
      </c>
      <c r="V691" s="306">
        <f t="shared" ca="1" si="293"/>
        <v>1.2263489230751596</v>
      </c>
      <c r="W691" s="304">
        <f t="shared" ca="1" si="294"/>
        <v>58.374572517157262</v>
      </c>
      <c r="Y691" s="314" t="str">
        <f t="shared" ca="1" si="312"/>
        <v/>
      </c>
      <c r="Z691" s="315" t="str">
        <f t="shared" ca="1" si="313"/>
        <v/>
      </c>
      <c r="AA691" s="316" t="str">
        <f t="shared" ca="1" si="314"/>
        <v/>
      </c>
      <c r="AC691" s="310" t="e">
        <f t="shared" ca="1" si="315"/>
        <v>#N/A</v>
      </c>
      <c r="AD691" s="323" t="e">
        <f t="shared" ca="1" si="316"/>
        <v>#N/A</v>
      </c>
      <c r="AE691" s="324" t="e">
        <f t="shared" ca="1" si="295"/>
        <v>#N/A</v>
      </c>
      <c r="AG691" s="306">
        <f t="shared" ca="1" si="317"/>
        <v>1.9340672167987343</v>
      </c>
      <c r="AH691" s="304">
        <f t="shared" ca="1" si="318"/>
        <v>-7.8354785246194503</v>
      </c>
    </row>
    <row r="692" spans="1:34" x14ac:dyDescent="0.2">
      <c r="A692" s="347">
        <f t="shared" ca="1" si="296"/>
        <v>1E-4</v>
      </c>
      <c r="B692" s="304">
        <f t="shared" ca="1" si="297"/>
        <v>34.516300000000761</v>
      </c>
      <c r="D692" s="306">
        <f t="shared" ca="1" si="298"/>
        <v>-0.71085060727109983</v>
      </c>
      <c r="E692" s="307">
        <f t="shared" ca="1" si="299"/>
        <v>-2.0067982987319715</v>
      </c>
      <c r="F692" s="304">
        <f t="shared" ca="1" si="300"/>
        <v>2.1289781580963263</v>
      </c>
      <c r="G692" s="306">
        <f t="shared" ca="1" si="301"/>
        <v>10.925240454402699</v>
      </c>
      <c r="H692" s="307">
        <f t="shared" ca="1" si="302"/>
        <v>-119.93033609731462</v>
      </c>
      <c r="I692" s="304">
        <f t="shared" ca="1" si="303"/>
        <v>120.42693384538761</v>
      </c>
      <c r="J692" s="306">
        <f t="shared" ca="1" si="304"/>
        <v>770.52896740167785</v>
      </c>
      <c r="K692" s="307">
        <f t="shared" ca="1" si="305"/>
        <v>-11.017550514488759</v>
      </c>
      <c r="L692" s="304">
        <f t="shared" ca="1" si="290"/>
        <v>770.60773161475311</v>
      </c>
      <c r="M692" s="306">
        <f t="shared" ca="1" si="306"/>
        <v>-1.4799505152724117</v>
      </c>
      <c r="N692" s="304">
        <f t="shared" ca="1" si="307"/>
        <v>-84.794918413320673</v>
      </c>
      <c r="P692" s="310">
        <f t="shared" ca="1" si="308"/>
        <v>23</v>
      </c>
      <c r="Q692" s="304">
        <f t="shared" ca="1" si="309"/>
        <v>0</v>
      </c>
      <c r="R692" s="306">
        <f t="shared" ca="1" si="310"/>
        <v>0</v>
      </c>
      <c r="S692" s="307">
        <f t="shared" ca="1" si="311"/>
        <v>7.4499999999999984</v>
      </c>
      <c r="T692" s="304">
        <f t="shared" ca="1" si="291"/>
        <v>73.084499999999991</v>
      </c>
      <c r="U692" s="311">
        <f t="shared" ca="1" si="292"/>
        <v>0</v>
      </c>
      <c r="V692" s="306">
        <f t="shared" ca="1" si="293"/>
        <v>1.2263503938396418</v>
      </c>
      <c r="W692" s="304">
        <f t="shared" ca="1" si="294"/>
        <v>58.374830023564428</v>
      </c>
      <c r="Y692" s="314" t="str">
        <f t="shared" ca="1" si="312"/>
        <v/>
      </c>
      <c r="Z692" s="315" t="str">
        <f t="shared" ca="1" si="313"/>
        <v/>
      </c>
      <c r="AA692" s="316" t="str">
        <f t="shared" ca="1" si="314"/>
        <v/>
      </c>
      <c r="AC692" s="310" t="e">
        <f t="shared" ca="1" si="315"/>
        <v>#N/A</v>
      </c>
      <c r="AD692" s="323" t="e">
        <f t="shared" ca="1" si="316"/>
        <v>#N/A</v>
      </c>
      <c r="AE692" s="324" t="e">
        <f t="shared" ca="1" si="295"/>
        <v>#N/A</v>
      </c>
      <c r="AG692" s="306">
        <f t="shared" ca="1" si="317"/>
        <v>1.9340333095885631</v>
      </c>
      <c r="AH692" s="304">
        <f t="shared" ca="1" si="318"/>
        <v>-7.8355130895513119</v>
      </c>
    </row>
    <row r="693" spans="1:34" x14ac:dyDescent="0.2">
      <c r="A693" s="347">
        <f t="shared" ca="1" si="296"/>
        <v>1E-4</v>
      </c>
      <c r="B693" s="304">
        <f t="shared" ca="1" si="297"/>
        <v>34.516400000000765</v>
      </c>
      <c r="D693" s="306">
        <f t="shared" ca="1" si="298"/>
        <v>-0.71084797628112939</v>
      </c>
      <c r="E693" s="307">
        <f t="shared" ca="1" si="299"/>
        <v>-2.0067633513149383</v>
      </c>
      <c r="F693" s="304">
        <f t="shared" ca="1" si="300"/>
        <v>2.1289443378265527</v>
      </c>
      <c r="G693" s="306">
        <f t="shared" ca="1" si="301"/>
        <v>10.92516936960507</v>
      </c>
      <c r="H693" s="307">
        <f t="shared" ca="1" si="302"/>
        <v>-119.93053677364975</v>
      </c>
      <c r="I693" s="304">
        <f t="shared" ca="1" si="303"/>
        <v>120.42712724536077</v>
      </c>
      <c r="J693" s="306">
        <f t="shared" ca="1" si="304"/>
        <v>770.52896740167785</v>
      </c>
      <c r="K693" s="307">
        <f t="shared" ca="1" si="305"/>
        <v>-11.029543558132307</v>
      </c>
      <c r="L693" s="304">
        <f t="shared" ca="1" si="290"/>
        <v>770.60790317527676</v>
      </c>
      <c r="M693" s="306">
        <f t="shared" ca="1" si="306"/>
        <v>-1.4799512542853741</v>
      </c>
      <c r="N693" s="304">
        <f t="shared" ca="1" si="307"/>
        <v>-84.794960755644425</v>
      </c>
      <c r="P693" s="310">
        <f t="shared" ca="1" si="308"/>
        <v>23</v>
      </c>
      <c r="Q693" s="304">
        <f t="shared" ca="1" si="309"/>
        <v>0</v>
      </c>
      <c r="R693" s="306">
        <f t="shared" ca="1" si="310"/>
        <v>0</v>
      </c>
      <c r="S693" s="307">
        <f t="shared" ca="1" si="311"/>
        <v>7.4499999999999984</v>
      </c>
      <c r="T693" s="304">
        <f t="shared" ca="1" si="291"/>
        <v>73.084499999999991</v>
      </c>
      <c r="U693" s="311">
        <f t="shared" ca="1" si="292"/>
        <v>0</v>
      </c>
      <c r="V693" s="306">
        <f t="shared" ca="1" si="293"/>
        <v>1.2263518646083504</v>
      </c>
      <c r="W693" s="304">
        <f t="shared" ca="1" si="294"/>
        <v>58.375087527636488</v>
      </c>
      <c r="Y693" s="314" t="str">
        <f t="shared" ca="1" si="312"/>
        <v/>
      </c>
      <c r="Z693" s="315" t="str">
        <f t="shared" ca="1" si="313"/>
        <v/>
      </c>
      <c r="AA693" s="316" t="str">
        <f t="shared" ca="1" si="314"/>
        <v/>
      </c>
      <c r="AC693" s="310" t="e">
        <f t="shared" ca="1" si="315"/>
        <v>#N/A</v>
      </c>
      <c r="AD693" s="323" t="e">
        <f t="shared" ca="1" si="316"/>
        <v>#N/A</v>
      </c>
      <c r="AE693" s="324" t="e">
        <f t="shared" ca="1" si="295"/>
        <v>#N/A</v>
      </c>
      <c r="AG693" s="306">
        <f t="shared" ca="1" si="317"/>
        <v>1.9339994026801124</v>
      </c>
      <c r="AH693" s="304">
        <f t="shared" ca="1" si="318"/>
        <v>-7.8355476541697238</v>
      </c>
    </row>
    <row r="694" spans="1:34" x14ac:dyDescent="0.2">
      <c r="A694" s="347">
        <f t="shared" ca="1" si="296"/>
        <v>1E-4</v>
      </c>
      <c r="B694" s="304">
        <f t="shared" ca="1" si="297"/>
        <v>34.516500000000768</v>
      </c>
      <c r="D694" s="306">
        <f t="shared" ca="1" si="298"/>
        <v>-0.71084534526750176</v>
      </c>
      <c r="E694" s="307">
        <f t="shared" ca="1" si="299"/>
        <v>-2.0067284042147806</v>
      </c>
      <c r="F694" s="304">
        <f t="shared" ca="1" si="300"/>
        <v>2.1289105178872303</v>
      </c>
      <c r="G694" s="306">
        <f t="shared" ca="1" si="301"/>
        <v>10.925098285070543</v>
      </c>
      <c r="H694" s="307">
        <f t="shared" ca="1" si="302"/>
        <v>-119.93073744649017</v>
      </c>
      <c r="I694" s="304">
        <f t="shared" ca="1" si="303"/>
        <v>120.42732064194325</v>
      </c>
      <c r="J694" s="306">
        <f t="shared" ca="1" si="304"/>
        <v>770.52896740167785</v>
      </c>
      <c r="K694" s="307">
        <f t="shared" ca="1" si="305"/>
        <v>-11.041536621843314</v>
      </c>
      <c r="L694" s="304">
        <f t="shared" ca="1" si="290"/>
        <v>770.60807492269862</v>
      </c>
      <c r="M694" s="306">
        <f t="shared" ca="1" si="306"/>
        <v>-1.4799519932911542</v>
      </c>
      <c r="N694" s="304">
        <f t="shared" ca="1" si="307"/>
        <v>-84.795003097556659</v>
      </c>
      <c r="P694" s="310">
        <f t="shared" ca="1" si="308"/>
        <v>23</v>
      </c>
      <c r="Q694" s="304">
        <f t="shared" ca="1" si="309"/>
        <v>0</v>
      </c>
      <c r="R694" s="306">
        <f t="shared" ca="1" si="310"/>
        <v>0</v>
      </c>
      <c r="S694" s="307">
        <f t="shared" ca="1" si="311"/>
        <v>7.4499999999999984</v>
      </c>
      <c r="T694" s="304">
        <f t="shared" ca="1" si="291"/>
        <v>73.084499999999991</v>
      </c>
      <c r="U694" s="311">
        <f t="shared" ca="1" si="292"/>
        <v>0</v>
      </c>
      <c r="V694" s="306">
        <f t="shared" ca="1" si="293"/>
        <v>1.2263533353812848</v>
      </c>
      <c r="W694" s="304">
        <f t="shared" ca="1" si="294"/>
        <v>58.375345029373378</v>
      </c>
      <c r="Y694" s="314" t="str">
        <f t="shared" ca="1" si="312"/>
        <v/>
      </c>
      <c r="Z694" s="315" t="str">
        <f t="shared" ca="1" si="313"/>
        <v/>
      </c>
      <c r="AA694" s="316" t="str">
        <f t="shared" ca="1" si="314"/>
        <v/>
      </c>
      <c r="AC694" s="310" t="e">
        <f t="shared" ca="1" si="315"/>
        <v>#N/A</v>
      </c>
      <c r="AD694" s="323" t="e">
        <f t="shared" ca="1" si="316"/>
        <v>#N/A</v>
      </c>
      <c r="AE694" s="324" t="e">
        <f t="shared" ca="1" si="295"/>
        <v>#N/A</v>
      </c>
      <c r="AG694" s="306">
        <f t="shared" ca="1" si="317"/>
        <v>1.933965496073375</v>
      </c>
      <c r="AH694" s="304">
        <f t="shared" ca="1" si="318"/>
        <v>-7.8355822184746984</v>
      </c>
    </row>
    <row r="695" spans="1:34" x14ac:dyDescent="0.2">
      <c r="A695" s="347">
        <f t="shared" ca="1" si="296"/>
        <v>1E-4</v>
      </c>
      <c r="B695" s="304">
        <f t="shared" ca="1" si="297"/>
        <v>34.516600000000771</v>
      </c>
      <c r="D695" s="306">
        <f t="shared" ca="1" si="298"/>
        <v>-0.71084271423021916</v>
      </c>
      <c r="E695" s="307">
        <f t="shared" ca="1" si="299"/>
        <v>-2.0066934574315107</v>
      </c>
      <c r="F695" s="304">
        <f t="shared" ca="1" si="300"/>
        <v>2.1288766982783702</v>
      </c>
      <c r="G695" s="306">
        <f t="shared" ca="1" si="301"/>
        <v>10.92502720079912</v>
      </c>
      <c r="H695" s="307">
        <f t="shared" ca="1" si="302"/>
        <v>-119.93093811583591</v>
      </c>
      <c r="I695" s="304">
        <f t="shared" ca="1" si="303"/>
        <v>120.4275140351351</v>
      </c>
      <c r="J695" s="306">
        <f t="shared" ca="1" si="304"/>
        <v>770.52896740167785</v>
      </c>
      <c r="K695" s="307">
        <f t="shared" ca="1" si="305"/>
        <v>-11.053529705621429</v>
      </c>
      <c r="L695" s="304">
        <f t="shared" ca="1" si="290"/>
        <v>770.60824685701937</v>
      </c>
      <c r="M695" s="306">
        <f t="shared" ca="1" si="306"/>
        <v>-1.4799527322897528</v>
      </c>
      <c r="N695" s="304">
        <f t="shared" ca="1" si="307"/>
        <v>-84.795045439057418</v>
      </c>
      <c r="P695" s="310">
        <f t="shared" ca="1" si="308"/>
        <v>23</v>
      </c>
      <c r="Q695" s="304">
        <f t="shared" ca="1" si="309"/>
        <v>0</v>
      </c>
      <c r="R695" s="306">
        <f t="shared" ca="1" si="310"/>
        <v>0</v>
      </c>
      <c r="S695" s="307">
        <f t="shared" ca="1" si="311"/>
        <v>7.4499999999999984</v>
      </c>
      <c r="T695" s="304">
        <f t="shared" ca="1" si="291"/>
        <v>73.084499999999991</v>
      </c>
      <c r="U695" s="311">
        <f t="shared" ca="1" si="292"/>
        <v>0</v>
      </c>
      <c r="V695" s="306">
        <f t="shared" ca="1" si="293"/>
        <v>1.2263548061584448</v>
      </c>
      <c r="W695" s="304">
        <f t="shared" ca="1" si="294"/>
        <v>58.37560252877509</v>
      </c>
      <c r="Y695" s="314" t="str">
        <f t="shared" ca="1" si="312"/>
        <v/>
      </c>
      <c r="Z695" s="315" t="str">
        <f t="shared" ca="1" si="313"/>
        <v/>
      </c>
      <c r="AA695" s="316" t="str">
        <f t="shared" ca="1" si="314"/>
        <v/>
      </c>
      <c r="AC695" s="310" t="e">
        <f t="shared" ca="1" si="315"/>
        <v>#N/A</v>
      </c>
      <c r="AD695" s="323" t="e">
        <f t="shared" ca="1" si="316"/>
        <v>#N/A</v>
      </c>
      <c r="AE695" s="324" t="e">
        <f t="shared" ca="1" si="295"/>
        <v>#N/A</v>
      </c>
      <c r="AG695" s="306">
        <f t="shared" ca="1" si="317"/>
        <v>1.9339315897683544</v>
      </c>
      <c r="AH695" s="304">
        <f t="shared" ca="1" si="318"/>
        <v>-7.8356167824662268</v>
      </c>
    </row>
    <row r="696" spans="1:34" x14ac:dyDescent="0.2">
      <c r="A696" s="347">
        <f t="shared" ca="1" si="296"/>
        <v>1E-4</v>
      </c>
      <c r="B696" s="304">
        <f t="shared" ca="1" si="297"/>
        <v>34.516700000000775</v>
      </c>
      <c r="D696" s="306">
        <f t="shared" ca="1" si="298"/>
        <v>-0.71084008316927816</v>
      </c>
      <c r="E696" s="307">
        <f t="shared" ca="1" si="299"/>
        <v>-2.0066585109651252</v>
      </c>
      <c r="F696" s="304">
        <f t="shared" ca="1" si="300"/>
        <v>2.1288428789999698</v>
      </c>
      <c r="G696" s="306">
        <f t="shared" ca="1" si="301"/>
        <v>10.924956116790803</v>
      </c>
      <c r="H696" s="307">
        <f t="shared" ca="1" si="302"/>
        <v>-119.93113878168701</v>
      </c>
      <c r="I696" s="304">
        <f t="shared" ca="1" si="303"/>
        <v>120.42770742493637</v>
      </c>
      <c r="J696" s="306">
        <f t="shared" ca="1" si="304"/>
        <v>770.52896740167785</v>
      </c>
      <c r="K696" s="307">
        <f t="shared" ca="1" si="305"/>
        <v>-11.065522809466305</v>
      </c>
      <c r="L696" s="304">
        <f t="shared" ca="1" si="290"/>
        <v>770.60841897824014</v>
      </c>
      <c r="M696" s="306">
        <f t="shared" ca="1" si="306"/>
        <v>-1.4799534712811695</v>
      </c>
      <c r="N696" s="304">
        <f t="shared" ca="1" si="307"/>
        <v>-84.795087780146702</v>
      </c>
      <c r="P696" s="310">
        <f t="shared" ca="1" si="308"/>
        <v>23</v>
      </c>
      <c r="Q696" s="304">
        <f t="shared" ca="1" si="309"/>
        <v>0</v>
      </c>
      <c r="R696" s="306">
        <f t="shared" ca="1" si="310"/>
        <v>0</v>
      </c>
      <c r="S696" s="307">
        <f t="shared" ca="1" si="311"/>
        <v>7.4499999999999984</v>
      </c>
      <c r="T696" s="304">
        <f t="shared" ca="1" si="291"/>
        <v>73.084499999999991</v>
      </c>
      <c r="U696" s="311">
        <f t="shared" ca="1" si="292"/>
        <v>0</v>
      </c>
      <c r="V696" s="306">
        <f t="shared" ca="1" si="293"/>
        <v>1.2263562769398304</v>
      </c>
      <c r="W696" s="304">
        <f t="shared" ca="1" si="294"/>
        <v>58.375860025841654</v>
      </c>
      <c r="Y696" s="314" t="str">
        <f t="shared" ca="1" si="312"/>
        <v/>
      </c>
      <c r="Z696" s="315" t="str">
        <f t="shared" ca="1" si="313"/>
        <v/>
      </c>
      <c r="AA696" s="316" t="str">
        <f t="shared" ca="1" si="314"/>
        <v/>
      </c>
      <c r="AC696" s="310" t="e">
        <f t="shared" ca="1" si="315"/>
        <v>#N/A</v>
      </c>
      <c r="AD696" s="323" t="e">
        <f t="shared" ca="1" si="316"/>
        <v>#N/A</v>
      </c>
      <c r="AE696" s="324" t="e">
        <f t="shared" ca="1" si="295"/>
        <v>#N/A</v>
      </c>
      <c r="AG696" s="306">
        <f t="shared" ca="1" si="317"/>
        <v>1.9338976837650543</v>
      </c>
      <c r="AH696" s="304">
        <f t="shared" ca="1" si="318"/>
        <v>-7.8356513461443091</v>
      </c>
    </row>
    <row r="697" spans="1:34" x14ac:dyDescent="0.2">
      <c r="A697" s="347">
        <f t="shared" ca="1" si="296"/>
        <v>1E-4</v>
      </c>
      <c r="B697" s="304">
        <f t="shared" ca="1" si="297"/>
        <v>34.516800000000778</v>
      </c>
      <c r="D697" s="306">
        <f t="shared" ca="1" si="298"/>
        <v>-0.71083745208468196</v>
      </c>
      <c r="E697" s="307">
        <f t="shared" ca="1" si="299"/>
        <v>-2.006623564815623</v>
      </c>
      <c r="F697" s="304">
        <f t="shared" ca="1" si="300"/>
        <v>2.1288090600520286</v>
      </c>
      <c r="G697" s="306">
        <f t="shared" ca="1" si="301"/>
        <v>10.924885033045594</v>
      </c>
      <c r="H697" s="307">
        <f t="shared" ca="1" si="302"/>
        <v>-119.93133944404349</v>
      </c>
      <c r="I697" s="304">
        <f t="shared" ca="1" si="303"/>
        <v>120.42790081134706</v>
      </c>
      <c r="J697" s="306">
        <f t="shared" ca="1" si="304"/>
        <v>770.52896740167785</v>
      </c>
      <c r="K697" s="307">
        <f t="shared" ca="1" si="305"/>
        <v>-11.077515933377592</v>
      </c>
      <c r="L697" s="304">
        <f t="shared" ca="1" si="290"/>
        <v>770.60859128636127</v>
      </c>
      <c r="M697" s="306">
        <f t="shared" ca="1" si="306"/>
        <v>-1.4799542102654046</v>
      </c>
      <c r="N697" s="304">
        <f t="shared" ca="1" si="307"/>
        <v>-84.795130120824496</v>
      </c>
      <c r="P697" s="310">
        <f t="shared" ca="1" si="308"/>
        <v>23</v>
      </c>
      <c r="Q697" s="304">
        <f t="shared" ca="1" si="309"/>
        <v>0</v>
      </c>
      <c r="R697" s="306">
        <f t="shared" ca="1" si="310"/>
        <v>0</v>
      </c>
      <c r="S697" s="307">
        <f t="shared" ca="1" si="311"/>
        <v>7.4499999999999984</v>
      </c>
      <c r="T697" s="304">
        <f t="shared" ca="1" si="291"/>
        <v>73.084499999999991</v>
      </c>
      <c r="U697" s="311">
        <f t="shared" ca="1" si="292"/>
        <v>0</v>
      </c>
      <c r="V697" s="306">
        <f t="shared" ca="1" si="293"/>
        <v>1.2263577477254421</v>
      </c>
      <c r="W697" s="304">
        <f t="shared" ca="1" si="294"/>
        <v>58.376117520573096</v>
      </c>
      <c r="Y697" s="314" t="str">
        <f t="shared" ca="1" si="312"/>
        <v/>
      </c>
      <c r="Z697" s="315" t="str">
        <f t="shared" ca="1" si="313"/>
        <v/>
      </c>
      <c r="AA697" s="316" t="str">
        <f t="shared" ca="1" si="314"/>
        <v/>
      </c>
      <c r="AC697" s="310" t="e">
        <f t="shared" ca="1" si="315"/>
        <v>#N/A</v>
      </c>
      <c r="AD697" s="323" t="e">
        <f t="shared" ca="1" si="316"/>
        <v>#N/A</v>
      </c>
      <c r="AE697" s="324" t="e">
        <f t="shared" ca="1" si="295"/>
        <v>#N/A</v>
      </c>
      <c r="AG697" s="306">
        <f t="shared" ca="1" si="317"/>
        <v>1.9338637780634675</v>
      </c>
      <c r="AH697" s="304">
        <f t="shared" ca="1" si="318"/>
        <v>-7.8356859095089488</v>
      </c>
    </row>
    <row r="698" spans="1:34" x14ac:dyDescent="0.2">
      <c r="A698" s="347">
        <f t="shared" ca="1" si="296"/>
        <v>1E-4</v>
      </c>
      <c r="B698" s="304">
        <f t="shared" ca="1" si="297"/>
        <v>34.516900000000781</v>
      </c>
      <c r="D698" s="306">
        <f t="shared" ca="1" si="298"/>
        <v>-0.7108348209764308</v>
      </c>
      <c r="E698" s="307">
        <f t="shared" ca="1" si="299"/>
        <v>-2.0065886189830007</v>
      </c>
      <c r="F698" s="304">
        <f t="shared" ca="1" si="300"/>
        <v>2.128775241434544</v>
      </c>
      <c r="G698" s="306">
        <f t="shared" ca="1" si="301"/>
        <v>10.924813949563497</v>
      </c>
      <c r="H698" s="307">
        <f t="shared" ca="1" si="302"/>
        <v>-119.93154010290539</v>
      </c>
      <c r="I698" s="304">
        <f t="shared" ca="1" si="303"/>
        <v>120.4280941943672</v>
      </c>
      <c r="J698" s="306">
        <f t="shared" ca="1" si="304"/>
        <v>770.52896740167785</v>
      </c>
      <c r="K698" s="307">
        <f t="shared" ca="1" si="305"/>
        <v>-11.08950907735494</v>
      </c>
      <c r="L698" s="304">
        <f t="shared" ca="1" si="290"/>
        <v>770.60876378138391</v>
      </c>
      <c r="M698" s="306">
        <f t="shared" ca="1" si="306"/>
        <v>-1.479954949242458</v>
      </c>
      <c r="N698" s="304">
        <f t="shared" ca="1" si="307"/>
        <v>-84.795172461090814</v>
      </c>
      <c r="P698" s="310">
        <f t="shared" ca="1" si="308"/>
        <v>23</v>
      </c>
      <c r="Q698" s="304">
        <f t="shared" ca="1" si="309"/>
        <v>0</v>
      </c>
      <c r="R698" s="306">
        <f t="shared" ca="1" si="310"/>
        <v>0</v>
      </c>
      <c r="S698" s="307">
        <f t="shared" ca="1" si="311"/>
        <v>7.4499999999999984</v>
      </c>
      <c r="T698" s="304">
        <f t="shared" ca="1" si="291"/>
        <v>73.084499999999991</v>
      </c>
      <c r="U698" s="311">
        <f t="shared" ca="1" si="292"/>
        <v>0</v>
      </c>
      <c r="V698" s="306">
        <f t="shared" ca="1" si="293"/>
        <v>1.2263592185152794</v>
      </c>
      <c r="W698" s="304">
        <f t="shared" ca="1" si="294"/>
        <v>58.376375012969376</v>
      </c>
      <c r="Y698" s="314" t="str">
        <f t="shared" ca="1" si="312"/>
        <v/>
      </c>
      <c r="Z698" s="315" t="str">
        <f t="shared" ca="1" si="313"/>
        <v/>
      </c>
      <c r="AA698" s="316" t="str">
        <f t="shared" ca="1" si="314"/>
        <v/>
      </c>
      <c r="AC698" s="310" t="e">
        <f t="shared" ca="1" si="315"/>
        <v>#N/A</v>
      </c>
      <c r="AD698" s="323" t="e">
        <f t="shared" ca="1" si="316"/>
        <v>#N/A</v>
      </c>
      <c r="AE698" s="324" t="e">
        <f t="shared" ca="1" si="295"/>
        <v>#N/A</v>
      </c>
      <c r="AG698" s="306">
        <f t="shared" ca="1" si="317"/>
        <v>1.9338298726635967</v>
      </c>
      <c r="AH698" s="304">
        <f t="shared" ca="1" si="318"/>
        <v>-7.8357204725601486</v>
      </c>
    </row>
    <row r="699" spans="1:34" x14ac:dyDescent="0.2">
      <c r="A699" s="347">
        <f t="shared" ca="1" si="296"/>
        <v>1E-4</v>
      </c>
      <c r="B699" s="304">
        <f t="shared" ca="1" si="297"/>
        <v>34.517000000000785</v>
      </c>
      <c r="D699" s="306">
        <f t="shared" ca="1" si="298"/>
        <v>-0.71083218984452723</v>
      </c>
      <c r="E699" s="307">
        <f t="shared" ca="1" si="299"/>
        <v>-2.0065536734672609</v>
      </c>
      <c r="F699" s="304">
        <f t="shared" ca="1" si="300"/>
        <v>2.128741423147519</v>
      </c>
      <c r="G699" s="306">
        <f t="shared" ca="1" si="301"/>
        <v>10.924742866344513</v>
      </c>
      <c r="H699" s="307">
        <f t="shared" ca="1" si="302"/>
        <v>-119.93174075827274</v>
      </c>
      <c r="I699" s="304">
        <f t="shared" ca="1" si="303"/>
        <v>120.42828757399685</v>
      </c>
      <c r="J699" s="306">
        <f t="shared" ca="1" si="304"/>
        <v>770.52896740167785</v>
      </c>
      <c r="K699" s="307">
        <f t="shared" ca="1" si="305"/>
        <v>-11.101502241397998</v>
      </c>
      <c r="L699" s="304">
        <f t="shared" ca="1" si="290"/>
        <v>770.60893646330862</v>
      </c>
      <c r="M699" s="306">
        <f t="shared" ca="1" si="306"/>
        <v>-1.4799556882123301</v>
      </c>
      <c r="N699" s="304">
        <f t="shared" ca="1" si="307"/>
        <v>-84.795214800945672</v>
      </c>
      <c r="P699" s="310">
        <f t="shared" ca="1" si="308"/>
        <v>23</v>
      </c>
      <c r="Q699" s="304">
        <f t="shared" ca="1" si="309"/>
        <v>0</v>
      </c>
      <c r="R699" s="306">
        <f t="shared" ca="1" si="310"/>
        <v>0</v>
      </c>
      <c r="S699" s="307">
        <f t="shared" ca="1" si="311"/>
        <v>7.4499999999999984</v>
      </c>
      <c r="T699" s="304">
        <f t="shared" ca="1" si="291"/>
        <v>73.084499999999991</v>
      </c>
      <c r="U699" s="311">
        <f t="shared" ca="1" si="292"/>
        <v>0</v>
      </c>
      <c r="V699" s="306">
        <f t="shared" ca="1" si="293"/>
        <v>1.2263606893093424</v>
      </c>
      <c r="W699" s="304">
        <f t="shared" ca="1" si="294"/>
        <v>58.376632503030528</v>
      </c>
      <c r="Y699" s="314" t="str">
        <f t="shared" ca="1" si="312"/>
        <v/>
      </c>
      <c r="Z699" s="315" t="str">
        <f t="shared" ca="1" si="313"/>
        <v/>
      </c>
      <c r="AA699" s="316" t="str">
        <f t="shared" ca="1" si="314"/>
        <v/>
      </c>
      <c r="AC699" s="310" t="e">
        <f t="shared" ca="1" si="315"/>
        <v>#N/A</v>
      </c>
      <c r="AD699" s="323" t="e">
        <f t="shared" ca="1" si="316"/>
        <v>#N/A</v>
      </c>
      <c r="AE699" s="324" t="e">
        <f t="shared" ca="1" si="295"/>
        <v>#N/A</v>
      </c>
      <c r="AG699" s="306">
        <f t="shared" ca="1" si="317"/>
        <v>1.9337959675654455</v>
      </c>
      <c r="AH699" s="304">
        <f t="shared" ca="1" si="318"/>
        <v>-7.8357550352979048</v>
      </c>
    </row>
    <row r="700" spans="1:34" x14ac:dyDescent="0.2">
      <c r="A700" s="347">
        <f t="shared" ca="1" si="296"/>
        <v>1E-4</v>
      </c>
      <c r="B700" s="304">
        <f t="shared" ca="1" si="297"/>
        <v>34.517100000000788</v>
      </c>
      <c r="D700" s="306">
        <f t="shared" ca="1" si="298"/>
        <v>-0.7108295586889678</v>
      </c>
      <c r="E700" s="307">
        <f t="shared" ca="1" si="299"/>
        <v>-2.0065187282684027</v>
      </c>
      <c r="F700" s="304">
        <f t="shared" ca="1" si="300"/>
        <v>2.1287076051909528</v>
      </c>
      <c r="G700" s="306">
        <f t="shared" ca="1" si="301"/>
        <v>10.924671783388645</v>
      </c>
      <c r="H700" s="307">
        <f t="shared" ca="1" si="302"/>
        <v>-119.93194141014557</v>
      </c>
      <c r="I700" s="304">
        <f t="shared" ca="1" si="303"/>
        <v>120.42848095023601</v>
      </c>
      <c r="J700" s="306">
        <f t="shared" ca="1" si="304"/>
        <v>770.52896740167785</v>
      </c>
      <c r="K700" s="307">
        <f t="shared" ca="1" si="305"/>
        <v>-11.11349542550642</v>
      </c>
      <c r="L700" s="304">
        <f t="shared" ca="1" si="290"/>
        <v>770.60910933213654</v>
      </c>
      <c r="M700" s="306">
        <f t="shared" ca="1" si="306"/>
        <v>-1.4799564271750207</v>
      </c>
      <c r="N700" s="304">
        <f t="shared" ca="1" si="307"/>
        <v>-84.795257140389069</v>
      </c>
      <c r="P700" s="310">
        <f t="shared" ca="1" si="308"/>
        <v>23</v>
      </c>
      <c r="Q700" s="304">
        <f t="shared" ca="1" si="309"/>
        <v>0</v>
      </c>
      <c r="R700" s="306">
        <f t="shared" ca="1" si="310"/>
        <v>0</v>
      </c>
      <c r="S700" s="307">
        <f t="shared" ca="1" si="311"/>
        <v>7.4499999999999984</v>
      </c>
      <c r="T700" s="304">
        <f t="shared" ca="1" si="291"/>
        <v>73.084499999999991</v>
      </c>
      <c r="U700" s="311">
        <f t="shared" ca="1" si="292"/>
        <v>0</v>
      </c>
      <c r="V700" s="306">
        <f t="shared" ca="1" si="293"/>
        <v>1.2263621601076309</v>
      </c>
      <c r="W700" s="304">
        <f t="shared" ca="1" si="294"/>
        <v>58.376889990756531</v>
      </c>
      <c r="Y700" s="314" t="str">
        <f t="shared" ca="1" si="312"/>
        <v/>
      </c>
      <c r="Z700" s="315" t="str">
        <f t="shared" ca="1" si="313"/>
        <v/>
      </c>
      <c r="AA700" s="316" t="str">
        <f t="shared" ca="1" si="314"/>
        <v/>
      </c>
      <c r="AC700" s="310" t="e">
        <f t="shared" ca="1" si="315"/>
        <v>#N/A</v>
      </c>
      <c r="AD700" s="323" t="e">
        <f t="shared" ca="1" si="316"/>
        <v>#N/A</v>
      </c>
      <c r="AE700" s="324" t="e">
        <f t="shared" ca="1" si="295"/>
        <v>#N/A</v>
      </c>
      <c r="AG700" s="306">
        <f t="shared" ca="1" si="317"/>
        <v>1.933762062769004</v>
      </c>
      <c r="AH700" s="304">
        <f t="shared" ca="1" si="318"/>
        <v>-7.8357895977222203</v>
      </c>
    </row>
    <row r="701" spans="1:34" x14ac:dyDescent="0.2">
      <c r="A701" s="347">
        <f t="shared" ca="1" si="296"/>
        <v>1E-4</v>
      </c>
      <c r="B701" s="304">
        <f t="shared" ca="1" si="297"/>
        <v>34.517200000000791</v>
      </c>
      <c r="D701" s="306">
        <f t="shared" ca="1" si="298"/>
        <v>-0.71082692750975751</v>
      </c>
      <c r="E701" s="307">
        <f t="shared" ca="1" si="299"/>
        <v>-2.0064837833864253</v>
      </c>
      <c r="F701" s="304">
        <f t="shared" ca="1" si="300"/>
        <v>2.1286737875648454</v>
      </c>
      <c r="G701" s="306">
        <f t="shared" ca="1" si="301"/>
        <v>10.924600700695894</v>
      </c>
      <c r="H701" s="307">
        <f t="shared" ca="1" si="302"/>
        <v>-119.93214205852391</v>
      </c>
      <c r="I701" s="304">
        <f t="shared" ca="1" si="303"/>
        <v>120.42867432308472</v>
      </c>
      <c r="J701" s="306">
        <f t="shared" ca="1" si="304"/>
        <v>770.52896740167785</v>
      </c>
      <c r="K701" s="307">
        <f t="shared" ca="1" si="305"/>
        <v>-11.125488629679854</v>
      </c>
      <c r="L701" s="304">
        <f t="shared" ca="1" si="290"/>
        <v>770.60928238786812</v>
      </c>
      <c r="M701" s="306">
        <f t="shared" ca="1" si="306"/>
        <v>-1.4799571661305302</v>
      </c>
      <c r="N701" s="304">
        <f t="shared" ca="1" si="307"/>
        <v>-84.795299479421004</v>
      </c>
      <c r="P701" s="310">
        <f t="shared" ca="1" si="308"/>
        <v>23</v>
      </c>
      <c r="Q701" s="304">
        <f t="shared" ca="1" si="309"/>
        <v>0</v>
      </c>
      <c r="R701" s="306">
        <f t="shared" ca="1" si="310"/>
        <v>0</v>
      </c>
      <c r="S701" s="307">
        <f t="shared" ca="1" si="311"/>
        <v>7.4499999999999984</v>
      </c>
      <c r="T701" s="304">
        <f t="shared" ca="1" si="291"/>
        <v>73.084499999999991</v>
      </c>
      <c r="U701" s="311">
        <f t="shared" ca="1" si="292"/>
        <v>0</v>
      </c>
      <c r="V701" s="306">
        <f t="shared" ca="1" si="293"/>
        <v>1.2263636309101453</v>
      </c>
      <c r="W701" s="304">
        <f t="shared" ca="1" si="294"/>
        <v>58.3771474761474</v>
      </c>
      <c r="Y701" s="314" t="str">
        <f t="shared" ca="1" si="312"/>
        <v/>
      </c>
      <c r="Z701" s="315" t="str">
        <f t="shared" ca="1" si="313"/>
        <v/>
      </c>
      <c r="AA701" s="316" t="str">
        <f t="shared" ca="1" si="314"/>
        <v/>
      </c>
      <c r="AC701" s="310" t="e">
        <f t="shared" ca="1" si="315"/>
        <v>#N/A</v>
      </c>
      <c r="AD701" s="323" t="e">
        <f t="shared" ca="1" si="316"/>
        <v>#N/A</v>
      </c>
      <c r="AE701" s="324" t="e">
        <f t="shared" ca="1" si="295"/>
        <v>#N/A</v>
      </c>
      <c r="AG701" s="306">
        <f t="shared" ca="1" si="317"/>
        <v>1.9337281582742829</v>
      </c>
      <c r="AH701" s="304">
        <f t="shared" ca="1" si="318"/>
        <v>-7.8358241598330931</v>
      </c>
    </row>
    <row r="702" spans="1:34" x14ac:dyDescent="0.2">
      <c r="A702" s="347">
        <f t="shared" ca="1" si="296"/>
        <v>1E-4</v>
      </c>
      <c r="B702" s="304">
        <f t="shared" ca="1" si="297"/>
        <v>34.517300000000795</v>
      </c>
      <c r="D702" s="306">
        <f t="shared" ca="1" si="298"/>
        <v>-0.71082429630689414</v>
      </c>
      <c r="E702" s="307">
        <f t="shared" ca="1" si="299"/>
        <v>-2.0064488388213304</v>
      </c>
      <c r="F702" s="304">
        <f t="shared" ca="1" si="300"/>
        <v>2.1286399702691989</v>
      </c>
      <c r="G702" s="306">
        <f t="shared" ca="1" si="301"/>
        <v>10.924529618266263</v>
      </c>
      <c r="H702" s="307">
        <f t="shared" ca="1" si="302"/>
        <v>-119.93234270340778</v>
      </c>
      <c r="I702" s="304">
        <f t="shared" ca="1" si="303"/>
        <v>120.42886769254299</v>
      </c>
      <c r="J702" s="306">
        <f t="shared" ca="1" si="304"/>
        <v>770.52896740167785</v>
      </c>
      <c r="K702" s="307">
        <f t="shared" ca="1" si="305"/>
        <v>-11.137481853917951</v>
      </c>
      <c r="L702" s="304">
        <f t="shared" ca="1" si="290"/>
        <v>770.60945563050439</v>
      </c>
      <c r="M702" s="306">
        <f t="shared" ca="1" si="306"/>
        <v>-1.4799579050788585</v>
      </c>
      <c r="N702" s="304">
        <f t="shared" ca="1" si="307"/>
        <v>-84.795341818041493</v>
      </c>
      <c r="P702" s="310">
        <f t="shared" ca="1" si="308"/>
        <v>23</v>
      </c>
      <c r="Q702" s="304">
        <f t="shared" ca="1" si="309"/>
        <v>0</v>
      </c>
      <c r="R702" s="306">
        <f t="shared" ca="1" si="310"/>
        <v>0</v>
      </c>
      <c r="S702" s="307">
        <f t="shared" ca="1" si="311"/>
        <v>7.4499999999999984</v>
      </c>
      <c r="T702" s="304">
        <f t="shared" ca="1" si="291"/>
        <v>73.084499999999991</v>
      </c>
      <c r="U702" s="311">
        <f t="shared" ca="1" si="292"/>
        <v>0</v>
      </c>
      <c r="V702" s="306">
        <f t="shared" ca="1" si="293"/>
        <v>1.2263651017168853</v>
      </c>
      <c r="W702" s="304">
        <f t="shared" ca="1" si="294"/>
        <v>58.37740495920314</v>
      </c>
      <c r="Y702" s="314" t="str">
        <f t="shared" ca="1" si="312"/>
        <v/>
      </c>
      <c r="Z702" s="315" t="str">
        <f t="shared" ca="1" si="313"/>
        <v/>
      </c>
      <c r="AA702" s="316" t="str">
        <f t="shared" ca="1" si="314"/>
        <v/>
      </c>
      <c r="AC702" s="310" t="e">
        <f t="shared" ca="1" si="315"/>
        <v>#N/A</v>
      </c>
      <c r="AD702" s="323" t="e">
        <f t="shared" ca="1" si="316"/>
        <v>#N/A</v>
      </c>
      <c r="AE702" s="324" t="e">
        <f t="shared" ca="1" si="295"/>
        <v>#N/A</v>
      </c>
      <c r="AG702" s="306">
        <f t="shared" ca="1" si="317"/>
        <v>1.9336942540812752</v>
      </c>
      <c r="AH702" s="304">
        <f t="shared" ca="1" si="318"/>
        <v>-7.8358587216305251</v>
      </c>
    </row>
    <row r="703" spans="1:34" x14ac:dyDescent="0.2">
      <c r="A703" s="347">
        <f t="shared" ca="1" si="296"/>
        <v>1E-4</v>
      </c>
      <c r="B703" s="304">
        <f t="shared" ca="1" si="297"/>
        <v>34.517400000000798</v>
      </c>
      <c r="D703" s="306">
        <f t="shared" ca="1" si="298"/>
        <v>-0.71082166508037958</v>
      </c>
      <c r="E703" s="307">
        <f t="shared" ca="1" si="299"/>
        <v>-2.0064138945731145</v>
      </c>
      <c r="F703" s="304">
        <f t="shared" ca="1" si="300"/>
        <v>2.1286061533040104</v>
      </c>
      <c r="G703" s="306">
        <f t="shared" ca="1" si="301"/>
        <v>10.924458536099754</v>
      </c>
      <c r="H703" s="307">
        <f t="shared" ca="1" si="302"/>
        <v>-119.93254334479724</v>
      </c>
      <c r="I703" s="304">
        <f t="shared" ca="1" si="303"/>
        <v>120.4290610586109</v>
      </c>
      <c r="J703" s="306">
        <f t="shared" ca="1" si="304"/>
        <v>770.52896740167785</v>
      </c>
      <c r="K703" s="307">
        <f t="shared" ca="1" si="305"/>
        <v>-11.149475098220361</v>
      </c>
      <c r="L703" s="304">
        <f t="shared" ca="1" si="290"/>
        <v>770.60962906004602</v>
      </c>
      <c r="M703" s="306">
        <f t="shared" ca="1" si="306"/>
        <v>-1.4799586440200057</v>
      </c>
      <c r="N703" s="304">
        <f t="shared" ca="1" si="307"/>
        <v>-84.795384156250535</v>
      </c>
      <c r="P703" s="310">
        <f t="shared" ca="1" si="308"/>
        <v>23</v>
      </c>
      <c r="Q703" s="304">
        <f t="shared" ca="1" si="309"/>
        <v>0</v>
      </c>
      <c r="R703" s="306">
        <f t="shared" ca="1" si="310"/>
        <v>0</v>
      </c>
      <c r="S703" s="307">
        <f t="shared" ca="1" si="311"/>
        <v>7.4499999999999984</v>
      </c>
      <c r="T703" s="304">
        <f t="shared" ca="1" si="291"/>
        <v>73.084499999999991</v>
      </c>
      <c r="U703" s="311">
        <f t="shared" ca="1" si="292"/>
        <v>0</v>
      </c>
      <c r="V703" s="306">
        <f t="shared" ca="1" si="293"/>
        <v>1.2263665725278505</v>
      </c>
      <c r="W703" s="304">
        <f t="shared" ca="1" si="294"/>
        <v>58.377662439923753</v>
      </c>
      <c r="Y703" s="314" t="str">
        <f t="shared" ca="1" si="312"/>
        <v/>
      </c>
      <c r="Z703" s="315" t="str">
        <f t="shared" ca="1" si="313"/>
        <v/>
      </c>
      <c r="AA703" s="316" t="str">
        <f t="shared" ca="1" si="314"/>
        <v/>
      </c>
      <c r="AC703" s="310" t="e">
        <f t="shared" ca="1" si="315"/>
        <v>#N/A</v>
      </c>
      <c r="AD703" s="323" t="e">
        <f t="shared" ca="1" si="316"/>
        <v>#N/A</v>
      </c>
      <c r="AE703" s="324" t="e">
        <f t="shared" ca="1" si="295"/>
        <v>#N/A</v>
      </c>
      <c r="AG703" s="306">
        <f t="shared" ca="1" si="317"/>
        <v>1.9336603501899834</v>
      </c>
      <c r="AH703" s="304">
        <f t="shared" ca="1" si="318"/>
        <v>-7.8358932831145172</v>
      </c>
    </row>
    <row r="704" spans="1:34" x14ac:dyDescent="0.2">
      <c r="A704" s="347">
        <f t="shared" ca="1" si="296"/>
        <v>1E-4</v>
      </c>
      <c r="B704" s="304">
        <f t="shared" ca="1" si="297"/>
        <v>34.517500000000801</v>
      </c>
      <c r="D704" s="306">
        <f t="shared" ca="1" si="298"/>
        <v>-0.71081903383021494</v>
      </c>
      <c r="E704" s="307">
        <f t="shared" ca="1" si="299"/>
        <v>-2.0063789506417775</v>
      </c>
      <c r="F704" s="304">
        <f t="shared" ca="1" si="300"/>
        <v>2.1285723366692806</v>
      </c>
      <c r="G704" s="306">
        <f t="shared" ca="1" si="301"/>
        <v>10.924387454196371</v>
      </c>
      <c r="H704" s="307">
        <f t="shared" ca="1" si="302"/>
        <v>-119.9327439826923</v>
      </c>
      <c r="I704" s="304">
        <f t="shared" ca="1" si="303"/>
        <v>120.42925442128843</v>
      </c>
      <c r="J704" s="306">
        <f t="shared" ca="1" si="304"/>
        <v>770.52896740167785</v>
      </c>
      <c r="K704" s="307">
        <f t="shared" ca="1" si="305"/>
        <v>-11.161468362586735</v>
      </c>
      <c r="L704" s="304">
        <f t="shared" ca="1" si="290"/>
        <v>770.60980267649393</v>
      </c>
      <c r="M704" s="306">
        <f t="shared" ca="1" si="306"/>
        <v>-1.4799593829539719</v>
      </c>
      <c r="N704" s="304">
        <f t="shared" ca="1" si="307"/>
        <v>-84.795426494048144</v>
      </c>
      <c r="P704" s="310">
        <f t="shared" ca="1" si="308"/>
        <v>23</v>
      </c>
      <c r="Q704" s="304">
        <f t="shared" ca="1" si="309"/>
        <v>0</v>
      </c>
      <c r="R704" s="306">
        <f t="shared" ca="1" si="310"/>
        <v>0</v>
      </c>
      <c r="S704" s="307">
        <f t="shared" ca="1" si="311"/>
        <v>7.4499999999999984</v>
      </c>
      <c r="T704" s="304">
        <f t="shared" ca="1" si="291"/>
        <v>73.084499999999991</v>
      </c>
      <c r="U704" s="311">
        <f t="shared" ca="1" si="292"/>
        <v>0</v>
      </c>
      <c r="V704" s="306">
        <f t="shared" ca="1" si="293"/>
        <v>1.2263680433430417</v>
      </c>
      <c r="W704" s="304">
        <f t="shared" ca="1" si="294"/>
        <v>58.377919918309239</v>
      </c>
      <c r="Y704" s="314" t="str">
        <f t="shared" ca="1" si="312"/>
        <v/>
      </c>
      <c r="Z704" s="315" t="str">
        <f t="shared" ca="1" si="313"/>
        <v/>
      </c>
      <c r="AA704" s="316" t="str">
        <f t="shared" ca="1" si="314"/>
        <v/>
      </c>
      <c r="AC704" s="310" t="e">
        <f t="shared" ca="1" si="315"/>
        <v>#N/A</v>
      </c>
      <c r="AD704" s="323" t="e">
        <f t="shared" ca="1" si="316"/>
        <v>#N/A</v>
      </c>
      <c r="AE704" s="324" t="e">
        <f t="shared" ca="1" si="295"/>
        <v>#N/A</v>
      </c>
      <c r="AG704" s="306">
        <f t="shared" ca="1" si="317"/>
        <v>1.9336264466004076</v>
      </c>
      <c r="AH704" s="304">
        <f t="shared" ca="1" si="318"/>
        <v>-7.8359278442850693</v>
      </c>
    </row>
    <row r="705" spans="1:34" x14ac:dyDescent="0.2">
      <c r="A705" s="347">
        <f t="shared" ca="1" si="296"/>
        <v>1E-4</v>
      </c>
      <c r="B705" s="304">
        <f t="shared" ca="1" si="297"/>
        <v>34.517600000000805</v>
      </c>
      <c r="D705" s="306">
        <f t="shared" ca="1" si="298"/>
        <v>-0.71081640255640022</v>
      </c>
      <c r="E705" s="307">
        <f t="shared" ca="1" si="299"/>
        <v>-2.0063440070273204</v>
      </c>
      <c r="F705" s="304">
        <f t="shared" ca="1" si="300"/>
        <v>2.12853852036501</v>
      </c>
      <c r="G705" s="306">
        <f t="shared" ca="1" si="301"/>
        <v>10.924316372556115</v>
      </c>
      <c r="H705" s="307">
        <f t="shared" ca="1" si="302"/>
        <v>-119.932944617093</v>
      </c>
      <c r="I705" s="304">
        <f t="shared" ca="1" si="303"/>
        <v>120.42944778057564</v>
      </c>
      <c r="J705" s="306">
        <f t="shared" ca="1" si="304"/>
        <v>770.52896740167785</v>
      </c>
      <c r="K705" s="307">
        <f t="shared" ca="1" si="305"/>
        <v>-11.173461647016724</v>
      </c>
      <c r="L705" s="304">
        <f t="shared" ca="1" si="290"/>
        <v>770.60997647984891</v>
      </c>
      <c r="M705" s="306">
        <f t="shared" ca="1" si="306"/>
        <v>-1.4799601218807574</v>
      </c>
      <c r="N705" s="304">
        <f t="shared" ca="1" si="307"/>
        <v>-84.79546883143432</v>
      </c>
      <c r="P705" s="310">
        <f t="shared" ca="1" si="308"/>
        <v>23</v>
      </c>
      <c r="Q705" s="304">
        <f t="shared" ca="1" si="309"/>
        <v>0</v>
      </c>
      <c r="R705" s="306">
        <f t="shared" ca="1" si="310"/>
        <v>0</v>
      </c>
      <c r="S705" s="307">
        <f t="shared" ca="1" si="311"/>
        <v>7.4499999999999984</v>
      </c>
      <c r="T705" s="304">
        <f t="shared" ca="1" si="291"/>
        <v>73.084499999999991</v>
      </c>
      <c r="U705" s="311">
        <f t="shared" ca="1" si="292"/>
        <v>0</v>
      </c>
      <c r="V705" s="306">
        <f t="shared" ca="1" si="293"/>
        <v>1.2263695141624582</v>
      </c>
      <c r="W705" s="304">
        <f t="shared" ca="1" si="294"/>
        <v>58.378177394359604</v>
      </c>
      <c r="Y705" s="314" t="str">
        <f t="shared" ca="1" si="312"/>
        <v/>
      </c>
      <c r="Z705" s="315" t="str">
        <f t="shared" ca="1" si="313"/>
        <v/>
      </c>
      <c r="AA705" s="316" t="str">
        <f t="shared" ca="1" si="314"/>
        <v/>
      </c>
      <c r="AC705" s="310" t="e">
        <f t="shared" ca="1" si="315"/>
        <v>#N/A</v>
      </c>
      <c r="AD705" s="323" t="e">
        <f t="shared" ca="1" si="316"/>
        <v>#N/A</v>
      </c>
      <c r="AE705" s="324" t="e">
        <f t="shared" ca="1" si="295"/>
        <v>#N/A</v>
      </c>
      <c r="AG705" s="306">
        <f t="shared" ca="1" si="317"/>
        <v>1.9335925433125443</v>
      </c>
      <c r="AH705" s="304">
        <f t="shared" ca="1" si="318"/>
        <v>-7.8359624051421815</v>
      </c>
    </row>
    <row r="706" spans="1:34" x14ac:dyDescent="0.2">
      <c r="A706" s="347">
        <f t="shared" ca="1" si="296"/>
        <v>1E-4</v>
      </c>
      <c r="B706" s="304">
        <f t="shared" ca="1" si="297"/>
        <v>34.517700000000808</v>
      </c>
      <c r="D706" s="306">
        <f t="shared" ca="1" si="298"/>
        <v>-0.71081377125893497</v>
      </c>
      <c r="E706" s="307">
        <f t="shared" ca="1" si="299"/>
        <v>-2.0063090637297432</v>
      </c>
      <c r="F706" s="304">
        <f t="shared" ca="1" si="300"/>
        <v>2.1285047043911995</v>
      </c>
      <c r="G706" s="306">
        <f t="shared" ca="1" si="301"/>
        <v>10.924245291178989</v>
      </c>
      <c r="H706" s="307">
        <f t="shared" ca="1" si="302"/>
        <v>-119.93314524799938</v>
      </c>
      <c r="I706" s="304">
        <f t="shared" ca="1" si="303"/>
        <v>120.42964113647255</v>
      </c>
      <c r="J706" s="306">
        <f t="shared" ca="1" si="304"/>
        <v>770.52896740167785</v>
      </c>
      <c r="K706" s="307">
        <f t="shared" ca="1" si="305"/>
        <v>-11.185454951509978</v>
      </c>
      <c r="L706" s="304">
        <f t="shared" ca="1" si="290"/>
        <v>770.61015047011176</v>
      </c>
      <c r="M706" s="306">
        <f t="shared" ca="1" si="306"/>
        <v>-1.479960860800362</v>
      </c>
      <c r="N706" s="304">
        <f t="shared" ca="1" si="307"/>
        <v>-84.795511168409064</v>
      </c>
      <c r="P706" s="310">
        <f t="shared" ca="1" si="308"/>
        <v>23</v>
      </c>
      <c r="Q706" s="304">
        <f t="shared" ca="1" si="309"/>
        <v>0</v>
      </c>
      <c r="R706" s="306">
        <f t="shared" ca="1" si="310"/>
        <v>0</v>
      </c>
      <c r="S706" s="307">
        <f t="shared" ca="1" si="311"/>
        <v>7.4499999999999984</v>
      </c>
      <c r="T706" s="304">
        <f t="shared" ca="1" si="291"/>
        <v>73.084499999999991</v>
      </c>
      <c r="U706" s="311">
        <f t="shared" ca="1" si="292"/>
        <v>0</v>
      </c>
      <c r="V706" s="306">
        <f t="shared" ca="1" si="293"/>
        <v>1.2263709849861</v>
      </c>
      <c r="W706" s="304">
        <f t="shared" ca="1" si="294"/>
        <v>58.378434868074841</v>
      </c>
      <c r="Y706" s="314" t="str">
        <f t="shared" ca="1" si="312"/>
        <v/>
      </c>
      <c r="Z706" s="315" t="str">
        <f t="shared" ca="1" si="313"/>
        <v/>
      </c>
      <c r="AA706" s="316" t="str">
        <f t="shared" ca="1" si="314"/>
        <v/>
      </c>
      <c r="AC706" s="310" t="e">
        <f t="shared" ca="1" si="315"/>
        <v>#N/A</v>
      </c>
      <c r="AD706" s="323" t="e">
        <f t="shared" ca="1" si="316"/>
        <v>#N/A</v>
      </c>
      <c r="AE706" s="324" t="e">
        <f t="shared" ca="1" si="295"/>
        <v>#N/A</v>
      </c>
      <c r="AG706" s="306">
        <f t="shared" ca="1" si="317"/>
        <v>1.9335586403263978</v>
      </c>
      <c r="AH706" s="304">
        <f t="shared" ca="1" si="318"/>
        <v>-7.8359969656858546</v>
      </c>
    </row>
    <row r="707" spans="1:34" x14ac:dyDescent="0.2">
      <c r="A707" s="347">
        <f t="shared" ca="1" si="296"/>
        <v>1E-4</v>
      </c>
      <c r="B707" s="304">
        <f t="shared" ca="1" si="297"/>
        <v>34.517800000000811</v>
      </c>
      <c r="D707" s="306">
        <f t="shared" ca="1" si="298"/>
        <v>-0.71081113993782241</v>
      </c>
      <c r="E707" s="307">
        <f t="shared" ca="1" si="299"/>
        <v>-2.0062741207490449</v>
      </c>
      <c r="F707" s="304">
        <f t="shared" ca="1" si="300"/>
        <v>2.1284708887478492</v>
      </c>
      <c r="G707" s="306">
        <f t="shared" ca="1" si="301"/>
        <v>10.924174210064995</v>
      </c>
      <c r="H707" s="307">
        <f t="shared" ca="1" si="302"/>
        <v>-119.93334587541145</v>
      </c>
      <c r="I707" s="304">
        <f t="shared" ca="1" si="303"/>
        <v>120.42983448897918</v>
      </c>
      <c r="J707" s="306">
        <f t="shared" ca="1" si="304"/>
        <v>770.52896740167785</v>
      </c>
      <c r="K707" s="307">
        <f t="shared" ca="1" si="305"/>
        <v>-11.197448276066149</v>
      </c>
      <c r="L707" s="304">
        <f t="shared" ca="1" si="290"/>
        <v>770.61032464728316</v>
      </c>
      <c r="M707" s="306">
        <f t="shared" ca="1" si="306"/>
        <v>-1.4799615997127862</v>
      </c>
      <c r="N707" s="304">
        <f t="shared" ca="1" si="307"/>
        <v>-84.795553504972389</v>
      </c>
      <c r="P707" s="310">
        <f t="shared" ca="1" si="308"/>
        <v>23</v>
      </c>
      <c r="Q707" s="304">
        <f t="shared" ca="1" si="309"/>
        <v>0</v>
      </c>
      <c r="R707" s="306">
        <f t="shared" ca="1" si="310"/>
        <v>0</v>
      </c>
      <c r="S707" s="307">
        <f t="shared" ca="1" si="311"/>
        <v>7.4499999999999984</v>
      </c>
      <c r="T707" s="304">
        <f t="shared" ca="1" si="291"/>
        <v>73.084499999999991</v>
      </c>
      <c r="U707" s="311">
        <f t="shared" ca="1" si="292"/>
        <v>0</v>
      </c>
      <c r="V707" s="306">
        <f t="shared" ca="1" si="293"/>
        <v>1.2263724558139677</v>
      </c>
      <c r="W707" s="304">
        <f t="shared" ca="1" si="294"/>
        <v>58.378692339454965</v>
      </c>
      <c r="Y707" s="314" t="str">
        <f t="shared" ca="1" si="312"/>
        <v/>
      </c>
      <c r="Z707" s="315" t="str">
        <f t="shared" ca="1" si="313"/>
        <v/>
      </c>
      <c r="AA707" s="316" t="str">
        <f t="shared" ca="1" si="314"/>
        <v/>
      </c>
      <c r="AC707" s="310" t="e">
        <f t="shared" ca="1" si="315"/>
        <v>#N/A</v>
      </c>
      <c r="AD707" s="323" t="e">
        <f t="shared" ca="1" si="316"/>
        <v>#N/A</v>
      </c>
      <c r="AE707" s="324" t="e">
        <f t="shared" ca="1" si="295"/>
        <v>#N/A</v>
      </c>
      <c r="AG707" s="306">
        <f t="shared" ca="1" si="317"/>
        <v>1.9335247376419638</v>
      </c>
      <c r="AH707" s="304">
        <f t="shared" ca="1" si="318"/>
        <v>-7.8360315259160878</v>
      </c>
    </row>
    <row r="708" spans="1:34" x14ac:dyDescent="0.2">
      <c r="A708" s="347">
        <f t="shared" ca="1" si="296"/>
        <v>1E-4</v>
      </c>
      <c r="B708" s="304">
        <f t="shared" ca="1" si="297"/>
        <v>34.517900000000814</v>
      </c>
      <c r="D708" s="306">
        <f t="shared" ca="1" si="298"/>
        <v>-0.71080850859306055</v>
      </c>
      <c r="E708" s="307">
        <f t="shared" ca="1" si="299"/>
        <v>-2.0062391780852247</v>
      </c>
      <c r="F708" s="304">
        <f t="shared" ca="1" si="300"/>
        <v>2.128437073434958</v>
      </c>
      <c r="G708" s="306">
        <f t="shared" ca="1" si="301"/>
        <v>10.924103129214137</v>
      </c>
      <c r="H708" s="307">
        <f t="shared" ca="1" si="302"/>
        <v>-119.93354649932925</v>
      </c>
      <c r="I708" s="304">
        <f t="shared" ca="1" si="303"/>
        <v>120.43002783809558</v>
      </c>
      <c r="J708" s="306">
        <f t="shared" ca="1" si="304"/>
        <v>770.52896740167785</v>
      </c>
      <c r="K708" s="307">
        <f t="shared" ca="1" si="305"/>
        <v>-11.209441620684887</v>
      </c>
      <c r="L708" s="304">
        <f t="shared" ref="L708:L771" ca="1" si="319">SQRT(pos_x^2+pos_z^2)</f>
        <v>770.61049901136403</v>
      </c>
      <c r="M708" s="306">
        <f t="shared" ca="1" si="306"/>
        <v>-1.4799623386180296</v>
      </c>
      <c r="N708" s="304">
        <f t="shared" ca="1" si="307"/>
        <v>-84.79559584112431</v>
      </c>
      <c r="P708" s="310">
        <f t="shared" ca="1" si="308"/>
        <v>23</v>
      </c>
      <c r="Q708" s="304">
        <f t="shared" ca="1" si="309"/>
        <v>0</v>
      </c>
      <c r="R708" s="306">
        <f t="shared" ca="1" si="310"/>
        <v>0</v>
      </c>
      <c r="S708" s="307">
        <f t="shared" ca="1" si="311"/>
        <v>7.4499999999999984</v>
      </c>
      <c r="T708" s="304">
        <f t="shared" ref="T708:T771" ca="1" si="320">m*g</f>
        <v>73.084499999999991</v>
      </c>
      <c r="U708" s="311">
        <f t="shared" ref="U708:U771" ca="1" si="321">IF(pos_xz&lt;L_rampe,Poids*COS(Beta),0)</f>
        <v>0</v>
      </c>
      <c r="V708" s="306">
        <f t="shared" ref="V708:V771" ca="1" si="322">Rho_moyen*(20000-Alt_rampe-pos_z)/(20000+Alt_rampe+pos_z)</f>
        <v>1.2263739266460605</v>
      </c>
      <c r="W708" s="304">
        <f t="shared" ref="W708:W771" ca="1" si="323">1/2*Rho*Sref*Cx*vit_xz^2</f>
        <v>58.378949808499982</v>
      </c>
      <c r="Y708" s="314" t="str">
        <f t="shared" ca="1" si="312"/>
        <v/>
      </c>
      <c r="Z708" s="315" t="str">
        <f t="shared" ca="1" si="313"/>
        <v/>
      </c>
      <c r="AA708" s="316" t="str">
        <f t="shared" ca="1" si="314"/>
        <v/>
      </c>
      <c r="AC708" s="310" t="e">
        <f t="shared" ca="1" si="315"/>
        <v>#N/A</v>
      </c>
      <c r="AD708" s="323" t="e">
        <f t="shared" ca="1" si="316"/>
        <v>#N/A</v>
      </c>
      <c r="AE708" s="324" t="e">
        <f t="shared" ref="AE708:AE771" ca="1" si="324">IF(t&lt;T_para, pos_z, NA())</f>
        <v>#N/A</v>
      </c>
      <c r="AG708" s="306">
        <f t="shared" ca="1" si="317"/>
        <v>1.9334908352592493</v>
      </c>
      <c r="AH708" s="304">
        <f t="shared" ca="1" si="318"/>
        <v>-7.8360660858328828</v>
      </c>
    </row>
    <row r="709" spans="1:34" x14ac:dyDescent="0.2">
      <c r="A709" s="347">
        <f t="shared" ref="A709:A772" ca="1" si="325">IF(B708+0.01&lt;=T_ini+ROUNDUP(Temps_fin_propu,0), 0.01, IF(K708&gt;0, 0.1, 0.0001))</f>
        <v>1E-4</v>
      </c>
      <c r="B709" s="304">
        <f t="shared" ref="B709:B772" ca="1" si="326">B708+pas</f>
        <v>34.518000000000818</v>
      </c>
      <c r="D709" s="306">
        <f t="shared" ref="D709:D772" ca="1" si="327">IF(AND(L708&lt;L_rampe,Poussee&lt;Poids*SIN(M708)),0,(-W708+Poussee)/m*COS(M708)-U708/m*SIN(M708))</f>
        <v>-0.71080587722465294</v>
      </c>
      <c r="E709" s="307">
        <f t="shared" ref="E709:E772" ca="1" si="328">IF(AND(L708&lt;L_rampe,Poussee&lt;Poids*SIN(M708)),0,(-W708+Poussee)/m*SIN(M708)+U708/m*COS(M708)-Poids/m)</f>
        <v>-2.0062042357382808</v>
      </c>
      <c r="F709" s="304">
        <f t="shared" ref="F709:F772" ca="1" si="329">SQRT(acc_x^2+acc_z^2)</f>
        <v>2.1284032584525252</v>
      </c>
      <c r="G709" s="306">
        <f t="shared" ref="G709:G772" ca="1" si="330">G708+acc_x*pas</f>
        <v>10.924032048626414</v>
      </c>
      <c r="H709" s="307">
        <f t="shared" ref="H709:H772" ca="1" si="331">H708+acc_z*pas</f>
        <v>-119.93374711975282</v>
      </c>
      <c r="I709" s="304">
        <f t="shared" ref="I709:I772" ca="1" si="332">SQRT(vit_x^2+vit_z^2)</f>
        <v>120.43022118382179</v>
      </c>
      <c r="J709" s="306">
        <f t="shared" ref="J709:J772" ca="1" si="333">J708+0.5*(vit_x+G708)*pas*(K708&gt;=0)</f>
        <v>770.52896740167785</v>
      </c>
      <c r="K709" s="307">
        <f t="shared" ref="K709:K772" ca="1" si="334">K708+0.5*(vit_z+H708)*pas</f>
        <v>-11.221434985365841</v>
      </c>
      <c r="L709" s="304">
        <f t="shared" ca="1" si="319"/>
        <v>770.61067356235526</v>
      </c>
      <c r="M709" s="306">
        <f t="shared" ref="M709:M772" ca="1" si="335">IF(AND(L708&gt;L_rampe,G709&gt;0),ATAN2(G709,H709),$M$4)</f>
        <v>-1.4799630775160926</v>
      </c>
      <c r="N709" s="304">
        <f t="shared" ref="N709:N772" ca="1" si="336">DEGREES(Beta)</f>
        <v>-84.795638176864799</v>
      </c>
      <c r="P709" s="310">
        <f t="shared" ref="P709:P772" ca="1" si="337">MATCH(t-pas/2-T_ini,CdP_t)</f>
        <v>23</v>
      </c>
      <c r="Q709" s="304">
        <f t="shared" ref="Q709:Q772" ca="1" si="338">(INDEX(CdP,2,i_P+1)-INDEX(CdP,2,i_P+0))/(INDEX(CdP,1,i_P+1)-INDEX(CdP,1,i_P+0))*(t-pas/2-T_ini-INDEX(CdP,1,i_P+0))+INDEX(CdP,2,i_P+0)</f>
        <v>0</v>
      </c>
      <c r="R709" s="306">
        <f t="shared" ref="R709:R772" ca="1" si="339">Poussee/(g*ISP)</f>
        <v>0</v>
      </c>
      <c r="S709" s="307">
        <f t="shared" ref="S709:S772" ca="1" si="340">S708-Débit*pas</f>
        <v>7.4499999999999984</v>
      </c>
      <c r="T709" s="304">
        <f t="shared" ca="1" si="320"/>
        <v>73.084499999999991</v>
      </c>
      <c r="U709" s="311">
        <f t="shared" ca="1" si="321"/>
        <v>0</v>
      </c>
      <c r="V709" s="306">
        <f t="shared" ca="1" si="322"/>
        <v>1.226375397482379</v>
      </c>
      <c r="W709" s="304">
        <f t="shared" ca="1" si="323"/>
        <v>58.379207275209914</v>
      </c>
      <c r="Y709" s="314" t="str">
        <f t="shared" ref="Y709:Y772" ca="1" si="341">IF(AND(pos_z&lt;=0,K708&gt;0),"Impact balistique","") &amp; IF(AND(H710&lt;0,vit_z&gt;=0),"Apogée","") &amp; IF(AND(Poussee=0,Q708&gt;0),"Fin de propulsion","") &amp; IF(AND(L710&gt;L_rampe,pos_xz&lt;=L_rampe),"Sortie de rampe","")</f>
        <v/>
      </c>
      <c r="Z709" s="315" t="str">
        <f t="shared" ref="Z709:Z772" ca="1" si="342">IF(ABS(t-T_para)&lt;pas/2,"Para","")</f>
        <v/>
      </c>
      <c r="AA709" s="316" t="str">
        <f t="shared" ref="AA709:AA772" ca="1" si="343">IF(ABS(t-T_satellite)&lt;pas/2,"Satellite","")</f>
        <v/>
      </c>
      <c r="AC709" s="310" t="e">
        <f t="shared" ref="AC709:AC772" ca="1" si="344">IF(ABS(t-ROUND(t,0))&lt;0.001,t,NA())</f>
        <v>#N/A</v>
      </c>
      <c r="AD709" s="323" t="e">
        <f t="shared" ref="AD709:AD772" ca="1" si="345">IF(ABS(t-ROUND(t,0))&lt;0.001,pos_x,NA())</f>
        <v>#N/A</v>
      </c>
      <c r="AE709" s="324" t="e">
        <f t="shared" ca="1" si="324"/>
        <v>#N/A</v>
      </c>
      <c r="AG709" s="306">
        <f t="shared" ref="AG709:AG772" ca="1" si="346">IF(AND(L708&lt;L_rampe,Poussee&lt;Poids*SIN(M708)),0,(-W708+Poussee)/m-Poids*SIN(M708)/m)</f>
        <v>1.9334569331782445</v>
      </c>
      <c r="AH709" s="304">
        <f t="shared" ref="AH709:AH772" ca="1" si="347">IF(AND(L708&lt;L_rampe,Poussee&lt;Poids*SIN(M708)), g*SIN(M708), (-W708+Poussee)/m)</f>
        <v>-7.8361006454362405</v>
      </c>
    </row>
    <row r="710" spans="1:34" x14ac:dyDescent="0.2">
      <c r="A710" s="347">
        <f t="shared" ca="1" si="325"/>
        <v>1E-4</v>
      </c>
      <c r="B710" s="304">
        <f t="shared" ca="1" si="326"/>
        <v>34.518100000000821</v>
      </c>
      <c r="D710" s="306">
        <f t="shared" ca="1" si="327"/>
        <v>-0.71080324583259924</v>
      </c>
      <c r="E710" s="307">
        <f t="shared" ca="1" si="328"/>
        <v>-2.0061692937082105</v>
      </c>
      <c r="F710" s="304">
        <f t="shared" ca="1" si="329"/>
        <v>2.1283694438005489</v>
      </c>
      <c r="G710" s="306">
        <f t="shared" ca="1" si="330"/>
        <v>10.923960968301831</v>
      </c>
      <c r="H710" s="307">
        <f t="shared" ca="1" si="331"/>
        <v>-119.9339477366822</v>
      </c>
      <c r="I710" s="304">
        <f t="shared" ca="1" si="332"/>
        <v>120.43041452615779</v>
      </c>
      <c r="J710" s="306">
        <f t="shared" ca="1" si="333"/>
        <v>770.52896740167785</v>
      </c>
      <c r="K710" s="307">
        <f t="shared" ca="1" si="334"/>
        <v>-11.233428370108662</v>
      </c>
      <c r="L710" s="304">
        <f t="shared" ca="1" si="319"/>
        <v>770.61084830025732</v>
      </c>
      <c r="M710" s="306">
        <f t="shared" ca="1" si="335"/>
        <v>-1.4799638164069753</v>
      </c>
      <c r="N710" s="304">
        <f t="shared" ca="1" si="336"/>
        <v>-84.795680512193897</v>
      </c>
      <c r="P710" s="310">
        <f t="shared" ca="1" si="337"/>
        <v>23</v>
      </c>
      <c r="Q710" s="304">
        <f t="shared" ca="1" si="338"/>
        <v>0</v>
      </c>
      <c r="R710" s="306">
        <f t="shared" ca="1" si="339"/>
        <v>0</v>
      </c>
      <c r="S710" s="307">
        <f t="shared" ca="1" si="340"/>
        <v>7.4499999999999984</v>
      </c>
      <c r="T710" s="304">
        <f t="shared" ca="1" si="320"/>
        <v>73.084499999999991</v>
      </c>
      <c r="U710" s="311">
        <f t="shared" ca="1" si="321"/>
        <v>0</v>
      </c>
      <c r="V710" s="306">
        <f t="shared" ca="1" si="322"/>
        <v>1.2263768683229224</v>
      </c>
      <c r="W710" s="304">
        <f t="shared" ca="1" si="323"/>
        <v>58.379464739584691</v>
      </c>
      <c r="Y710" s="314" t="str">
        <f t="shared" ca="1" si="341"/>
        <v/>
      </c>
      <c r="Z710" s="315" t="str">
        <f t="shared" ca="1" si="342"/>
        <v/>
      </c>
      <c r="AA710" s="316" t="str">
        <f t="shared" ca="1" si="343"/>
        <v/>
      </c>
      <c r="AC710" s="310" t="e">
        <f t="shared" ca="1" si="344"/>
        <v>#N/A</v>
      </c>
      <c r="AD710" s="323" t="e">
        <f t="shared" ca="1" si="345"/>
        <v>#N/A</v>
      </c>
      <c r="AE710" s="324" t="e">
        <f t="shared" ca="1" si="324"/>
        <v>#N/A</v>
      </c>
      <c r="AG710" s="306">
        <f t="shared" ca="1" si="346"/>
        <v>1.9334230313989496</v>
      </c>
      <c r="AH710" s="304">
        <f t="shared" ca="1" si="347"/>
        <v>-7.8361352047261645</v>
      </c>
    </row>
    <row r="711" spans="1:34" x14ac:dyDescent="0.2">
      <c r="A711" s="347">
        <f t="shared" ca="1" si="325"/>
        <v>1E-4</v>
      </c>
      <c r="B711" s="304">
        <f t="shared" ca="1" si="326"/>
        <v>34.518200000000824</v>
      </c>
      <c r="D711" s="306">
        <f t="shared" ca="1" si="327"/>
        <v>-0.71080061441689846</v>
      </c>
      <c r="E711" s="307">
        <f t="shared" ca="1" si="328"/>
        <v>-2.0061343519950245</v>
      </c>
      <c r="F711" s="304">
        <f t="shared" ca="1" si="329"/>
        <v>2.128335629479039</v>
      </c>
      <c r="G711" s="306">
        <f t="shared" ca="1" si="330"/>
        <v>10.923889888240389</v>
      </c>
      <c r="H711" s="307">
        <f t="shared" ca="1" si="331"/>
        <v>-119.9341483501174</v>
      </c>
      <c r="I711" s="304">
        <f t="shared" ca="1" si="332"/>
        <v>120.43060786510367</v>
      </c>
      <c r="J711" s="306">
        <f t="shared" ca="1" si="333"/>
        <v>770.52896740167785</v>
      </c>
      <c r="K711" s="307">
        <f t="shared" ca="1" si="334"/>
        <v>-11.245421774913002</v>
      </c>
      <c r="L711" s="304">
        <f t="shared" ca="1" si="319"/>
        <v>770.61102322507145</v>
      </c>
      <c r="M711" s="306">
        <f t="shared" ca="1" si="335"/>
        <v>-1.4799645552906777</v>
      </c>
      <c r="N711" s="304">
        <f t="shared" ca="1" si="336"/>
        <v>-84.795722847111605</v>
      </c>
      <c r="P711" s="310">
        <f t="shared" ca="1" si="337"/>
        <v>23</v>
      </c>
      <c r="Q711" s="304">
        <f t="shared" ca="1" si="338"/>
        <v>0</v>
      </c>
      <c r="R711" s="306">
        <f t="shared" ca="1" si="339"/>
        <v>0</v>
      </c>
      <c r="S711" s="307">
        <f t="shared" ca="1" si="340"/>
        <v>7.4499999999999984</v>
      </c>
      <c r="T711" s="304">
        <f t="shared" ca="1" si="320"/>
        <v>73.084499999999991</v>
      </c>
      <c r="U711" s="311">
        <f t="shared" ca="1" si="321"/>
        <v>0</v>
      </c>
      <c r="V711" s="306">
        <f t="shared" ca="1" si="322"/>
        <v>1.2263783391676915</v>
      </c>
      <c r="W711" s="304">
        <f t="shared" ca="1" si="323"/>
        <v>58.379722201624411</v>
      </c>
      <c r="Y711" s="314" t="str">
        <f t="shared" ca="1" si="341"/>
        <v/>
      </c>
      <c r="Z711" s="315" t="str">
        <f t="shared" ca="1" si="342"/>
        <v/>
      </c>
      <c r="AA711" s="316" t="str">
        <f t="shared" ca="1" si="343"/>
        <v/>
      </c>
      <c r="AC711" s="310" t="e">
        <f t="shared" ca="1" si="344"/>
        <v>#N/A</v>
      </c>
      <c r="AD711" s="323" t="e">
        <f t="shared" ca="1" si="345"/>
        <v>#N/A</v>
      </c>
      <c r="AE711" s="324" t="e">
        <f t="shared" ca="1" si="324"/>
        <v>#N/A</v>
      </c>
      <c r="AG711" s="306">
        <f t="shared" ca="1" si="346"/>
        <v>1.9333891299213759</v>
      </c>
      <c r="AH711" s="304">
        <f t="shared" ca="1" si="347"/>
        <v>-7.8361697637026451</v>
      </c>
    </row>
    <row r="712" spans="1:34" x14ac:dyDescent="0.2">
      <c r="A712" s="347">
        <f t="shared" ca="1" si="325"/>
        <v>1E-4</v>
      </c>
      <c r="B712" s="304">
        <f t="shared" ca="1" si="326"/>
        <v>34.518300000000828</v>
      </c>
      <c r="D712" s="306">
        <f t="shared" ca="1" si="327"/>
        <v>-0.71079798297755326</v>
      </c>
      <c r="E712" s="307">
        <f t="shared" ca="1" si="328"/>
        <v>-2.0060994105987087</v>
      </c>
      <c r="F712" s="304">
        <f t="shared" ca="1" si="329"/>
        <v>2.1283018154879829</v>
      </c>
      <c r="G712" s="306">
        <f t="shared" ca="1" si="330"/>
        <v>10.923818808442091</v>
      </c>
      <c r="H712" s="307">
        <f t="shared" ca="1" si="331"/>
        <v>-119.93434896005846</v>
      </c>
      <c r="I712" s="304">
        <f t="shared" ca="1" si="332"/>
        <v>120.43080120065942</v>
      </c>
      <c r="J712" s="306">
        <f t="shared" ca="1" si="333"/>
        <v>770.52896740167785</v>
      </c>
      <c r="K712" s="307">
        <f t="shared" ca="1" si="334"/>
        <v>-11.25741519977851</v>
      </c>
      <c r="L712" s="304">
        <f t="shared" ca="1" si="319"/>
        <v>770.61119833679822</v>
      </c>
      <c r="M712" s="306">
        <f t="shared" ca="1" si="335"/>
        <v>-1.4799652941672001</v>
      </c>
      <c r="N712" s="304">
        <f t="shared" ca="1" si="336"/>
        <v>-84.795765181617924</v>
      </c>
      <c r="P712" s="310">
        <f t="shared" ca="1" si="337"/>
        <v>23</v>
      </c>
      <c r="Q712" s="304">
        <f t="shared" ca="1" si="338"/>
        <v>0</v>
      </c>
      <c r="R712" s="306">
        <f t="shared" ca="1" si="339"/>
        <v>0</v>
      </c>
      <c r="S712" s="307">
        <f t="shared" ca="1" si="340"/>
        <v>7.4499999999999984</v>
      </c>
      <c r="T712" s="304">
        <f t="shared" ca="1" si="320"/>
        <v>73.084499999999991</v>
      </c>
      <c r="U712" s="311">
        <f t="shared" ca="1" si="321"/>
        <v>0</v>
      </c>
      <c r="V712" s="306">
        <f t="shared" ca="1" si="322"/>
        <v>1.2263798100166858</v>
      </c>
      <c r="W712" s="304">
        <f t="shared" ca="1" si="323"/>
        <v>58.379979661329017</v>
      </c>
      <c r="Y712" s="314" t="str">
        <f t="shared" ca="1" si="341"/>
        <v/>
      </c>
      <c r="Z712" s="315" t="str">
        <f t="shared" ca="1" si="342"/>
        <v/>
      </c>
      <c r="AA712" s="316" t="str">
        <f t="shared" ca="1" si="343"/>
        <v/>
      </c>
      <c r="AC712" s="310" t="e">
        <f t="shared" ca="1" si="344"/>
        <v>#N/A</v>
      </c>
      <c r="AD712" s="323" t="e">
        <f t="shared" ca="1" si="345"/>
        <v>#N/A</v>
      </c>
      <c r="AE712" s="324" t="e">
        <f t="shared" ca="1" si="324"/>
        <v>#N/A</v>
      </c>
      <c r="AG712" s="306">
        <f t="shared" ca="1" si="346"/>
        <v>1.9333552287455111</v>
      </c>
      <c r="AH712" s="304">
        <f t="shared" ca="1" si="347"/>
        <v>-7.8362043223656945</v>
      </c>
    </row>
    <row r="713" spans="1:34" x14ac:dyDescent="0.2">
      <c r="A713" s="347">
        <f t="shared" ca="1" si="325"/>
        <v>1E-4</v>
      </c>
      <c r="B713" s="304">
        <f t="shared" ca="1" si="326"/>
        <v>34.518400000000831</v>
      </c>
      <c r="D713" s="306">
        <f t="shared" ca="1" si="327"/>
        <v>-0.71079535151456252</v>
      </c>
      <c r="E713" s="307">
        <f t="shared" ca="1" si="328"/>
        <v>-2.00606446951927</v>
      </c>
      <c r="F713" s="304">
        <f t="shared" ca="1" si="329"/>
        <v>2.1282680018273874</v>
      </c>
      <c r="G713" s="306">
        <f t="shared" ca="1" si="330"/>
        <v>10.923747728906939</v>
      </c>
      <c r="H713" s="307">
        <f t="shared" ca="1" si="331"/>
        <v>-119.93454956650541</v>
      </c>
      <c r="I713" s="304">
        <f t="shared" ca="1" si="332"/>
        <v>120.43099453282507</v>
      </c>
      <c r="J713" s="306">
        <f t="shared" ca="1" si="333"/>
        <v>770.52896740167785</v>
      </c>
      <c r="K713" s="307">
        <f t="shared" ca="1" si="334"/>
        <v>-11.269408644704839</v>
      </c>
      <c r="L713" s="304">
        <f t="shared" ca="1" si="319"/>
        <v>770.61137363543844</v>
      </c>
      <c r="M713" s="306">
        <f t="shared" ca="1" si="335"/>
        <v>-1.4799660330365425</v>
      </c>
      <c r="N713" s="304">
        <f t="shared" ca="1" si="336"/>
        <v>-84.795807515712852</v>
      </c>
      <c r="P713" s="310">
        <f t="shared" ca="1" si="337"/>
        <v>23</v>
      </c>
      <c r="Q713" s="304">
        <f t="shared" ca="1" si="338"/>
        <v>0</v>
      </c>
      <c r="R713" s="306">
        <f t="shared" ca="1" si="339"/>
        <v>0</v>
      </c>
      <c r="S713" s="307">
        <f t="shared" ca="1" si="340"/>
        <v>7.4499999999999984</v>
      </c>
      <c r="T713" s="304">
        <f t="shared" ca="1" si="320"/>
        <v>73.084499999999991</v>
      </c>
      <c r="U713" s="311">
        <f t="shared" ca="1" si="321"/>
        <v>0</v>
      </c>
      <c r="V713" s="306">
        <f t="shared" ca="1" si="322"/>
        <v>1.2263812808699053</v>
      </c>
      <c r="W713" s="304">
        <f t="shared" ca="1" si="323"/>
        <v>58.380237118698503</v>
      </c>
      <c r="Y713" s="314" t="str">
        <f t="shared" ca="1" si="341"/>
        <v/>
      </c>
      <c r="Z713" s="315" t="str">
        <f t="shared" ca="1" si="342"/>
        <v/>
      </c>
      <c r="AA713" s="316" t="str">
        <f t="shared" ca="1" si="343"/>
        <v/>
      </c>
      <c r="AC713" s="310" t="e">
        <f t="shared" ca="1" si="344"/>
        <v>#N/A</v>
      </c>
      <c r="AD713" s="323" t="e">
        <f t="shared" ca="1" si="345"/>
        <v>#N/A</v>
      </c>
      <c r="AE713" s="324" t="e">
        <f t="shared" ca="1" si="324"/>
        <v>#N/A</v>
      </c>
      <c r="AG713" s="306">
        <f t="shared" ca="1" si="346"/>
        <v>1.9333213278713623</v>
      </c>
      <c r="AH713" s="304">
        <f t="shared" ca="1" si="347"/>
        <v>-7.8362388807153058</v>
      </c>
    </row>
    <row r="714" spans="1:34" x14ac:dyDescent="0.2">
      <c r="A714" s="347">
        <f t="shared" ca="1" si="325"/>
        <v>1E-4</v>
      </c>
      <c r="B714" s="304">
        <f t="shared" ca="1" si="326"/>
        <v>34.518500000000834</v>
      </c>
      <c r="D714" s="306">
        <f t="shared" ca="1" si="327"/>
        <v>-0.71079272002792782</v>
      </c>
      <c r="E714" s="307">
        <f t="shared" ca="1" si="328"/>
        <v>-2.0060295287567094</v>
      </c>
      <c r="F714" s="304">
        <f t="shared" ca="1" si="329"/>
        <v>2.1282341884972542</v>
      </c>
      <c r="G714" s="306">
        <f t="shared" ca="1" si="330"/>
        <v>10.923676649634936</v>
      </c>
      <c r="H714" s="307">
        <f t="shared" ca="1" si="331"/>
        <v>-119.93475016945828</v>
      </c>
      <c r="I714" s="304">
        <f t="shared" ca="1" si="332"/>
        <v>120.43118786160068</v>
      </c>
      <c r="J714" s="306">
        <f t="shared" ca="1" si="333"/>
        <v>770.52896740167785</v>
      </c>
      <c r="K714" s="307">
        <f t="shared" ca="1" si="334"/>
        <v>-11.281402109691637</v>
      </c>
      <c r="L714" s="304">
        <f t="shared" ca="1" si="319"/>
        <v>770.611549120993</v>
      </c>
      <c r="M714" s="306">
        <f t="shared" ca="1" si="335"/>
        <v>-1.4799667718987048</v>
      </c>
      <c r="N714" s="304">
        <f t="shared" ca="1" si="336"/>
        <v>-84.79584984939639</v>
      </c>
      <c r="P714" s="310">
        <f t="shared" ca="1" si="337"/>
        <v>23</v>
      </c>
      <c r="Q714" s="304">
        <f t="shared" ca="1" si="338"/>
        <v>0</v>
      </c>
      <c r="R714" s="306">
        <f t="shared" ca="1" si="339"/>
        <v>0</v>
      </c>
      <c r="S714" s="307">
        <f t="shared" ca="1" si="340"/>
        <v>7.4499999999999984</v>
      </c>
      <c r="T714" s="304">
        <f t="shared" ca="1" si="320"/>
        <v>73.084499999999991</v>
      </c>
      <c r="U714" s="311">
        <f t="shared" ca="1" si="321"/>
        <v>0</v>
      </c>
      <c r="V714" s="306">
        <f t="shared" ca="1" si="322"/>
        <v>1.22638275172735</v>
      </c>
      <c r="W714" s="304">
        <f t="shared" ca="1" si="323"/>
        <v>58.380494573732918</v>
      </c>
      <c r="Y714" s="314" t="str">
        <f t="shared" ca="1" si="341"/>
        <v/>
      </c>
      <c r="Z714" s="315" t="str">
        <f t="shared" ca="1" si="342"/>
        <v/>
      </c>
      <c r="AA714" s="316" t="str">
        <f t="shared" ca="1" si="343"/>
        <v/>
      </c>
      <c r="AC714" s="310" t="e">
        <f t="shared" ca="1" si="344"/>
        <v>#N/A</v>
      </c>
      <c r="AD714" s="323" t="e">
        <f t="shared" ca="1" si="345"/>
        <v>#N/A</v>
      </c>
      <c r="AE714" s="324" t="e">
        <f t="shared" ca="1" si="324"/>
        <v>#N/A</v>
      </c>
      <c r="AG714" s="306">
        <f t="shared" ca="1" si="346"/>
        <v>1.933287427298926</v>
      </c>
      <c r="AH714" s="304">
        <f t="shared" ca="1" si="347"/>
        <v>-7.836273438751479</v>
      </c>
    </row>
    <row r="715" spans="1:34" x14ac:dyDescent="0.2">
      <c r="A715" s="347">
        <f t="shared" ca="1" si="325"/>
        <v>1E-4</v>
      </c>
      <c r="B715" s="304">
        <f t="shared" ca="1" si="326"/>
        <v>34.518600000000838</v>
      </c>
      <c r="D715" s="306">
        <f t="shared" ca="1" si="327"/>
        <v>-0.71079008851765102</v>
      </c>
      <c r="E715" s="307">
        <f t="shared" ca="1" si="328"/>
        <v>-2.0059945883110233</v>
      </c>
      <c r="F715" s="304">
        <f t="shared" ca="1" si="329"/>
        <v>2.1282003754975802</v>
      </c>
      <c r="G715" s="306">
        <f t="shared" ca="1" si="330"/>
        <v>10.923605570626085</v>
      </c>
      <c r="H715" s="307">
        <f t="shared" ca="1" si="331"/>
        <v>-119.93495076891712</v>
      </c>
      <c r="I715" s="304">
        <f t="shared" ca="1" si="332"/>
        <v>120.43138118698626</v>
      </c>
      <c r="J715" s="306">
        <f t="shared" ca="1" si="333"/>
        <v>770.52896740167785</v>
      </c>
      <c r="K715" s="307">
        <f t="shared" ca="1" si="334"/>
        <v>-11.293395594738556</v>
      </c>
      <c r="L715" s="304">
        <f t="shared" ca="1" si="319"/>
        <v>770.61172479346249</v>
      </c>
      <c r="M715" s="306">
        <f t="shared" ca="1" si="335"/>
        <v>-1.4799675107536874</v>
      </c>
      <c r="N715" s="304">
        <f t="shared" ca="1" si="336"/>
        <v>-84.795892182668567</v>
      </c>
      <c r="P715" s="310">
        <f t="shared" ca="1" si="337"/>
        <v>23</v>
      </c>
      <c r="Q715" s="304">
        <f t="shared" ca="1" si="338"/>
        <v>0</v>
      </c>
      <c r="R715" s="306">
        <f t="shared" ca="1" si="339"/>
        <v>0</v>
      </c>
      <c r="S715" s="307">
        <f t="shared" ca="1" si="340"/>
        <v>7.4499999999999984</v>
      </c>
      <c r="T715" s="304">
        <f t="shared" ca="1" si="320"/>
        <v>73.084499999999991</v>
      </c>
      <c r="U715" s="311">
        <f t="shared" ca="1" si="321"/>
        <v>0</v>
      </c>
      <c r="V715" s="306">
        <f t="shared" ca="1" si="322"/>
        <v>1.2263842225890198</v>
      </c>
      <c r="W715" s="304">
        <f t="shared" ca="1" si="323"/>
        <v>58.380752026432233</v>
      </c>
      <c r="Y715" s="314" t="str">
        <f t="shared" ca="1" si="341"/>
        <v/>
      </c>
      <c r="Z715" s="315" t="str">
        <f t="shared" ca="1" si="342"/>
        <v/>
      </c>
      <c r="AA715" s="316" t="str">
        <f t="shared" ca="1" si="343"/>
        <v/>
      </c>
      <c r="AC715" s="310" t="e">
        <f t="shared" ca="1" si="344"/>
        <v>#N/A</v>
      </c>
      <c r="AD715" s="323" t="e">
        <f t="shared" ca="1" si="345"/>
        <v>#N/A</v>
      </c>
      <c r="AE715" s="324" t="e">
        <f t="shared" ca="1" si="324"/>
        <v>#N/A</v>
      </c>
      <c r="AG715" s="306">
        <f t="shared" ca="1" si="346"/>
        <v>1.933253527028203</v>
      </c>
      <c r="AH715" s="304">
        <f t="shared" ca="1" si="347"/>
        <v>-7.8363079964742184</v>
      </c>
    </row>
    <row r="716" spans="1:34" x14ac:dyDescent="0.2">
      <c r="A716" s="347">
        <f t="shared" ca="1" si="325"/>
        <v>1E-4</v>
      </c>
      <c r="B716" s="304">
        <f t="shared" ca="1" si="326"/>
        <v>34.518700000000841</v>
      </c>
      <c r="D716" s="306">
        <f t="shared" ca="1" si="327"/>
        <v>-0.71078745698373158</v>
      </c>
      <c r="E716" s="307">
        <f t="shared" ca="1" si="328"/>
        <v>-2.0059596481822108</v>
      </c>
      <c r="F716" s="304">
        <f t="shared" ca="1" si="329"/>
        <v>2.1281665628283655</v>
      </c>
      <c r="G716" s="306">
        <f t="shared" ca="1" si="330"/>
        <v>10.923534491880387</v>
      </c>
      <c r="H716" s="307">
        <f t="shared" ca="1" si="331"/>
        <v>-119.93515136488193</v>
      </c>
      <c r="I716" s="304">
        <f t="shared" ca="1" si="332"/>
        <v>120.43157450898183</v>
      </c>
      <c r="J716" s="306">
        <f t="shared" ca="1" si="333"/>
        <v>770.52896740167785</v>
      </c>
      <c r="K716" s="307">
        <f t="shared" ca="1" si="334"/>
        <v>-11.305389099845245</v>
      </c>
      <c r="L716" s="304">
        <f t="shared" ca="1" si="319"/>
        <v>770.61190065284802</v>
      </c>
      <c r="M716" s="306">
        <f t="shared" ca="1" si="335"/>
        <v>-1.4799682496014903</v>
      </c>
      <c r="N716" s="304">
        <f t="shared" ca="1" si="336"/>
        <v>-84.795934515529368</v>
      </c>
      <c r="P716" s="310">
        <f t="shared" ca="1" si="337"/>
        <v>23</v>
      </c>
      <c r="Q716" s="304">
        <f t="shared" ca="1" si="338"/>
        <v>0</v>
      </c>
      <c r="R716" s="306">
        <f t="shared" ca="1" si="339"/>
        <v>0</v>
      </c>
      <c r="S716" s="307">
        <f t="shared" ca="1" si="340"/>
        <v>7.4499999999999984</v>
      </c>
      <c r="T716" s="304">
        <f t="shared" ca="1" si="320"/>
        <v>73.084499999999991</v>
      </c>
      <c r="U716" s="311">
        <f t="shared" ca="1" si="321"/>
        <v>0</v>
      </c>
      <c r="V716" s="306">
        <f t="shared" ca="1" si="322"/>
        <v>1.2263856934549151</v>
      </c>
      <c r="W716" s="304">
        <f t="shared" ca="1" si="323"/>
        <v>58.381009476796464</v>
      </c>
      <c r="Y716" s="314" t="str">
        <f t="shared" ca="1" si="341"/>
        <v/>
      </c>
      <c r="Z716" s="315" t="str">
        <f t="shared" ca="1" si="342"/>
        <v/>
      </c>
      <c r="AA716" s="316" t="str">
        <f t="shared" ca="1" si="343"/>
        <v/>
      </c>
      <c r="AC716" s="310" t="e">
        <f t="shared" ca="1" si="344"/>
        <v>#N/A</v>
      </c>
      <c r="AD716" s="323" t="e">
        <f t="shared" ca="1" si="345"/>
        <v>#N/A</v>
      </c>
      <c r="AE716" s="324" t="e">
        <f t="shared" ca="1" si="324"/>
        <v>#N/A</v>
      </c>
      <c r="AG716" s="306">
        <f t="shared" ca="1" si="346"/>
        <v>1.9332196270591941</v>
      </c>
      <c r="AH716" s="304">
        <f t="shared" ca="1" si="347"/>
        <v>-7.8363425538835232</v>
      </c>
    </row>
    <row r="717" spans="1:34" x14ac:dyDescent="0.2">
      <c r="A717" s="347">
        <f t="shared" ca="1" si="325"/>
        <v>1E-4</v>
      </c>
      <c r="B717" s="304">
        <f t="shared" ca="1" si="326"/>
        <v>34.518800000000844</v>
      </c>
      <c r="D717" s="306">
        <f t="shared" ca="1" si="327"/>
        <v>-0.71078482542616928</v>
      </c>
      <c r="E717" s="307">
        <f t="shared" ca="1" si="328"/>
        <v>-2.0059247083702729</v>
      </c>
      <c r="F717" s="304">
        <f t="shared" ca="1" si="329"/>
        <v>2.1281327504896104</v>
      </c>
      <c r="G717" s="306">
        <f t="shared" ca="1" si="330"/>
        <v>10.923463413397844</v>
      </c>
      <c r="H717" s="307">
        <f t="shared" ca="1" si="331"/>
        <v>-119.93535195735276</v>
      </c>
      <c r="I717" s="304">
        <f t="shared" ca="1" si="332"/>
        <v>120.43176782758744</v>
      </c>
      <c r="J717" s="306">
        <f t="shared" ca="1" si="333"/>
        <v>770.52896740167785</v>
      </c>
      <c r="K717" s="307">
        <f t="shared" ca="1" si="334"/>
        <v>-11.317382625011357</v>
      </c>
      <c r="L717" s="304">
        <f t="shared" ca="1" si="319"/>
        <v>770.61207669915007</v>
      </c>
      <c r="M717" s="306">
        <f t="shared" ca="1" si="335"/>
        <v>-1.4799689884421134</v>
      </c>
      <c r="N717" s="304">
        <f t="shared" ca="1" si="336"/>
        <v>-84.795976847978807</v>
      </c>
      <c r="P717" s="310">
        <f t="shared" ca="1" si="337"/>
        <v>23</v>
      </c>
      <c r="Q717" s="304">
        <f t="shared" ca="1" si="338"/>
        <v>0</v>
      </c>
      <c r="R717" s="306">
        <f t="shared" ca="1" si="339"/>
        <v>0</v>
      </c>
      <c r="S717" s="307">
        <f t="shared" ca="1" si="340"/>
        <v>7.4499999999999984</v>
      </c>
      <c r="T717" s="304">
        <f t="shared" ca="1" si="320"/>
        <v>73.084499999999991</v>
      </c>
      <c r="U717" s="311">
        <f t="shared" ca="1" si="321"/>
        <v>0</v>
      </c>
      <c r="V717" s="306">
        <f t="shared" ca="1" si="322"/>
        <v>1.2263871643250357</v>
      </c>
      <c r="W717" s="304">
        <f t="shared" ca="1" si="323"/>
        <v>58.381266924825631</v>
      </c>
      <c r="Y717" s="314" t="str">
        <f t="shared" ca="1" si="341"/>
        <v/>
      </c>
      <c r="Z717" s="315" t="str">
        <f t="shared" ca="1" si="342"/>
        <v/>
      </c>
      <c r="AA717" s="316" t="str">
        <f t="shared" ca="1" si="343"/>
        <v/>
      </c>
      <c r="AC717" s="310" t="e">
        <f t="shared" ca="1" si="344"/>
        <v>#N/A</v>
      </c>
      <c r="AD717" s="323" t="e">
        <f t="shared" ca="1" si="345"/>
        <v>#N/A</v>
      </c>
      <c r="AE717" s="324" t="e">
        <f t="shared" ca="1" si="324"/>
        <v>#N/A</v>
      </c>
      <c r="AG717" s="306">
        <f t="shared" ca="1" si="346"/>
        <v>1.9331857273918951</v>
      </c>
      <c r="AH717" s="304">
        <f t="shared" ca="1" si="347"/>
        <v>-7.8363771109793925</v>
      </c>
    </row>
    <row r="718" spans="1:34" x14ac:dyDescent="0.2">
      <c r="A718" s="347">
        <f t="shared" ca="1" si="325"/>
        <v>1E-4</v>
      </c>
      <c r="B718" s="304">
        <f t="shared" ca="1" si="326"/>
        <v>34.518900000000848</v>
      </c>
      <c r="D718" s="306">
        <f t="shared" ca="1" si="327"/>
        <v>-0.71078219384496766</v>
      </c>
      <c r="E718" s="307">
        <f t="shared" ca="1" si="328"/>
        <v>-2.0058897688752051</v>
      </c>
      <c r="F718" s="304">
        <f t="shared" ca="1" si="329"/>
        <v>2.1280989384813123</v>
      </c>
      <c r="G718" s="306">
        <f t="shared" ca="1" si="330"/>
        <v>10.923392335178459</v>
      </c>
      <c r="H718" s="307">
        <f t="shared" ca="1" si="331"/>
        <v>-119.93555254632965</v>
      </c>
      <c r="I718" s="304">
        <f t="shared" ca="1" si="332"/>
        <v>120.4319611428031</v>
      </c>
      <c r="J718" s="306">
        <f t="shared" ca="1" si="333"/>
        <v>770.52896740167785</v>
      </c>
      <c r="K718" s="307">
        <f t="shared" ca="1" si="334"/>
        <v>-11.329376170236541</v>
      </c>
      <c r="L718" s="304">
        <f t="shared" ca="1" si="319"/>
        <v>770.61225293236976</v>
      </c>
      <c r="M718" s="306">
        <f t="shared" ca="1" si="335"/>
        <v>-1.4799697272755572</v>
      </c>
      <c r="N718" s="304">
        <f t="shared" ca="1" si="336"/>
        <v>-84.796019180016899</v>
      </c>
      <c r="P718" s="310">
        <f t="shared" ca="1" si="337"/>
        <v>23</v>
      </c>
      <c r="Q718" s="304">
        <f t="shared" ca="1" si="338"/>
        <v>0</v>
      </c>
      <c r="R718" s="306">
        <f t="shared" ca="1" si="339"/>
        <v>0</v>
      </c>
      <c r="S718" s="307">
        <f t="shared" ca="1" si="340"/>
        <v>7.4499999999999984</v>
      </c>
      <c r="T718" s="304">
        <f t="shared" ca="1" si="320"/>
        <v>73.084499999999991</v>
      </c>
      <c r="U718" s="311">
        <f t="shared" ca="1" si="321"/>
        <v>0</v>
      </c>
      <c r="V718" s="306">
        <f t="shared" ca="1" si="322"/>
        <v>1.2263886351993809</v>
      </c>
      <c r="W718" s="304">
        <f t="shared" ca="1" si="323"/>
        <v>58.381524370519685</v>
      </c>
      <c r="Y718" s="314" t="str">
        <f t="shared" ca="1" si="341"/>
        <v/>
      </c>
      <c r="Z718" s="315" t="str">
        <f t="shared" ca="1" si="342"/>
        <v/>
      </c>
      <c r="AA718" s="316" t="str">
        <f t="shared" ca="1" si="343"/>
        <v/>
      </c>
      <c r="AC718" s="310" t="e">
        <f t="shared" ca="1" si="344"/>
        <v>#N/A</v>
      </c>
      <c r="AD718" s="323" t="e">
        <f t="shared" ca="1" si="345"/>
        <v>#N/A</v>
      </c>
      <c r="AE718" s="324" t="e">
        <f t="shared" ca="1" si="324"/>
        <v>#N/A</v>
      </c>
      <c r="AG718" s="306">
        <f t="shared" ca="1" si="346"/>
        <v>1.9331518280263076</v>
      </c>
      <c r="AH718" s="304">
        <f t="shared" ca="1" si="347"/>
        <v>-7.8364116677618316</v>
      </c>
    </row>
    <row r="719" spans="1:34" x14ac:dyDescent="0.2">
      <c r="A719" s="347">
        <f t="shared" ca="1" si="325"/>
        <v>1E-4</v>
      </c>
      <c r="B719" s="304">
        <f t="shared" ca="1" si="326"/>
        <v>34.519000000000851</v>
      </c>
      <c r="D719" s="306">
        <f t="shared" ca="1" si="327"/>
        <v>-0.71077956224012395</v>
      </c>
      <c r="E719" s="307">
        <f t="shared" ca="1" si="328"/>
        <v>-2.0058548296970153</v>
      </c>
      <c r="F719" s="304">
        <f t="shared" ca="1" si="329"/>
        <v>2.1280651268034783</v>
      </c>
      <c r="G719" s="306">
        <f t="shared" ca="1" si="330"/>
        <v>10.923321257222234</v>
      </c>
      <c r="H719" s="307">
        <f t="shared" ca="1" si="331"/>
        <v>-119.93575313181262</v>
      </c>
      <c r="I719" s="304">
        <f t="shared" ca="1" si="332"/>
        <v>120.43215445462886</v>
      </c>
      <c r="J719" s="306">
        <f t="shared" ca="1" si="333"/>
        <v>770.52896740167785</v>
      </c>
      <c r="K719" s="307">
        <f t="shared" ca="1" si="334"/>
        <v>-11.341369735520448</v>
      </c>
      <c r="L719" s="304">
        <f t="shared" ca="1" si="319"/>
        <v>770.61242935250777</v>
      </c>
      <c r="M719" s="306">
        <f t="shared" ca="1" si="335"/>
        <v>-1.4799704661018214</v>
      </c>
      <c r="N719" s="304">
        <f t="shared" ca="1" si="336"/>
        <v>-84.796061511643629</v>
      </c>
      <c r="P719" s="310">
        <f t="shared" ca="1" si="337"/>
        <v>23</v>
      </c>
      <c r="Q719" s="304">
        <f t="shared" ca="1" si="338"/>
        <v>0</v>
      </c>
      <c r="R719" s="306">
        <f t="shared" ca="1" si="339"/>
        <v>0</v>
      </c>
      <c r="S719" s="307">
        <f t="shared" ca="1" si="340"/>
        <v>7.4499999999999984</v>
      </c>
      <c r="T719" s="304">
        <f t="shared" ca="1" si="320"/>
        <v>73.084499999999991</v>
      </c>
      <c r="U719" s="311">
        <f t="shared" ca="1" si="321"/>
        <v>0</v>
      </c>
      <c r="V719" s="306">
        <f t="shared" ca="1" si="322"/>
        <v>1.2263901060779516</v>
      </c>
      <c r="W719" s="304">
        <f t="shared" ca="1" si="323"/>
        <v>58.381781813878668</v>
      </c>
      <c r="Y719" s="314" t="str">
        <f t="shared" ca="1" si="341"/>
        <v/>
      </c>
      <c r="Z719" s="315" t="str">
        <f t="shared" ca="1" si="342"/>
        <v/>
      </c>
      <c r="AA719" s="316" t="str">
        <f t="shared" ca="1" si="343"/>
        <v/>
      </c>
      <c r="AC719" s="310" t="e">
        <f t="shared" ca="1" si="344"/>
        <v>#N/A</v>
      </c>
      <c r="AD719" s="323" t="e">
        <f t="shared" ca="1" si="345"/>
        <v>#N/A</v>
      </c>
      <c r="AE719" s="324" t="e">
        <f t="shared" ca="1" si="324"/>
        <v>#N/A</v>
      </c>
      <c r="AG719" s="306">
        <f t="shared" ca="1" si="346"/>
        <v>1.9331179289624387</v>
      </c>
      <c r="AH719" s="304">
        <f t="shared" ca="1" si="347"/>
        <v>-7.8364462242308317</v>
      </c>
    </row>
    <row r="720" spans="1:34" x14ac:dyDescent="0.2">
      <c r="A720" s="347">
        <f t="shared" ca="1" si="325"/>
        <v>1E-4</v>
      </c>
      <c r="B720" s="304">
        <f t="shared" ca="1" si="326"/>
        <v>34.519100000000854</v>
      </c>
      <c r="D720" s="306">
        <f t="shared" ca="1" si="327"/>
        <v>-0.71077693061164215</v>
      </c>
      <c r="E720" s="307">
        <f t="shared" ca="1" si="328"/>
        <v>-2.0058198908356992</v>
      </c>
      <c r="F720" s="304">
        <f t="shared" ca="1" si="329"/>
        <v>2.1280313154561057</v>
      </c>
      <c r="G720" s="306">
        <f t="shared" ca="1" si="330"/>
        <v>10.923250179529173</v>
      </c>
      <c r="H720" s="307">
        <f t="shared" ca="1" si="331"/>
        <v>-119.93595371380169</v>
      </c>
      <c r="I720" s="304">
        <f t="shared" ca="1" si="332"/>
        <v>120.43234776306474</v>
      </c>
      <c r="J720" s="306">
        <f t="shared" ca="1" si="333"/>
        <v>770.52896740167785</v>
      </c>
      <c r="K720" s="307">
        <f t="shared" ca="1" si="334"/>
        <v>-11.353363320862728</v>
      </c>
      <c r="L720" s="304">
        <f t="shared" ca="1" si="319"/>
        <v>770.6126059595648</v>
      </c>
      <c r="M720" s="306">
        <f t="shared" ca="1" si="335"/>
        <v>-1.4799712049209064</v>
      </c>
      <c r="N720" s="304">
        <f t="shared" ca="1" si="336"/>
        <v>-84.796103842859026</v>
      </c>
      <c r="P720" s="310">
        <f t="shared" ca="1" si="337"/>
        <v>23</v>
      </c>
      <c r="Q720" s="304">
        <f t="shared" ca="1" si="338"/>
        <v>0</v>
      </c>
      <c r="R720" s="306">
        <f t="shared" ca="1" si="339"/>
        <v>0</v>
      </c>
      <c r="S720" s="307">
        <f t="shared" ca="1" si="340"/>
        <v>7.4499999999999984</v>
      </c>
      <c r="T720" s="304">
        <f t="shared" ca="1" si="320"/>
        <v>73.084499999999991</v>
      </c>
      <c r="U720" s="311">
        <f t="shared" ca="1" si="321"/>
        <v>0</v>
      </c>
      <c r="V720" s="306">
        <f t="shared" ca="1" si="322"/>
        <v>1.2263915769607472</v>
      </c>
      <c r="W720" s="304">
        <f t="shared" ca="1" si="323"/>
        <v>58.382039254902573</v>
      </c>
      <c r="Y720" s="314" t="str">
        <f t="shared" ca="1" si="341"/>
        <v/>
      </c>
      <c r="Z720" s="315" t="str">
        <f t="shared" ca="1" si="342"/>
        <v/>
      </c>
      <c r="AA720" s="316" t="str">
        <f t="shared" ca="1" si="343"/>
        <v/>
      </c>
      <c r="AC720" s="310" t="e">
        <f t="shared" ca="1" si="344"/>
        <v>#N/A</v>
      </c>
      <c r="AD720" s="323" t="e">
        <f t="shared" ca="1" si="345"/>
        <v>#N/A</v>
      </c>
      <c r="AE720" s="324" t="e">
        <f t="shared" ca="1" si="324"/>
        <v>#N/A</v>
      </c>
      <c r="AG720" s="306">
        <f t="shared" ca="1" si="346"/>
        <v>1.9330840302002779</v>
      </c>
      <c r="AH720" s="304">
        <f t="shared" ca="1" si="347"/>
        <v>-7.8364807803863998</v>
      </c>
    </row>
    <row r="721" spans="1:34" x14ac:dyDescent="0.2">
      <c r="A721" s="347">
        <f t="shared" ca="1" si="325"/>
        <v>1E-4</v>
      </c>
      <c r="B721" s="304">
        <f t="shared" ca="1" si="326"/>
        <v>34.519200000000858</v>
      </c>
      <c r="D721" s="306">
        <f t="shared" ca="1" si="327"/>
        <v>-0.71077429895951993</v>
      </c>
      <c r="E721" s="307">
        <f t="shared" ca="1" si="328"/>
        <v>-2.0057849522912541</v>
      </c>
      <c r="F721" s="304">
        <f t="shared" ca="1" si="329"/>
        <v>2.1279975044391914</v>
      </c>
      <c r="G721" s="306">
        <f t="shared" ca="1" si="330"/>
        <v>10.923179102099278</v>
      </c>
      <c r="H721" s="307">
        <f t="shared" ca="1" si="331"/>
        <v>-119.93615429229692</v>
      </c>
      <c r="I721" s="304">
        <f t="shared" ca="1" si="332"/>
        <v>120.43254106811078</v>
      </c>
      <c r="J721" s="306">
        <f t="shared" ca="1" si="333"/>
        <v>770.52896740167785</v>
      </c>
      <c r="K721" s="307">
        <f t="shared" ca="1" si="334"/>
        <v>-11.365356926263033</v>
      </c>
      <c r="L721" s="304">
        <f t="shared" ca="1" si="319"/>
        <v>770.61278275354175</v>
      </c>
      <c r="M721" s="306">
        <f t="shared" ca="1" si="335"/>
        <v>-1.479971943732812</v>
      </c>
      <c r="N721" s="304">
        <f t="shared" ca="1" si="336"/>
        <v>-84.796146173663075</v>
      </c>
      <c r="P721" s="310">
        <f t="shared" ca="1" si="337"/>
        <v>23</v>
      </c>
      <c r="Q721" s="304">
        <f t="shared" ca="1" si="338"/>
        <v>0</v>
      </c>
      <c r="R721" s="306">
        <f t="shared" ca="1" si="339"/>
        <v>0</v>
      </c>
      <c r="S721" s="307">
        <f t="shared" ca="1" si="340"/>
        <v>7.4499999999999984</v>
      </c>
      <c r="T721" s="304">
        <f t="shared" ca="1" si="320"/>
        <v>73.084499999999991</v>
      </c>
      <c r="U721" s="311">
        <f t="shared" ca="1" si="321"/>
        <v>0</v>
      </c>
      <c r="V721" s="306">
        <f t="shared" ca="1" si="322"/>
        <v>1.2263930478477676</v>
      </c>
      <c r="W721" s="304">
        <f t="shared" ca="1" si="323"/>
        <v>58.382296693591414</v>
      </c>
      <c r="Y721" s="314" t="str">
        <f t="shared" ca="1" si="341"/>
        <v/>
      </c>
      <c r="Z721" s="315" t="str">
        <f t="shared" ca="1" si="342"/>
        <v/>
      </c>
      <c r="AA721" s="316" t="str">
        <f t="shared" ca="1" si="343"/>
        <v/>
      </c>
      <c r="AC721" s="310" t="e">
        <f t="shared" ca="1" si="344"/>
        <v>#N/A</v>
      </c>
      <c r="AD721" s="323" t="e">
        <f t="shared" ca="1" si="345"/>
        <v>#N/A</v>
      </c>
      <c r="AE721" s="324" t="e">
        <f t="shared" ca="1" si="324"/>
        <v>#N/A</v>
      </c>
      <c r="AG721" s="306">
        <f t="shared" ca="1" si="346"/>
        <v>1.933050131739833</v>
      </c>
      <c r="AH721" s="304">
        <f t="shared" ca="1" si="347"/>
        <v>-7.8365153362285351</v>
      </c>
    </row>
    <row r="722" spans="1:34" x14ac:dyDescent="0.2">
      <c r="A722" s="347">
        <f t="shared" ca="1" si="325"/>
        <v>1E-4</v>
      </c>
      <c r="B722" s="304">
        <f t="shared" ca="1" si="326"/>
        <v>34.519300000000861</v>
      </c>
      <c r="D722" s="306">
        <f t="shared" ca="1" si="327"/>
        <v>-0.71077166728376051</v>
      </c>
      <c r="E722" s="307">
        <f t="shared" ca="1" si="328"/>
        <v>-2.0057500140636808</v>
      </c>
      <c r="F722" s="304">
        <f t="shared" ca="1" si="329"/>
        <v>2.1279636937527369</v>
      </c>
      <c r="G722" s="306">
        <f t="shared" ca="1" si="330"/>
        <v>10.923108024932549</v>
      </c>
      <c r="H722" s="307">
        <f t="shared" ca="1" si="331"/>
        <v>-119.93635486729832</v>
      </c>
      <c r="I722" s="304">
        <f t="shared" ca="1" si="332"/>
        <v>120.432734369767</v>
      </c>
      <c r="J722" s="306">
        <f t="shared" ca="1" si="333"/>
        <v>770.52896740167785</v>
      </c>
      <c r="K722" s="307">
        <f t="shared" ca="1" si="334"/>
        <v>-11.377350551721012</v>
      </c>
      <c r="L722" s="304">
        <f t="shared" ca="1" si="319"/>
        <v>770.61295973443941</v>
      </c>
      <c r="M722" s="306">
        <f t="shared" ca="1" si="335"/>
        <v>-1.4799726825375388</v>
      </c>
      <c r="N722" s="304">
        <f t="shared" ca="1" si="336"/>
        <v>-84.796188504055806</v>
      </c>
      <c r="P722" s="310">
        <f t="shared" ca="1" si="337"/>
        <v>23</v>
      </c>
      <c r="Q722" s="304">
        <f t="shared" ca="1" si="338"/>
        <v>0</v>
      </c>
      <c r="R722" s="306">
        <f t="shared" ca="1" si="339"/>
        <v>0</v>
      </c>
      <c r="S722" s="307">
        <f t="shared" ca="1" si="340"/>
        <v>7.4499999999999984</v>
      </c>
      <c r="T722" s="304">
        <f t="shared" ca="1" si="320"/>
        <v>73.084499999999991</v>
      </c>
      <c r="U722" s="311">
        <f t="shared" ca="1" si="321"/>
        <v>0</v>
      </c>
      <c r="V722" s="306">
        <f t="shared" ca="1" si="322"/>
        <v>1.2263945187390131</v>
      </c>
      <c r="W722" s="304">
        <f t="shared" ca="1" si="323"/>
        <v>58.382554129945191</v>
      </c>
      <c r="Y722" s="314" t="str">
        <f t="shared" ca="1" si="341"/>
        <v/>
      </c>
      <c r="Z722" s="315" t="str">
        <f t="shared" ca="1" si="342"/>
        <v/>
      </c>
      <c r="AA722" s="316" t="str">
        <f t="shared" ca="1" si="343"/>
        <v/>
      </c>
      <c r="AC722" s="310" t="e">
        <f t="shared" ca="1" si="344"/>
        <v>#N/A</v>
      </c>
      <c r="AD722" s="323" t="e">
        <f t="shared" ca="1" si="345"/>
        <v>#N/A</v>
      </c>
      <c r="AE722" s="324" t="e">
        <f t="shared" ca="1" si="324"/>
        <v>#N/A</v>
      </c>
      <c r="AG722" s="306">
        <f t="shared" ca="1" si="346"/>
        <v>1.9330162335810961</v>
      </c>
      <c r="AH722" s="304">
        <f t="shared" ca="1" si="347"/>
        <v>-7.8365498917572385</v>
      </c>
    </row>
    <row r="723" spans="1:34" x14ac:dyDescent="0.2">
      <c r="A723" s="347">
        <f t="shared" ca="1" si="325"/>
        <v>1E-4</v>
      </c>
      <c r="B723" s="304">
        <f t="shared" ca="1" si="326"/>
        <v>34.519400000000864</v>
      </c>
      <c r="D723" s="306">
        <f t="shared" ca="1" si="327"/>
        <v>-0.71076903558436211</v>
      </c>
      <c r="E723" s="307">
        <f t="shared" ca="1" si="328"/>
        <v>-2.0057150761529785</v>
      </c>
      <c r="F723" s="304">
        <f t="shared" ca="1" si="329"/>
        <v>2.1279298833967424</v>
      </c>
      <c r="G723" s="306">
        <f t="shared" ca="1" si="330"/>
        <v>10.92303694802899</v>
      </c>
      <c r="H723" s="307">
        <f t="shared" ca="1" si="331"/>
        <v>-119.93655543880594</v>
      </c>
      <c r="I723" s="304">
        <f t="shared" ca="1" si="332"/>
        <v>120.43292766803346</v>
      </c>
      <c r="J723" s="306">
        <f t="shared" ca="1" si="333"/>
        <v>770.52896740167785</v>
      </c>
      <c r="K723" s="307">
        <f t="shared" ca="1" si="334"/>
        <v>-11.389344197236317</v>
      </c>
      <c r="L723" s="304">
        <f t="shared" ca="1" si="319"/>
        <v>770.61313690225847</v>
      </c>
      <c r="M723" s="306">
        <f t="shared" ca="1" si="335"/>
        <v>-1.4799734213350864</v>
      </c>
      <c r="N723" s="304">
        <f t="shared" ca="1" si="336"/>
        <v>-84.796230834037189</v>
      </c>
      <c r="P723" s="310">
        <f t="shared" ca="1" si="337"/>
        <v>23</v>
      </c>
      <c r="Q723" s="304">
        <f t="shared" ca="1" si="338"/>
        <v>0</v>
      </c>
      <c r="R723" s="306">
        <f t="shared" ca="1" si="339"/>
        <v>0</v>
      </c>
      <c r="S723" s="307">
        <f t="shared" ca="1" si="340"/>
        <v>7.4499999999999984</v>
      </c>
      <c r="T723" s="304">
        <f t="shared" ca="1" si="320"/>
        <v>73.084499999999991</v>
      </c>
      <c r="U723" s="311">
        <f t="shared" ca="1" si="321"/>
        <v>0</v>
      </c>
      <c r="V723" s="306">
        <f t="shared" ca="1" si="322"/>
        <v>1.2263959896344836</v>
      </c>
      <c r="W723" s="304">
        <f t="shared" ca="1" si="323"/>
        <v>58.382811563963898</v>
      </c>
      <c r="Y723" s="314" t="str">
        <f t="shared" ca="1" si="341"/>
        <v/>
      </c>
      <c r="Z723" s="315" t="str">
        <f t="shared" ca="1" si="342"/>
        <v/>
      </c>
      <c r="AA723" s="316" t="str">
        <f t="shared" ca="1" si="343"/>
        <v/>
      </c>
      <c r="AC723" s="310" t="e">
        <f t="shared" ca="1" si="344"/>
        <v>#N/A</v>
      </c>
      <c r="AD723" s="323" t="e">
        <f t="shared" ca="1" si="345"/>
        <v>#N/A</v>
      </c>
      <c r="AE723" s="324" t="e">
        <f t="shared" ca="1" si="324"/>
        <v>#N/A</v>
      </c>
      <c r="AG723" s="306">
        <f t="shared" ca="1" si="346"/>
        <v>1.9329823357240699</v>
      </c>
      <c r="AH723" s="304">
        <f t="shared" ca="1" si="347"/>
        <v>-7.8365844469725108</v>
      </c>
    </row>
    <row r="724" spans="1:34" x14ac:dyDescent="0.2">
      <c r="A724" s="347">
        <f t="shared" ca="1" si="325"/>
        <v>1E-4</v>
      </c>
      <c r="B724" s="304">
        <f t="shared" ca="1" si="326"/>
        <v>34.519500000000868</v>
      </c>
      <c r="D724" s="306">
        <f t="shared" ca="1" si="327"/>
        <v>-0.71076640386132761</v>
      </c>
      <c r="E724" s="307">
        <f t="shared" ca="1" si="328"/>
        <v>-2.0056801385591472</v>
      </c>
      <c r="F724" s="304">
        <f t="shared" ca="1" si="329"/>
        <v>2.1278960733712076</v>
      </c>
      <c r="G724" s="306">
        <f t="shared" ca="1" si="330"/>
        <v>10.922965871388604</v>
      </c>
      <c r="H724" s="307">
        <f t="shared" ca="1" si="331"/>
        <v>-119.93675600681979</v>
      </c>
      <c r="I724" s="304">
        <f t="shared" ca="1" si="332"/>
        <v>120.43312096291014</v>
      </c>
      <c r="J724" s="306">
        <f t="shared" ca="1" si="333"/>
        <v>770.52896740167785</v>
      </c>
      <c r="K724" s="307">
        <f t="shared" ca="1" si="334"/>
        <v>-11.4013378628086</v>
      </c>
      <c r="L724" s="304">
        <f t="shared" ca="1" si="319"/>
        <v>770.61331425700007</v>
      </c>
      <c r="M724" s="306">
        <f t="shared" ca="1" si="335"/>
        <v>-1.479974160125455</v>
      </c>
      <c r="N724" s="304">
        <f t="shared" ca="1" si="336"/>
        <v>-84.796273163607268</v>
      </c>
      <c r="P724" s="310">
        <f t="shared" ca="1" si="337"/>
        <v>23</v>
      </c>
      <c r="Q724" s="304">
        <f t="shared" ca="1" si="338"/>
        <v>0</v>
      </c>
      <c r="R724" s="306">
        <f t="shared" ca="1" si="339"/>
        <v>0</v>
      </c>
      <c r="S724" s="307">
        <f t="shared" ca="1" si="340"/>
        <v>7.4499999999999984</v>
      </c>
      <c r="T724" s="304">
        <f t="shared" ca="1" si="320"/>
        <v>73.084499999999991</v>
      </c>
      <c r="U724" s="311">
        <f t="shared" ca="1" si="321"/>
        <v>0</v>
      </c>
      <c r="V724" s="306">
        <f t="shared" ca="1" si="322"/>
        <v>1.2263974605341792</v>
      </c>
      <c r="W724" s="304">
        <f t="shared" ca="1" si="323"/>
        <v>58.383068995647555</v>
      </c>
      <c r="Y724" s="314" t="str">
        <f t="shared" ca="1" si="341"/>
        <v/>
      </c>
      <c r="Z724" s="315" t="str">
        <f t="shared" ca="1" si="342"/>
        <v/>
      </c>
      <c r="AA724" s="316" t="str">
        <f t="shared" ca="1" si="343"/>
        <v/>
      </c>
      <c r="AC724" s="310" t="e">
        <f t="shared" ca="1" si="344"/>
        <v>#N/A</v>
      </c>
      <c r="AD724" s="323" t="e">
        <f t="shared" ca="1" si="345"/>
        <v>#N/A</v>
      </c>
      <c r="AE724" s="324" t="e">
        <f t="shared" ca="1" si="324"/>
        <v>#N/A</v>
      </c>
      <c r="AG724" s="306">
        <f t="shared" ca="1" si="346"/>
        <v>1.9329484381687578</v>
      </c>
      <c r="AH724" s="304">
        <f t="shared" ca="1" si="347"/>
        <v>-7.8366190018743502</v>
      </c>
    </row>
    <row r="725" spans="1:34" x14ac:dyDescent="0.2">
      <c r="A725" s="347">
        <f t="shared" ca="1" si="325"/>
        <v>1E-4</v>
      </c>
      <c r="B725" s="304">
        <f t="shared" ca="1" si="326"/>
        <v>34.519600000000871</v>
      </c>
      <c r="D725" s="306">
        <f t="shared" ca="1" si="327"/>
        <v>-0.71076377211465724</v>
      </c>
      <c r="E725" s="307">
        <f t="shared" ca="1" si="328"/>
        <v>-2.0056452012821859</v>
      </c>
      <c r="F725" s="304">
        <f t="shared" ca="1" si="329"/>
        <v>2.1278622636761328</v>
      </c>
      <c r="G725" s="306">
        <f t="shared" ca="1" si="330"/>
        <v>10.922894795011391</v>
      </c>
      <c r="H725" s="307">
        <f t="shared" ca="1" si="331"/>
        <v>-119.93695657133992</v>
      </c>
      <c r="I725" s="304">
        <f t="shared" ca="1" si="332"/>
        <v>120.43331425439709</v>
      </c>
      <c r="J725" s="306">
        <f t="shared" ca="1" si="333"/>
        <v>770.52896740167785</v>
      </c>
      <c r="K725" s="307">
        <f t="shared" ca="1" si="334"/>
        <v>-11.413331548437508</v>
      </c>
      <c r="L725" s="304">
        <f t="shared" ca="1" si="319"/>
        <v>770.61349179866454</v>
      </c>
      <c r="M725" s="306">
        <f t="shared" ca="1" si="335"/>
        <v>-1.4799748989086448</v>
      </c>
      <c r="N725" s="304">
        <f t="shared" ca="1" si="336"/>
        <v>-84.796315492766013</v>
      </c>
      <c r="P725" s="310">
        <f t="shared" ca="1" si="337"/>
        <v>23</v>
      </c>
      <c r="Q725" s="304">
        <f t="shared" ca="1" si="338"/>
        <v>0</v>
      </c>
      <c r="R725" s="306">
        <f t="shared" ca="1" si="339"/>
        <v>0</v>
      </c>
      <c r="S725" s="307">
        <f t="shared" ca="1" si="340"/>
        <v>7.4499999999999984</v>
      </c>
      <c r="T725" s="304">
        <f t="shared" ca="1" si="320"/>
        <v>73.084499999999991</v>
      </c>
      <c r="U725" s="311">
        <f t="shared" ca="1" si="321"/>
        <v>0</v>
      </c>
      <c r="V725" s="306">
        <f t="shared" ca="1" si="322"/>
        <v>1.2263989314380992</v>
      </c>
      <c r="W725" s="304">
        <f t="shared" ca="1" si="323"/>
        <v>58.38332642499612</v>
      </c>
      <c r="Y725" s="314" t="str">
        <f t="shared" ca="1" si="341"/>
        <v/>
      </c>
      <c r="Z725" s="315" t="str">
        <f t="shared" ca="1" si="342"/>
        <v/>
      </c>
      <c r="AA725" s="316" t="str">
        <f t="shared" ca="1" si="343"/>
        <v/>
      </c>
      <c r="AC725" s="310" t="e">
        <f t="shared" ca="1" si="344"/>
        <v>#N/A</v>
      </c>
      <c r="AD725" s="323" t="e">
        <f t="shared" ca="1" si="345"/>
        <v>#N/A</v>
      </c>
      <c r="AE725" s="324" t="e">
        <f t="shared" ca="1" si="324"/>
        <v>#N/A</v>
      </c>
      <c r="AG725" s="306">
        <f t="shared" ca="1" si="346"/>
        <v>1.9329145409151565</v>
      </c>
      <c r="AH725" s="304">
        <f t="shared" ca="1" si="347"/>
        <v>-7.8366535564627604</v>
      </c>
    </row>
    <row r="726" spans="1:34" x14ac:dyDescent="0.2">
      <c r="A726" s="347">
        <f t="shared" ca="1" si="325"/>
        <v>1E-4</v>
      </c>
      <c r="B726" s="304">
        <f t="shared" ca="1" si="326"/>
        <v>34.519700000000874</v>
      </c>
      <c r="D726" s="306">
        <f t="shared" ca="1" si="327"/>
        <v>-0.71076114034435178</v>
      </c>
      <c r="E726" s="307">
        <f t="shared" ca="1" si="328"/>
        <v>-2.0056102643220992</v>
      </c>
      <c r="F726" s="304">
        <f t="shared" ca="1" si="329"/>
        <v>2.1278284543115227</v>
      </c>
      <c r="G726" s="306">
        <f t="shared" ca="1" si="330"/>
        <v>10.922823718897357</v>
      </c>
      <c r="H726" s="307">
        <f t="shared" ca="1" si="331"/>
        <v>-119.93715713236635</v>
      </c>
      <c r="I726" s="304">
        <f t="shared" ca="1" si="332"/>
        <v>120.43350754249435</v>
      </c>
      <c r="J726" s="306">
        <f t="shared" ca="1" si="333"/>
        <v>770.52896740167785</v>
      </c>
      <c r="K726" s="307">
        <f t="shared" ca="1" si="334"/>
        <v>-11.425325254122694</v>
      </c>
      <c r="L726" s="304">
        <f t="shared" ca="1" si="319"/>
        <v>770.61366952725314</v>
      </c>
      <c r="M726" s="306">
        <f t="shared" ca="1" si="335"/>
        <v>-1.479975637684656</v>
      </c>
      <c r="N726" s="304">
        <f t="shared" ca="1" si="336"/>
        <v>-84.796357821513453</v>
      </c>
      <c r="P726" s="310">
        <f t="shared" ca="1" si="337"/>
        <v>23</v>
      </c>
      <c r="Q726" s="304">
        <f t="shared" ca="1" si="338"/>
        <v>0</v>
      </c>
      <c r="R726" s="306">
        <f t="shared" ca="1" si="339"/>
        <v>0</v>
      </c>
      <c r="S726" s="307">
        <f t="shared" ca="1" si="340"/>
        <v>7.4499999999999984</v>
      </c>
      <c r="T726" s="304">
        <f t="shared" ca="1" si="320"/>
        <v>73.084499999999991</v>
      </c>
      <c r="U726" s="311">
        <f t="shared" ca="1" si="321"/>
        <v>0</v>
      </c>
      <c r="V726" s="306">
        <f t="shared" ca="1" si="322"/>
        <v>1.2264004023462449</v>
      </c>
      <c r="W726" s="304">
        <f t="shared" ca="1" si="323"/>
        <v>58.383583852009679</v>
      </c>
      <c r="Y726" s="314" t="str">
        <f t="shared" ca="1" si="341"/>
        <v/>
      </c>
      <c r="Z726" s="315" t="str">
        <f t="shared" ca="1" si="342"/>
        <v/>
      </c>
      <c r="AA726" s="316" t="str">
        <f t="shared" ca="1" si="343"/>
        <v/>
      </c>
      <c r="AC726" s="310" t="e">
        <f t="shared" ca="1" si="344"/>
        <v>#N/A</v>
      </c>
      <c r="AD726" s="323" t="e">
        <f t="shared" ca="1" si="345"/>
        <v>#N/A</v>
      </c>
      <c r="AE726" s="324" t="e">
        <f t="shared" ca="1" si="324"/>
        <v>#N/A</v>
      </c>
      <c r="AG726" s="306">
        <f t="shared" ca="1" si="346"/>
        <v>1.9328806439632675</v>
      </c>
      <c r="AH726" s="304">
        <f t="shared" ca="1" si="347"/>
        <v>-7.836688110737736</v>
      </c>
    </row>
    <row r="727" spans="1:34" x14ac:dyDescent="0.2">
      <c r="A727" s="347">
        <f t="shared" ca="1" si="325"/>
        <v>1E-4</v>
      </c>
      <c r="B727" s="304">
        <f t="shared" ca="1" si="326"/>
        <v>34.519800000000878</v>
      </c>
      <c r="D727" s="306">
        <f t="shared" ca="1" si="327"/>
        <v>-0.71075850855041012</v>
      </c>
      <c r="E727" s="307">
        <f t="shared" ca="1" si="328"/>
        <v>-2.0055753276788755</v>
      </c>
      <c r="F727" s="304">
        <f t="shared" ca="1" si="329"/>
        <v>2.1277946452773659</v>
      </c>
      <c r="G727" s="306">
        <f t="shared" ca="1" si="330"/>
        <v>10.922752643046502</v>
      </c>
      <c r="H727" s="307">
        <f t="shared" ca="1" si="331"/>
        <v>-119.93735768989912</v>
      </c>
      <c r="I727" s="304">
        <f t="shared" ca="1" si="332"/>
        <v>120.43370082720195</v>
      </c>
      <c r="J727" s="306">
        <f t="shared" ca="1" si="333"/>
        <v>770.52896740167785</v>
      </c>
      <c r="K727" s="307">
        <f t="shared" ca="1" si="334"/>
        <v>-11.437318979863807</v>
      </c>
      <c r="L727" s="304">
        <f t="shared" ca="1" si="319"/>
        <v>770.61384744276631</v>
      </c>
      <c r="M727" s="306">
        <f t="shared" ca="1" si="335"/>
        <v>-1.4799763764534886</v>
      </c>
      <c r="N727" s="304">
        <f t="shared" ca="1" si="336"/>
        <v>-84.796400149849603</v>
      </c>
      <c r="P727" s="310">
        <f t="shared" ca="1" si="337"/>
        <v>23</v>
      </c>
      <c r="Q727" s="304">
        <f t="shared" ca="1" si="338"/>
        <v>0</v>
      </c>
      <c r="R727" s="306">
        <f t="shared" ca="1" si="339"/>
        <v>0</v>
      </c>
      <c r="S727" s="307">
        <f t="shared" ca="1" si="340"/>
        <v>7.4499999999999984</v>
      </c>
      <c r="T727" s="304">
        <f t="shared" ca="1" si="320"/>
        <v>73.084499999999991</v>
      </c>
      <c r="U727" s="311">
        <f t="shared" ca="1" si="321"/>
        <v>0</v>
      </c>
      <c r="V727" s="306">
        <f t="shared" ca="1" si="322"/>
        <v>1.226401873258615</v>
      </c>
      <c r="W727" s="304">
        <f t="shared" ca="1" si="323"/>
        <v>58.383841276688159</v>
      </c>
      <c r="Y727" s="314" t="str">
        <f t="shared" ca="1" si="341"/>
        <v/>
      </c>
      <c r="Z727" s="315" t="str">
        <f t="shared" ca="1" si="342"/>
        <v/>
      </c>
      <c r="AA727" s="316" t="str">
        <f t="shared" ca="1" si="343"/>
        <v/>
      </c>
      <c r="AC727" s="310" t="e">
        <f t="shared" ca="1" si="344"/>
        <v>#N/A</v>
      </c>
      <c r="AD727" s="323" t="e">
        <f t="shared" ca="1" si="345"/>
        <v>#N/A</v>
      </c>
      <c r="AE727" s="324" t="e">
        <f t="shared" ca="1" si="324"/>
        <v>#N/A</v>
      </c>
      <c r="AG727" s="306">
        <f t="shared" ca="1" si="346"/>
        <v>1.9328467473130821</v>
      </c>
      <c r="AH727" s="304">
        <f t="shared" ca="1" si="347"/>
        <v>-7.8367226646992876</v>
      </c>
    </row>
    <row r="728" spans="1:34" x14ac:dyDescent="0.2">
      <c r="A728" s="347">
        <f t="shared" ca="1" si="325"/>
        <v>1E-4</v>
      </c>
      <c r="B728" s="304">
        <f t="shared" ca="1" si="326"/>
        <v>34.519900000000881</v>
      </c>
      <c r="D728" s="306">
        <f t="shared" ca="1" si="327"/>
        <v>-0.71075587673283469</v>
      </c>
      <c r="E728" s="307">
        <f t="shared" ca="1" si="328"/>
        <v>-2.0055403913525254</v>
      </c>
      <c r="F728" s="304">
        <f t="shared" ca="1" si="329"/>
        <v>2.1277608365736742</v>
      </c>
      <c r="G728" s="306">
        <f t="shared" ca="1" si="330"/>
        <v>10.922681567458829</v>
      </c>
      <c r="H728" s="307">
        <f t="shared" ca="1" si="331"/>
        <v>-119.93755824393826</v>
      </c>
      <c r="I728" s="304">
        <f t="shared" ca="1" si="332"/>
        <v>120.43389410851991</v>
      </c>
      <c r="J728" s="306">
        <f t="shared" ca="1" si="333"/>
        <v>770.52896740167785</v>
      </c>
      <c r="K728" s="307">
        <f t="shared" ca="1" si="334"/>
        <v>-11.4493127256605</v>
      </c>
      <c r="L728" s="304">
        <f t="shared" ca="1" si="319"/>
        <v>770.6140255452051</v>
      </c>
      <c r="M728" s="306">
        <f t="shared" ca="1" si="335"/>
        <v>-1.4799771152151426</v>
      </c>
      <c r="N728" s="304">
        <f t="shared" ca="1" si="336"/>
        <v>-84.796442477774448</v>
      </c>
      <c r="P728" s="310">
        <f t="shared" ca="1" si="337"/>
        <v>23</v>
      </c>
      <c r="Q728" s="304">
        <f t="shared" ca="1" si="338"/>
        <v>0</v>
      </c>
      <c r="R728" s="306">
        <f t="shared" ca="1" si="339"/>
        <v>0</v>
      </c>
      <c r="S728" s="307">
        <f t="shared" ca="1" si="340"/>
        <v>7.4499999999999984</v>
      </c>
      <c r="T728" s="304">
        <f t="shared" ca="1" si="320"/>
        <v>73.084499999999991</v>
      </c>
      <c r="U728" s="311">
        <f t="shared" ca="1" si="321"/>
        <v>0</v>
      </c>
      <c r="V728" s="306">
        <f t="shared" ca="1" si="322"/>
        <v>1.2264033441752098</v>
      </c>
      <c r="W728" s="304">
        <f t="shared" ca="1" si="323"/>
        <v>58.384098699031583</v>
      </c>
      <c r="Y728" s="314" t="str">
        <f t="shared" ca="1" si="341"/>
        <v/>
      </c>
      <c r="Z728" s="315" t="str">
        <f t="shared" ca="1" si="342"/>
        <v/>
      </c>
      <c r="AA728" s="316" t="str">
        <f t="shared" ca="1" si="343"/>
        <v/>
      </c>
      <c r="AC728" s="310" t="e">
        <f t="shared" ca="1" si="344"/>
        <v>#N/A</v>
      </c>
      <c r="AD728" s="323" t="e">
        <f t="shared" ca="1" si="345"/>
        <v>#N/A</v>
      </c>
      <c r="AE728" s="324" t="e">
        <f t="shared" ca="1" si="324"/>
        <v>#N/A</v>
      </c>
      <c r="AG728" s="306">
        <f t="shared" ca="1" si="346"/>
        <v>1.9328128509646136</v>
      </c>
      <c r="AH728" s="304">
        <f t="shared" ca="1" si="347"/>
        <v>-7.8367572183474055</v>
      </c>
    </row>
    <row r="729" spans="1:34" x14ac:dyDescent="0.2">
      <c r="A729" s="347">
        <f t="shared" ca="1" si="325"/>
        <v>1E-4</v>
      </c>
      <c r="B729" s="304">
        <f t="shared" ca="1" si="326"/>
        <v>34.520000000000884</v>
      </c>
      <c r="D729" s="306">
        <f t="shared" ca="1" si="327"/>
        <v>-0.7107532448916255</v>
      </c>
      <c r="E729" s="307">
        <f t="shared" ca="1" si="328"/>
        <v>-2.0055054553430445</v>
      </c>
      <c r="F729" s="304">
        <f t="shared" ca="1" si="329"/>
        <v>2.1277270282004426</v>
      </c>
      <c r="G729" s="306">
        <f t="shared" ca="1" si="330"/>
        <v>10.922610492134339</v>
      </c>
      <c r="H729" s="307">
        <f t="shared" ca="1" si="331"/>
        <v>-119.93775879448378</v>
      </c>
      <c r="I729" s="304">
        <f t="shared" ca="1" si="332"/>
        <v>120.43408738644825</v>
      </c>
      <c r="J729" s="306">
        <f t="shared" ca="1" si="333"/>
        <v>770.52896740167785</v>
      </c>
      <c r="K729" s="307">
        <f t="shared" ca="1" si="334"/>
        <v>-11.461306491512421</v>
      </c>
      <c r="L729" s="304">
        <f t="shared" ca="1" si="319"/>
        <v>770.61420383457016</v>
      </c>
      <c r="M729" s="306">
        <f t="shared" ca="1" si="335"/>
        <v>-1.4799778539696182</v>
      </c>
      <c r="N729" s="304">
        <f t="shared" ca="1" si="336"/>
        <v>-84.796484805287989</v>
      </c>
      <c r="P729" s="310">
        <f t="shared" ca="1" si="337"/>
        <v>23</v>
      </c>
      <c r="Q729" s="304">
        <f t="shared" ca="1" si="338"/>
        <v>0</v>
      </c>
      <c r="R729" s="306">
        <f t="shared" ca="1" si="339"/>
        <v>0</v>
      </c>
      <c r="S729" s="307">
        <f t="shared" ca="1" si="340"/>
        <v>7.4499999999999984</v>
      </c>
      <c r="T729" s="304">
        <f t="shared" ca="1" si="320"/>
        <v>73.084499999999991</v>
      </c>
      <c r="U729" s="311">
        <f t="shared" ca="1" si="321"/>
        <v>0</v>
      </c>
      <c r="V729" s="306">
        <f t="shared" ca="1" si="322"/>
        <v>1.2264048150960294</v>
      </c>
      <c r="W729" s="304">
        <f t="shared" ca="1" si="323"/>
        <v>58.384356119039971</v>
      </c>
      <c r="Y729" s="314" t="str">
        <f t="shared" ca="1" si="341"/>
        <v/>
      </c>
      <c r="Z729" s="315" t="str">
        <f t="shared" ca="1" si="342"/>
        <v/>
      </c>
      <c r="AA729" s="316" t="str">
        <f t="shared" ca="1" si="343"/>
        <v/>
      </c>
      <c r="AC729" s="310" t="e">
        <f t="shared" ca="1" si="344"/>
        <v>#N/A</v>
      </c>
      <c r="AD729" s="323" t="e">
        <f t="shared" ca="1" si="345"/>
        <v>#N/A</v>
      </c>
      <c r="AE729" s="324" t="e">
        <f t="shared" ca="1" si="324"/>
        <v>#N/A</v>
      </c>
      <c r="AG729" s="306">
        <f t="shared" ca="1" si="346"/>
        <v>1.9327789549178584</v>
      </c>
      <c r="AH729" s="304">
        <f t="shared" ca="1" si="347"/>
        <v>-7.8367917716820932</v>
      </c>
    </row>
    <row r="730" spans="1:34" x14ac:dyDescent="0.2">
      <c r="A730" s="347">
        <f t="shared" ca="1" si="325"/>
        <v>1E-4</v>
      </c>
      <c r="B730" s="304">
        <f t="shared" ca="1" si="326"/>
        <v>34.520100000000888</v>
      </c>
      <c r="D730" s="306">
        <f t="shared" ca="1" si="327"/>
        <v>-0.71075061302678433</v>
      </c>
      <c r="E730" s="307">
        <f t="shared" ca="1" si="328"/>
        <v>-2.005470519650431</v>
      </c>
      <c r="F730" s="304">
        <f t="shared" ca="1" si="329"/>
        <v>2.127693220157671</v>
      </c>
      <c r="G730" s="306">
        <f t="shared" ca="1" si="330"/>
        <v>10.922539417073036</v>
      </c>
      <c r="H730" s="307">
        <f t="shared" ca="1" si="331"/>
        <v>-119.93795934153574</v>
      </c>
      <c r="I730" s="304">
        <f t="shared" ca="1" si="332"/>
        <v>120.43428066098703</v>
      </c>
      <c r="J730" s="306">
        <f t="shared" ca="1" si="333"/>
        <v>770.52896740167785</v>
      </c>
      <c r="K730" s="307">
        <f t="shared" ca="1" si="334"/>
        <v>-11.473300277419222</v>
      </c>
      <c r="L730" s="304">
        <f t="shared" ca="1" si="319"/>
        <v>770.61438231086231</v>
      </c>
      <c r="M730" s="306">
        <f t="shared" ca="1" si="335"/>
        <v>-1.4799785927169156</v>
      </c>
      <c r="N730" s="304">
        <f t="shared" ca="1" si="336"/>
        <v>-84.796527132390253</v>
      </c>
      <c r="P730" s="310">
        <f t="shared" ca="1" si="337"/>
        <v>23</v>
      </c>
      <c r="Q730" s="304">
        <f t="shared" ca="1" si="338"/>
        <v>0</v>
      </c>
      <c r="R730" s="306">
        <f t="shared" ca="1" si="339"/>
        <v>0</v>
      </c>
      <c r="S730" s="307">
        <f t="shared" ca="1" si="340"/>
        <v>7.4499999999999984</v>
      </c>
      <c r="T730" s="304">
        <f t="shared" ca="1" si="320"/>
        <v>73.084499999999991</v>
      </c>
      <c r="U730" s="311">
        <f t="shared" ca="1" si="321"/>
        <v>0</v>
      </c>
      <c r="V730" s="306">
        <f t="shared" ca="1" si="322"/>
        <v>1.2264062860210738</v>
      </c>
      <c r="W730" s="304">
        <f t="shared" ca="1" si="323"/>
        <v>58.384613536713303</v>
      </c>
      <c r="Y730" s="314" t="str">
        <f t="shared" ca="1" si="341"/>
        <v/>
      </c>
      <c r="Z730" s="315" t="str">
        <f t="shared" ca="1" si="342"/>
        <v/>
      </c>
      <c r="AA730" s="316" t="str">
        <f t="shared" ca="1" si="343"/>
        <v/>
      </c>
      <c r="AC730" s="310" t="e">
        <f t="shared" ca="1" si="344"/>
        <v>#N/A</v>
      </c>
      <c r="AD730" s="323" t="e">
        <f t="shared" ca="1" si="345"/>
        <v>#N/A</v>
      </c>
      <c r="AE730" s="324" t="e">
        <f t="shared" ca="1" si="324"/>
        <v>#N/A</v>
      </c>
      <c r="AG730" s="306">
        <f t="shared" ca="1" si="346"/>
        <v>1.9327450591728104</v>
      </c>
      <c r="AH730" s="304">
        <f t="shared" ca="1" si="347"/>
        <v>-7.8368263247033534</v>
      </c>
    </row>
    <row r="731" spans="1:34" x14ac:dyDescent="0.2">
      <c r="A731" s="347">
        <f t="shared" ca="1" si="325"/>
        <v>1E-4</v>
      </c>
      <c r="B731" s="304">
        <f t="shared" ca="1" si="326"/>
        <v>34.520200000000891</v>
      </c>
      <c r="D731" s="306">
        <f t="shared" ca="1" si="327"/>
        <v>-0.71074798113831039</v>
      </c>
      <c r="E731" s="307">
        <f t="shared" ca="1" si="328"/>
        <v>-2.0054355842746867</v>
      </c>
      <c r="F731" s="304">
        <f t="shared" ca="1" si="329"/>
        <v>2.1276594124453609</v>
      </c>
      <c r="G731" s="306">
        <f t="shared" ca="1" si="330"/>
        <v>10.922468342274922</v>
      </c>
      <c r="H731" s="307">
        <f t="shared" ca="1" si="331"/>
        <v>-119.93815988509417</v>
      </c>
      <c r="I731" s="304">
        <f t="shared" ca="1" si="332"/>
        <v>120.43447393213627</v>
      </c>
      <c r="J731" s="306">
        <f t="shared" ca="1" si="333"/>
        <v>770.52896740167785</v>
      </c>
      <c r="K731" s="307">
        <f t="shared" ca="1" si="334"/>
        <v>-11.485294083380554</v>
      </c>
      <c r="L731" s="304">
        <f t="shared" ca="1" si="319"/>
        <v>770.61456097408234</v>
      </c>
      <c r="M731" s="306">
        <f t="shared" ca="1" si="335"/>
        <v>-1.4799793314570346</v>
      </c>
      <c r="N731" s="304">
        <f t="shared" ca="1" si="336"/>
        <v>-84.79656945908124</v>
      </c>
      <c r="P731" s="310">
        <f t="shared" ca="1" si="337"/>
        <v>23</v>
      </c>
      <c r="Q731" s="304">
        <f t="shared" ca="1" si="338"/>
        <v>0</v>
      </c>
      <c r="R731" s="306">
        <f t="shared" ca="1" si="339"/>
        <v>0</v>
      </c>
      <c r="S731" s="307">
        <f t="shared" ca="1" si="340"/>
        <v>7.4499999999999984</v>
      </c>
      <c r="T731" s="304">
        <f t="shared" ca="1" si="320"/>
        <v>73.084499999999991</v>
      </c>
      <c r="U731" s="311">
        <f t="shared" ca="1" si="321"/>
        <v>0</v>
      </c>
      <c r="V731" s="306">
        <f t="shared" ca="1" si="322"/>
        <v>1.2264077569503429</v>
      </c>
      <c r="W731" s="304">
        <f t="shared" ca="1" si="323"/>
        <v>58.384870952051607</v>
      </c>
      <c r="Y731" s="314" t="str">
        <f t="shared" ca="1" si="341"/>
        <v/>
      </c>
      <c r="Z731" s="315" t="str">
        <f t="shared" ca="1" si="342"/>
        <v/>
      </c>
      <c r="AA731" s="316" t="str">
        <f t="shared" ca="1" si="343"/>
        <v/>
      </c>
      <c r="AC731" s="310" t="e">
        <f t="shared" ca="1" si="344"/>
        <v>#N/A</v>
      </c>
      <c r="AD731" s="323" t="e">
        <f t="shared" ca="1" si="345"/>
        <v>#N/A</v>
      </c>
      <c r="AE731" s="324" t="e">
        <f t="shared" ca="1" si="324"/>
        <v>#N/A</v>
      </c>
      <c r="AG731" s="306">
        <f t="shared" ca="1" si="346"/>
        <v>1.932711163729472</v>
      </c>
      <c r="AH731" s="304">
        <f t="shared" ca="1" si="347"/>
        <v>-7.8368608774111834</v>
      </c>
    </row>
    <row r="732" spans="1:34" x14ac:dyDescent="0.2">
      <c r="A732" s="347">
        <f t="shared" ca="1" si="325"/>
        <v>1E-4</v>
      </c>
      <c r="B732" s="304">
        <f t="shared" ca="1" si="326"/>
        <v>34.520300000000894</v>
      </c>
      <c r="D732" s="306">
        <f t="shared" ca="1" si="327"/>
        <v>-0.71074534922620558</v>
      </c>
      <c r="E732" s="307">
        <f t="shared" ca="1" si="328"/>
        <v>-2.0054006492158098</v>
      </c>
      <c r="F732" s="304">
        <f t="shared" ca="1" si="329"/>
        <v>2.1276256050635114</v>
      </c>
      <c r="G732" s="306">
        <f t="shared" ca="1" si="330"/>
        <v>10.922397267739999</v>
      </c>
      <c r="H732" s="307">
        <f t="shared" ca="1" si="331"/>
        <v>-119.93836042515909</v>
      </c>
      <c r="I732" s="304">
        <f t="shared" ca="1" si="332"/>
        <v>120.43466719989598</v>
      </c>
      <c r="J732" s="306">
        <f t="shared" ca="1" si="333"/>
        <v>770.52896740167785</v>
      </c>
      <c r="K732" s="307">
        <f t="shared" ca="1" si="334"/>
        <v>-11.497287909396066</v>
      </c>
      <c r="L732" s="304">
        <f t="shared" ca="1" si="319"/>
        <v>770.61473982423115</v>
      </c>
      <c r="M732" s="306">
        <f t="shared" ca="1" si="335"/>
        <v>-1.4799800701899757</v>
      </c>
      <c r="N732" s="304">
        <f t="shared" ca="1" si="336"/>
        <v>-84.796611785360952</v>
      </c>
      <c r="P732" s="310">
        <f t="shared" ca="1" si="337"/>
        <v>23</v>
      </c>
      <c r="Q732" s="304">
        <f t="shared" ca="1" si="338"/>
        <v>0</v>
      </c>
      <c r="R732" s="306">
        <f t="shared" ca="1" si="339"/>
        <v>0</v>
      </c>
      <c r="S732" s="307">
        <f t="shared" ca="1" si="340"/>
        <v>7.4499999999999984</v>
      </c>
      <c r="T732" s="304">
        <f t="shared" ca="1" si="320"/>
        <v>73.084499999999991</v>
      </c>
      <c r="U732" s="311">
        <f t="shared" ca="1" si="321"/>
        <v>0</v>
      </c>
      <c r="V732" s="306">
        <f t="shared" ca="1" si="322"/>
        <v>1.2264092278838366</v>
      </c>
      <c r="W732" s="304">
        <f t="shared" ca="1" si="323"/>
        <v>58.385128365054861</v>
      </c>
      <c r="Y732" s="314" t="str">
        <f t="shared" ca="1" si="341"/>
        <v/>
      </c>
      <c r="Z732" s="315" t="str">
        <f t="shared" ca="1" si="342"/>
        <v/>
      </c>
      <c r="AA732" s="316" t="str">
        <f t="shared" ca="1" si="343"/>
        <v/>
      </c>
      <c r="AC732" s="310" t="e">
        <f t="shared" ca="1" si="344"/>
        <v>#N/A</v>
      </c>
      <c r="AD732" s="323" t="e">
        <f t="shared" ca="1" si="345"/>
        <v>#N/A</v>
      </c>
      <c r="AE732" s="324" t="e">
        <f t="shared" ca="1" si="324"/>
        <v>#N/A</v>
      </c>
      <c r="AG732" s="306">
        <f t="shared" ca="1" si="346"/>
        <v>1.9326772685878453</v>
      </c>
      <c r="AH732" s="304">
        <f t="shared" ca="1" si="347"/>
        <v>-7.8368954298055868</v>
      </c>
    </row>
    <row r="733" spans="1:34" x14ac:dyDescent="0.2">
      <c r="A733" s="347">
        <f t="shared" ca="1" si="325"/>
        <v>1E-4</v>
      </c>
      <c r="B733" s="304">
        <f t="shared" ca="1" si="326"/>
        <v>34.520400000000897</v>
      </c>
      <c r="D733" s="306">
        <f t="shared" ca="1" si="327"/>
        <v>-0.71074271729046934</v>
      </c>
      <c r="E733" s="307">
        <f t="shared" ca="1" si="328"/>
        <v>-2.0053657144738013</v>
      </c>
      <c r="F733" s="304">
        <f t="shared" ca="1" si="329"/>
        <v>2.1275917980121233</v>
      </c>
      <c r="G733" s="306">
        <f t="shared" ca="1" si="330"/>
        <v>10.922326193468271</v>
      </c>
      <c r="H733" s="307">
        <f t="shared" ca="1" si="331"/>
        <v>-119.93856096173053</v>
      </c>
      <c r="I733" s="304">
        <f t="shared" ca="1" si="332"/>
        <v>120.43486046426621</v>
      </c>
      <c r="J733" s="306">
        <f t="shared" ca="1" si="333"/>
        <v>770.52896740167785</v>
      </c>
      <c r="K733" s="307">
        <f t="shared" ca="1" si="334"/>
        <v>-11.509281755465411</v>
      </c>
      <c r="L733" s="304">
        <f t="shared" ca="1" si="319"/>
        <v>770.61491886130955</v>
      </c>
      <c r="M733" s="306">
        <f t="shared" ca="1" si="335"/>
        <v>-1.4799808089157387</v>
      </c>
      <c r="N733" s="304">
        <f t="shared" ca="1" si="336"/>
        <v>-84.796654111229387</v>
      </c>
      <c r="P733" s="310">
        <f t="shared" ca="1" si="337"/>
        <v>23</v>
      </c>
      <c r="Q733" s="304">
        <f t="shared" ca="1" si="338"/>
        <v>0</v>
      </c>
      <c r="R733" s="306">
        <f t="shared" ca="1" si="339"/>
        <v>0</v>
      </c>
      <c r="S733" s="307">
        <f t="shared" ca="1" si="340"/>
        <v>7.4499999999999984</v>
      </c>
      <c r="T733" s="304">
        <f t="shared" ca="1" si="320"/>
        <v>73.084499999999991</v>
      </c>
      <c r="U733" s="311">
        <f t="shared" ca="1" si="321"/>
        <v>0</v>
      </c>
      <c r="V733" s="306">
        <f t="shared" ca="1" si="322"/>
        <v>1.2264106988215551</v>
      </c>
      <c r="W733" s="304">
        <f t="shared" ca="1" si="323"/>
        <v>58.385385775723087</v>
      </c>
      <c r="Y733" s="314" t="str">
        <f t="shared" ca="1" si="341"/>
        <v/>
      </c>
      <c r="Z733" s="315" t="str">
        <f t="shared" ca="1" si="342"/>
        <v/>
      </c>
      <c r="AA733" s="316" t="str">
        <f t="shared" ca="1" si="343"/>
        <v/>
      </c>
      <c r="AC733" s="310" t="e">
        <f t="shared" ca="1" si="344"/>
        <v>#N/A</v>
      </c>
      <c r="AD733" s="323" t="e">
        <f t="shared" ca="1" si="345"/>
        <v>#N/A</v>
      </c>
      <c r="AE733" s="324" t="e">
        <f t="shared" ca="1" si="324"/>
        <v>#N/A</v>
      </c>
      <c r="AG733" s="306">
        <f t="shared" ca="1" si="346"/>
        <v>1.9326433737479283</v>
      </c>
      <c r="AH733" s="304">
        <f t="shared" ca="1" si="347"/>
        <v>-7.8369299818865601</v>
      </c>
    </row>
    <row r="734" spans="1:34" x14ac:dyDescent="0.2">
      <c r="A734" s="347">
        <f t="shared" ca="1" si="325"/>
        <v>1E-4</v>
      </c>
      <c r="B734" s="304">
        <f t="shared" ca="1" si="326"/>
        <v>34.520500000000901</v>
      </c>
      <c r="D734" s="306">
        <f t="shared" ca="1" si="327"/>
        <v>-0.71074008533110344</v>
      </c>
      <c r="E734" s="307">
        <f t="shared" ca="1" si="328"/>
        <v>-2.0053307800486593</v>
      </c>
      <c r="F734" s="304">
        <f t="shared" ca="1" si="329"/>
        <v>2.1275579912911962</v>
      </c>
      <c r="G734" s="306">
        <f t="shared" ca="1" si="330"/>
        <v>10.922255119459738</v>
      </c>
      <c r="H734" s="307">
        <f t="shared" ca="1" si="331"/>
        <v>-119.93876149480853</v>
      </c>
      <c r="I734" s="304">
        <f t="shared" ca="1" si="332"/>
        <v>120.43505372524699</v>
      </c>
      <c r="J734" s="306">
        <f t="shared" ca="1" si="333"/>
        <v>770.52896740167785</v>
      </c>
      <c r="K734" s="307">
        <f t="shared" ca="1" si="334"/>
        <v>-11.521275621588238</v>
      </c>
      <c r="L734" s="304">
        <f t="shared" ca="1" si="319"/>
        <v>770.61509808531821</v>
      </c>
      <c r="M734" s="306">
        <f t="shared" ca="1" si="335"/>
        <v>-1.4799815476343239</v>
      </c>
      <c r="N734" s="304">
        <f t="shared" ca="1" si="336"/>
        <v>-84.79669643668656</v>
      </c>
      <c r="P734" s="310">
        <f t="shared" ca="1" si="337"/>
        <v>23</v>
      </c>
      <c r="Q734" s="304">
        <f t="shared" ca="1" si="338"/>
        <v>0</v>
      </c>
      <c r="R734" s="306">
        <f t="shared" ca="1" si="339"/>
        <v>0</v>
      </c>
      <c r="S734" s="307">
        <f t="shared" ca="1" si="340"/>
        <v>7.4499999999999984</v>
      </c>
      <c r="T734" s="304">
        <f t="shared" ca="1" si="320"/>
        <v>73.084499999999991</v>
      </c>
      <c r="U734" s="311">
        <f t="shared" ca="1" si="321"/>
        <v>0</v>
      </c>
      <c r="V734" s="306">
        <f t="shared" ca="1" si="322"/>
        <v>1.2264121697634982</v>
      </c>
      <c r="W734" s="304">
        <f t="shared" ca="1" si="323"/>
        <v>58.385643184056285</v>
      </c>
      <c r="Y734" s="314" t="str">
        <f t="shared" ca="1" si="341"/>
        <v/>
      </c>
      <c r="Z734" s="315" t="str">
        <f t="shared" ca="1" si="342"/>
        <v/>
      </c>
      <c r="AA734" s="316" t="str">
        <f t="shared" ca="1" si="343"/>
        <v/>
      </c>
      <c r="AC734" s="310" t="e">
        <f t="shared" ca="1" si="344"/>
        <v>#N/A</v>
      </c>
      <c r="AD734" s="323" t="e">
        <f t="shared" ca="1" si="345"/>
        <v>#N/A</v>
      </c>
      <c r="AE734" s="324" t="e">
        <f t="shared" ca="1" si="324"/>
        <v>#N/A</v>
      </c>
      <c r="AG734" s="306">
        <f t="shared" ca="1" si="346"/>
        <v>1.9326094792097219</v>
      </c>
      <c r="AH734" s="304">
        <f t="shared" ca="1" si="347"/>
        <v>-7.8369645336541076</v>
      </c>
    </row>
    <row r="735" spans="1:34" x14ac:dyDescent="0.2">
      <c r="A735" s="347">
        <f t="shared" ca="1" si="325"/>
        <v>1E-4</v>
      </c>
      <c r="B735" s="304">
        <f t="shared" ca="1" si="326"/>
        <v>34.520600000000904</v>
      </c>
      <c r="D735" s="306">
        <f t="shared" ca="1" si="327"/>
        <v>-0.71073745334810745</v>
      </c>
      <c r="E735" s="307">
        <f t="shared" ca="1" si="328"/>
        <v>-2.0052958459403838</v>
      </c>
      <c r="F735" s="304">
        <f t="shared" ca="1" si="329"/>
        <v>2.1275241849007291</v>
      </c>
      <c r="G735" s="306">
        <f t="shared" ca="1" si="330"/>
        <v>10.922184045714403</v>
      </c>
      <c r="H735" s="307">
        <f t="shared" ca="1" si="331"/>
        <v>-119.93896202439312</v>
      </c>
      <c r="I735" s="304">
        <f t="shared" ca="1" si="332"/>
        <v>120.43524698283835</v>
      </c>
      <c r="J735" s="306">
        <f t="shared" ca="1" si="333"/>
        <v>770.52896740167785</v>
      </c>
      <c r="K735" s="307">
        <f t="shared" ca="1" si="334"/>
        <v>-11.533269507764198</v>
      </c>
      <c r="L735" s="304">
        <f t="shared" ca="1" si="319"/>
        <v>770.61527749625793</v>
      </c>
      <c r="M735" s="306">
        <f t="shared" ca="1" si="335"/>
        <v>-1.479982286345731</v>
      </c>
      <c r="N735" s="304">
        <f t="shared" ca="1" si="336"/>
        <v>-84.79673876173247</v>
      </c>
      <c r="P735" s="310">
        <f t="shared" ca="1" si="337"/>
        <v>23</v>
      </c>
      <c r="Q735" s="304">
        <f t="shared" ca="1" si="338"/>
        <v>0</v>
      </c>
      <c r="R735" s="306">
        <f t="shared" ca="1" si="339"/>
        <v>0</v>
      </c>
      <c r="S735" s="307">
        <f t="shared" ca="1" si="340"/>
        <v>7.4499999999999984</v>
      </c>
      <c r="T735" s="304">
        <f t="shared" ca="1" si="320"/>
        <v>73.084499999999991</v>
      </c>
      <c r="U735" s="311">
        <f t="shared" ca="1" si="321"/>
        <v>0</v>
      </c>
      <c r="V735" s="306">
        <f t="shared" ca="1" si="322"/>
        <v>1.2264136407096655</v>
      </c>
      <c r="W735" s="304">
        <f t="shared" ca="1" si="323"/>
        <v>58.385900590054455</v>
      </c>
      <c r="Y735" s="314" t="str">
        <f t="shared" ca="1" si="341"/>
        <v/>
      </c>
      <c r="Z735" s="315" t="str">
        <f t="shared" ca="1" si="342"/>
        <v/>
      </c>
      <c r="AA735" s="316" t="str">
        <f t="shared" ca="1" si="343"/>
        <v/>
      </c>
      <c r="AC735" s="310" t="e">
        <f t="shared" ca="1" si="344"/>
        <v>#N/A</v>
      </c>
      <c r="AD735" s="323" t="e">
        <f t="shared" ca="1" si="345"/>
        <v>#N/A</v>
      </c>
      <c r="AE735" s="324" t="e">
        <f t="shared" ca="1" si="324"/>
        <v>#N/A</v>
      </c>
      <c r="AG735" s="306">
        <f t="shared" ca="1" si="346"/>
        <v>1.9325755849732227</v>
      </c>
      <c r="AH735" s="304">
        <f t="shared" ca="1" si="347"/>
        <v>-7.8369990851082276</v>
      </c>
    </row>
    <row r="736" spans="1:34" x14ac:dyDescent="0.2">
      <c r="A736" s="347">
        <f t="shared" ca="1" si="325"/>
        <v>1E-4</v>
      </c>
      <c r="B736" s="304">
        <f t="shared" ca="1" si="326"/>
        <v>34.520700000000907</v>
      </c>
      <c r="D736" s="306">
        <f t="shared" ca="1" si="327"/>
        <v>-0.7107348213414848</v>
      </c>
      <c r="E736" s="307">
        <f t="shared" ca="1" si="328"/>
        <v>-2.0052609121489731</v>
      </c>
      <c r="F736" s="304">
        <f t="shared" ca="1" si="329"/>
        <v>2.1274903788407231</v>
      </c>
      <c r="G736" s="306">
        <f t="shared" ca="1" si="330"/>
        <v>10.922112972232268</v>
      </c>
      <c r="H736" s="307">
        <f t="shared" ca="1" si="331"/>
        <v>-119.93916255048434</v>
      </c>
      <c r="I736" s="304">
        <f t="shared" ca="1" si="332"/>
        <v>120.43544023704031</v>
      </c>
      <c r="J736" s="306">
        <f t="shared" ca="1" si="333"/>
        <v>770.52896740167785</v>
      </c>
      <c r="K736" s="307">
        <f t="shared" ca="1" si="334"/>
        <v>-11.545263413992942</v>
      </c>
      <c r="L736" s="304">
        <f t="shared" ca="1" si="319"/>
        <v>770.61545709412962</v>
      </c>
      <c r="M736" s="306">
        <f t="shared" ca="1" si="335"/>
        <v>-1.4799830250499608</v>
      </c>
      <c r="N736" s="304">
        <f t="shared" ca="1" si="336"/>
        <v>-84.796781086367147</v>
      </c>
      <c r="P736" s="310">
        <f t="shared" ca="1" si="337"/>
        <v>23</v>
      </c>
      <c r="Q736" s="304">
        <f t="shared" ca="1" si="338"/>
        <v>0</v>
      </c>
      <c r="R736" s="306">
        <f t="shared" ca="1" si="339"/>
        <v>0</v>
      </c>
      <c r="S736" s="307">
        <f t="shared" ca="1" si="340"/>
        <v>7.4499999999999984</v>
      </c>
      <c r="T736" s="304">
        <f t="shared" ca="1" si="320"/>
        <v>73.084499999999991</v>
      </c>
      <c r="U736" s="311">
        <f t="shared" ca="1" si="321"/>
        <v>0</v>
      </c>
      <c r="V736" s="306">
        <f t="shared" ca="1" si="322"/>
        <v>1.2264151116600583</v>
      </c>
      <c r="W736" s="304">
        <f t="shared" ca="1" si="323"/>
        <v>58.386157993717639</v>
      </c>
      <c r="Y736" s="314" t="str">
        <f t="shared" ca="1" si="341"/>
        <v/>
      </c>
      <c r="Z736" s="315" t="str">
        <f t="shared" ca="1" si="342"/>
        <v/>
      </c>
      <c r="AA736" s="316" t="str">
        <f t="shared" ca="1" si="343"/>
        <v/>
      </c>
      <c r="AC736" s="310" t="e">
        <f t="shared" ca="1" si="344"/>
        <v>#N/A</v>
      </c>
      <c r="AD736" s="323" t="e">
        <f t="shared" ca="1" si="345"/>
        <v>#N/A</v>
      </c>
      <c r="AE736" s="324" t="e">
        <f t="shared" ca="1" si="324"/>
        <v>#N/A</v>
      </c>
      <c r="AG736" s="306">
        <f t="shared" ca="1" si="346"/>
        <v>1.9325416910384341</v>
      </c>
      <c r="AH736" s="304">
        <f t="shared" ca="1" si="347"/>
        <v>-7.8370336362489219</v>
      </c>
    </row>
    <row r="737" spans="1:34" x14ac:dyDescent="0.2">
      <c r="A737" s="347">
        <f t="shared" ca="1" si="325"/>
        <v>1E-4</v>
      </c>
      <c r="B737" s="304">
        <f t="shared" ca="1" si="326"/>
        <v>34.520800000000911</v>
      </c>
      <c r="D737" s="306">
        <f t="shared" ca="1" si="327"/>
        <v>-0.71073218931123194</v>
      </c>
      <c r="E737" s="307">
        <f t="shared" ca="1" si="328"/>
        <v>-2.0052259786744235</v>
      </c>
      <c r="F737" s="304">
        <f t="shared" ca="1" si="329"/>
        <v>2.1274565731111732</v>
      </c>
      <c r="G737" s="306">
        <f t="shared" ca="1" si="330"/>
        <v>10.922041899013337</v>
      </c>
      <c r="H737" s="307">
        <f t="shared" ca="1" si="331"/>
        <v>-119.93936307308221</v>
      </c>
      <c r="I737" s="304">
        <f t="shared" ca="1" si="332"/>
        <v>120.43563348785293</v>
      </c>
      <c r="J737" s="306">
        <f t="shared" ca="1" si="333"/>
        <v>770.52896740167785</v>
      </c>
      <c r="K737" s="307">
        <f t="shared" ca="1" si="334"/>
        <v>-11.55725734027412</v>
      </c>
      <c r="L737" s="304">
        <f t="shared" ca="1" si="319"/>
        <v>770.61563687893408</v>
      </c>
      <c r="M737" s="306">
        <f t="shared" ca="1" si="335"/>
        <v>-1.4799837637470128</v>
      </c>
      <c r="N737" s="304">
        <f t="shared" ca="1" si="336"/>
        <v>-84.796823410590562</v>
      </c>
      <c r="P737" s="310">
        <f t="shared" ca="1" si="337"/>
        <v>23</v>
      </c>
      <c r="Q737" s="304">
        <f t="shared" ca="1" si="338"/>
        <v>0</v>
      </c>
      <c r="R737" s="306">
        <f t="shared" ca="1" si="339"/>
        <v>0</v>
      </c>
      <c r="S737" s="307">
        <f t="shared" ca="1" si="340"/>
        <v>7.4499999999999984</v>
      </c>
      <c r="T737" s="304">
        <f t="shared" ca="1" si="320"/>
        <v>73.084499999999991</v>
      </c>
      <c r="U737" s="311">
        <f t="shared" ca="1" si="321"/>
        <v>0</v>
      </c>
      <c r="V737" s="306">
        <f t="shared" ca="1" si="322"/>
        <v>1.2264165826146749</v>
      </c>
      <c r="W737" s="304">
        <f t="shared" ca="1" si="323"/>
        <v>58.386415395045766</v>
      </c>
      <c r="Y737" s="314" t="str">
        <f t="shared" ca="1" si="341"/>
        <v/>
      </c>
      <c r="Z737" s="315" t="str">
        <f t="shared" ca="1" si="342"/>
        <v/>
      </c>
      <c r="AA737" s="316" t="str">
        <f t="shared" ca="1" si="343"/>
        <v/>
      </c>
      <c r="AC737" s="310" t="e">
        <f t="shared" ca="1" si="344"/>
        <v>#N/A</v>
      </c>
      <c r="AD737" s="323" t="e">
        <f t="shared" ca="1" si="345"/>
        <v>#N/A</v>
      </c>
      <c r="AE737" s="324" t="e">
        <f t="shared" ca="1" si="324"/>
        <v>#N/A</v>
      </c>
      <c r="AG737" s="306">
        <f t="shared" ca="1" si="346"/>
        <v>1.9325077974053517</v>
      </c>
      <c r="AH737" s="304">
        <f t="shared" ca="1" si="347"/>
        <v>-7.8370681870761949</v>
      </c>
    </row>
    <row r="738" spans="1:34" x14ac:dyDescent="0.2">
      <c r="A738" s="347">
        <f t="shared" ca="1" si="325"/>
        <v>1E-4</v>
      </c>
      <c r="B738" s="304">
        <f t="shared" ca="1" si="326"/>
        <v>34.520900000000914</v>
      </c>
      <c r="D738" s="306">
        <f t="shared" ca="1" si="327"/>
        <v>-0.7107295572573531</v>
      </c>
      <c r="E738" s="307">
        <f t="shared" ca="1" si="328"/>
        <v>-2.0051910455167441</v>
      </c>
      <c r="F738" s="304">
        <f t="shared" ca="1" si="329"/>
        <v>2.1274227677120892</v>
      </c>
      <c r="G738" s="306">
        <f t="shared" ca="1" si="330"/>
        <v>10.921970826057612</v>
      </c>
      <c r="H738" s="307">
        <f t="shared" ca="1" si="331"/>
        <v>-119.93956359218676</v>
      </c>
      <c r="I738" s="304">
        <f t="shared" ca="1" si="332"/>
        <v>120.43582673527618</v>
      </c>
      <c r="J738" s="306">
        <f t="shared" ca="1" si="333"/>
        <v>770.52896740167785</v>
      </c>
      <c r="K738" s="307">
        <f t="shared" ca="1" si="334"/>
        <v>-11.569251286607383</v>
      </c>
      <c r="L738" s="304">
        <f t="shared" ca="1" si="319"/>
        <v>770.6158168506721</v>
      </c>
      <c r="M738" s="306">
        <f t="shared" ca="1" si="335"/>
        <v>-1.4799845024368874</v>
      </c>
      <c r="N738" s="304">
        <f t="shared" ca="1" si="336"/>
        <v>-84.796865734402743</v>
      </c>
      <c r="P738" s="310">
        <f t="shared" ca="1" si="337"/>
        <v>23</v>
      </c>
      <c r="Q738" s="304">
        <f t="shared" ca="1" si="338"/>
        <v>0</v>
      </c>
      <c r="R738" s="306">
        <f t="shared" ca="1" si="339"/>
        <v>0</v>
      </c>
      <c r="S738" s="307">
        <f t="shared" ca="1" si="340"/>
        <v>7.4499999999999984</v>
      </c>
      <c r="T738" s="304">
        <f t="shared" ca="1" si="320"/>
        <v>73.084499999999991</v>
      </c>
      <c r="U738" s="311">
        <f t="shared" ca="1" si="321"/>
        <v>0</v>
      </c>
      <c r="V738" s="306">
        <f t="shared" ca="1" si="322"/>
        <v>1.2264180535735161</v>
      </c>
      <c r="W738" s="304">
        <f t="shared" ca="1" si="323"/>
        <v>58.386672794038859</v>
      </c>
      <c r="Y738" s="314" t="str">
        <f t="shared" ca="1" si="341"/>
        <v/>
      </c>
      <c r="Z738" s="315" t="str">
        <f t="shared" ca="1" si="342"/>
        <v/>
      </c>
      <c r="AA738" s="316" t="str">
        <f t="shared" ca="1" si="343"/>
        <v/>
      </c>
      <c r="AC738" s="310" t="e">
        <f t="shared" ca="1" si="344"/>
        <v>#N/A</v>
      </c>
      <c r="AD738" s="323" t="e">
        <f t="shared" ca="1" si="345"/>
        <v>#N/A</v>
      </c>
      <c r="AE738" s="324" t="e">
        <f t="shared" ca="1" si="324"/>
        <v>#N/A</v>
      </c>
      <c r="AG738" s="306">
        <f t="shared" ca="1" si="346"/>
        <v>1.9324739040739791</v>
      </c>
      <c r="AH738" s="304">
        <f t="shared" ca="1" si="347"/>
        <v>-7.8371027375900377</v>
      </c>
    </row>
    <row r="739" spans="1:34" x14ac:dyDescent="0.2">
      <c r="A739" s="347">
        <f t="shared" ca="1" si="325"/>
        <v>1E-4</v>
      </c>
      <c r="B739" s="304">
        <f t="shared" ca="1" si="326"/>
        <v>34.521000000000917</v>
      </c>
      <c r="D739" s="306">
        <f t="shared" ca="1" si="327"/>
        <v>-0.71072692517984637</v>
      </c>
      <c r="E739" s="307">
        <f t="shared" ca="1" si="328"/>
        <v>-2.0051561126759312</v>
      </c>
      <c r="F739" s="304">
        <f t="shared" ca="1" si="329"/>
        <v>2.1273889626434679</v>
      </c>
      <c r="G739" s="306">
        <f t="shared" ca="1" si="330"/>
        <v>10.921899753365093</v>
      </c>
      <c r="H739" s="307">
        <f t="shared" ca="1" si="331"/>
        <v>-119.93976410779803</v>
      </c>
      <c r="I739" s="304">
        <f t="shared" ca="1" si="332"/>
        <v>120.43601997931015</v>
      </c>
      <c r="J739" s="306">
        <f t="shared" ca="1" si="333"/>
        <v>770.52896740167785</v>
      </c>
      <c r="K739" s="307">
        <f t="shared" ca="1" si="334"/>
        <v>-11.581245252992382</v>
      </c>
      <c r="L739" s="304">
        <f t="shared" ca="1" si="319"/>
        <v>770.61599700934448</v>
      </c>
      <c r="M739" s="306">
        <f t="shared" ca="1" si="335"/>
        <v>-1.4799852411195846</v>
      </c>
      <c r="N739" s="304">
        <f t="shared" ca="1" si="336"/>
        <v>-84.796908057803705</v>
      </c>
      <c r="P739" s="310">
        <f t="shared" ca="1" si="337"/>
        <v>23</v>
      </c>
      <c r="Q739" s="304">
        <f t="shared" ca="1" si="338"/>
        <v>0</v>
      </c>
      <c r="R739" s="306">
        <f t="shared" ca="1" si="339"/>
        <v>0</v>
      </c>
      <c r="S739" s="307">
        <f t="shared" ca="1" si="340"/>
        <v>7.4499999999999984</v>
      </c>
      <c r="T739" s="304">
        <f t="shared" ca="1" si="320"/>
        <v>73.084499999999991</v>
      </c>
      <c r="U739" s="311">
        <f t="shared" ca="1" si="321"/>
        <v>0</v>
      </c>
      <c r="V739" s="306">
        <f t="shared" ca="1" si="322"/>
        <v>1.2264195245365819</v>
      </c>
      <c r="W739" s="304">
        <f t="shared" ca="1" si="323"/>
        <v>58.386930190696972</v>
      </c>
      <c r="Y739" s="314" t="str">
        <f t="shared" ca="1" si="341"/>
        <v/>
      </c>
      <c r="Z739" s="315" t="str">
        <f t="shared" ca="1" si="342"/>
        <v/>
      </c>
      <c r="AA739" s="316" t="str">
        <f t="shared" ca="1" si="343"/>
        <v/>
      </c>
      <c r="AC739" s="310" t="e">
        <f t="shared" ca="1" si="344"/>
        <v>#N/A</v>
      </c>
      <c r="AD739" s="323" t="e">
        <f t="shared" ca="1" si="345"/>
        <v>#N/A</v>
      </c>
      <c r="AE739" s="324" t="e">
        <f t="shared" ca="1" si="324"/>
        <v>#N/A</v>
      </c>
      <c r="AG739" s="306">
        <f t="shared" ca="1" si="346"/>
        <v>1.9324400110443216</v>
      </c>
      <c r="AH739" s="304">
        <f t="shared" ca="1" si="347"/>
        <v>-7.8371372877904522</v>
      </c>
    </row>
    <row r="740" spans="1:34" x14ac:dyDescent="0.2">
      <c r="A740" s="347">
        <f t="shared" ca="1" si="325"/>
        <v>1E-4</v>
      </c>
      <c r="B740" s="304">
        <f t="shared" ca="1" si="326"/>
        <v>34.521100000000921</v>
      </c>
      <c r="D740" s="306">
        <f t="shared" ca="1" si="327"/>
        <v>-0.71072429307871421</v>
      </c>
      <c r="E740" s="307">
        <f t="shared" ca="1" si="328"/>
        <v>-2.0051211801519777</v>
      </c>
      <c r="F740" s="304">
        <f t="shared" ca="1" si="329"/>
        <v>2.1273551579053032</v>
      </c>
      <c r="G740" s="306">
        <f t="shared" ca="1" si="330"/>
        <v>10.921828680935786</v>
      </c>
      <c r="H740" s="307">
        <f t="shared" ca="1" si="331"/>
        <v>-119.93996461991604</v>
      </c>
      <c r="I740" s="304">
        <f t="shared" ca="1" si="332"/>
        <v>120.43621321995482</v>
      </c>
      <c r="J740" s="306">
        <f t="shared" ca="1" si="333"/>
        <v>770.52896740167785</v>
      </c>
      <c r="K740" s="307">
        <f t="shared" ca="1" si="334"/>
        <v>-11.593239239428767</v>
      </c>
      <c r="L740" s="304">
        <f t="shared" ca="1" si="319"/>
        <v>770.6161773549519</v>
      </c>
      <c r="M740" s="306">
        <f t="shared" ca="1" si="335"/>
        <v>-1.4799859797951045</v>
      </c>
      <c r="N740" s="304">
        <f t="shared" ca="1" si="336"/>
        <v>-84.796950380793419</v>
      </c>
      <c r="P740" s="310">
        <f t="shared" ca="1" si="337"/>
        <v>23</v>
      </c>
      <c r="Q740" s="304">
        <f t="shared" ca="1" si="338"/>
        <v>0</v>
      </c>
      <c r="R740" s="306">
        <f t="shared" ca="1" si="339"/>
        <v>0</v>
      </c>
      <c r="S740" s="307">
        <f t="shared" ca="1" si="340"/>
        <v>7.4499999999999984</v>
      </c>
      <c r="T740" s="304">
        <f t="shared" ca="1" si="320"/>
        <v>73.084499999999991</v>
      </c>
      <c r="U740" s="311">
        <f t="shared" ca="1" si="321"/>
        <v>0</v>
      </c>
      <c r="V740" s="306">
        <f t="shared" ca="1" si="322"/>
        <v>1.2264209955038716</v>
      </c>
      <c r="W740" s="304">
        <f t="shared" ca="1" si="323"/>
        <v>58.387187585020037</v>
      </c>
      <c r="Y740" s="314" t="str">
        <f t="shared" ca="1" si="341"/>
        <v/>
      </c>
      <c r="Z740" s="315" t="str">
        <f t="shared" ca="1" si="342"/>
        <v/>
      </c>
      <c r="AA740" s="316" t="str">
        <f t="shared" ca="1" si="343"/>
        <v/>
      </c>
      <c r="AC740" s="310" t="e">
        <f t="shared" ca="1" si="344"/>
        <v>#N/A</v>
      </c>
      <c r="AD740" s="323" t="e">
        <f t="shared" ca="1" si="345"/>
        <v>#N/A</v>
      </c>
      <c r="AE740" s="324" t="e">
        <f t="shared" ca="1" si="324"/>
        <v>#N/A</v>
      </c>
      <c r="AG740" s="306">
        <f t="shared" ca="1" si="346"/>
        <v>1.9324061183163641</v>
      </c>
      <c r="AH740" s="304">
        <f t="shared" ca="1" si="347"/>
        <v>-7.837171837677448</v>
      </c>
    </row>
    <row r="741" spans="1:34" x14ac:dyDescent="0.2">
      <c r="A741" s="347">
        <f t="shared" ca="1" si="325"/>
        <v>1E-4</v>
      </c>
      <c r="B741" s="304">
        <f t="shared" ca="1" si="326"/>
        <v>34.521200000000924</v>
      </c>
      <c r="D741" s="306">
        <f t="shared" ca="1" si="327"/>
        <v>-0.71072166095395684</v>
      </c>
      <c r="E741" s="307">
        <f t="shared" ca="1" si="328"/>
        <v>-2.0050862479448934</v>
      </c>
      <c r="F741" s="304">
        <f t="shared" ca="1" si="329"/>
        <v>2.1273213534976052</v>
      </c>
      <c r="G741" s="306">
        <f t="shared" ca="1" si="330"/>
        <v>10.92175760876969</v>
      </c>
      <c r="H741" s="307">
        <f t="shared" ca="1" si="331"/>
        <v>-119.94016512854084</v>
      </c>
      <c r="I741" s="304">
        <f t="shared" ca="1" si="332"/>
        <v>120.43640645721028</v>
      </c>
      <c r="J741" s="306">
        <f t="shared" ca="1" si="333"/>
        <v>770.52896740167785</v>
      </c>
      <c r="K741" s="307">
        <f t="shared" ca="1" si="334"/>
        <v>-11.605233245916191</v>
      </c>
      <c r="L741" s="304">
        <f t="shared" ca="1" si="319"/>
        <v>770.61635788749527</v>
      </c>
      <c r="M741" s="306">
        <f t="shared" ca="1" si="335"/>
        <v>-1.4799867184634472</v>
      </c>
      <c r="N741" s="304">
        <f t="shared" ca="1" si="336"/>
        <v>-84.796992703371913</v>
      </c>
      <c r="P741" s="310">
        <f t="shared" ca="1" si="337"/>
        <v>23</v>
      </c>
      <c r="Q741" s="304">
        <f t="shared" ca="1" si="338"/>
        <v>0</v>
      </c>
      <c r="R741" s="306">
        <f t="shared" ca="1" si="339"/>
        <v>0</v>
      </c>
      <c r="S741" s="307">
        <f t="shared" ca="1" si="340"/>
        <v>7.4499999999999984</v>
      </c>
      <c r="T741" s="304">
        <f t="shared" ca="1" si="320"/>
        <v>73.084499999999991</v>
      </c>
      <c r="U741" s="311">
        <f t="shared" ca="1" si="321"/>
        <v>0</v>
      </c>
      <c r="V741" s="306">
        <f t="shared" ca="1" si="322"/>
        <v>1.2264224664753862</v>
      </c>
      <c r="W741" s="304">
        <f t="shared" ca="1" si="323"/>
        <v>58.387444977008123</v>
      </c>
      <c r="Y741" s="314" t="str">
        <f t="shared" ca="1" si="341"/>
        <v/>
      </c>
      <c r="Z741" s="315" t="str">
        <f t="shared" ca="1" si="342"/>
        <v/>
      </c>
      <c r="AA741" s="316" t="str">
        <f t="shared" ca="1" si="343"/>
        <v/>
      </c>
      <c r="AC741" s="310" t="e">
        <f t="shared" ca="1" si="344"/>
        <v>#N/A</v>
      </c>
      <c r="AD741" s="323" t="e">
        <f t="shared" ca="1" si="345"/>
        <v>#N/A</v>
      </c>
      <c r="AE741" s="324" t="e">
        <f t="shared" ca="1" si="324"/>
        <v>#N/A</v>
      </c>
      <c r="AG741" s="306">
        <f t="shared" ca="1" si="346"/>
        <v>1.9323722258901217</v>
      </c>
      <c r="AH741" s="304">
        <f t="shared" ca="1" si="347"/>
        <v>-7.8372063872510136</v>
      </c>
    </row>
    <row r="742" spans="1:34" x14ac:dyDescent="0.2">
      <c r="A742" s="347">
        <f t="shared" ca="1" si="325"/>
        <v>1E-4</v>
      </c>
      <c r="B742" s="304">
        <f t="shared" ca="1" si="326"/>
        <v>34.521300000000927</v>
      </c>
      <c r="D742" s="306">
        <f t="shared" ca="1" si="327"/>
        <v>-0.71071902880557491</v>
      </c>
      <c r="E742" s="307">
        <f t="shared" ca="1" si="328"/>
        <v>-2.0050513160546686</v>
      </c>
      <c r="F742" s="304">
        <f t="shared" ca="1" si="329"/>
        <v>2.1272875494203642</v>
      </c>
      <c r="G742" s="306">
        <f t="shared" ca="1" si="330"/>
        <v>10.92168653686681</v>
      </c>
      <c r="H742" s="307">
        <f t="shared" ca="1" si="331"/>
        <v>-119.94036563367244</v>
      </c>
      <c r="I742" s="304">
        <f t="shared" ca="1" si="332"/>
        <v>120.43659969107651</v>
      </c>
      <c r="J742" s="306">
        <f t="shared" ca="1" si="333"/>
        <v>770.52896740167785</v>
      </c>
      <c r="K742" s="307">
        <f t="shared" ca="1" si="334"/>
        <v>-11.617227272454301</v>
      </c>
      <c r="L742" s="304">
        <f t="shared" ca="1" si="319"/>
        <v>770.61653860697527</v>
      </c>
      <c r="M742" s="306">
        <f t="shared" ca="1" si="335"/>
        <v>-1.4799874571246128</v>
      </c>
      <c r="N742" s="304">
        <f t="shared" ca="1" si="336"/>
        <v>-84.797035025539188</v>
      </c>
      <c r="P742" s="310">
        <f t="shared" ca="1" si="337"/>
        <v>23</v>
      </c>
      <c r="Q742" s="304">
        <f t="shared" ca="1" si="338"/>
        <v>0</v>
      </c>
      <c r="R742" s="306">
        <f t="shared" ca="1" si="339"/>
        <v>0</v>
      </c>
      <c r="S742" s="307">
        <f t="shared" ca="1" si="340"/>
        <v>7.4499999999999984</v>
      </c>
      <c r="T742" s="304">
        <f t="shared" ca="1" si="320"/>
        <v>73.084499999999991</v>
      </c>
      <c r="U742" s="311">
        <f t="shared" ca="1" si="321"/>
        <v>0</v>
      </c>
      <c r="V742" s="306">
        <f t="shared" ca="1" si="322"/>
        <v>1.2264239374511252</v>
      </c>
      <c r="W742" s="304">
        <f t="shared" ca="1" si="323"/>
        <v>58.387702366661188</v>
      </c>
      <c r="Y742" s="314" t="str">
        <f t="shared" ca="1" si="341"/>
        <v/>
      </c>
      <c r="Z742" s="315" t="str">
        <f t="shared" ca="1" si="342"/>
        <v/>
      </c>
      <c r="AA742" s="316" t="str">
        <f t="shared" ca="1" si="343"/>
        <v/>
      </c>
      <c r="AC742" s="310" t="e">
        <f t="shared" ca="1" si="344"/>
        <v>#N/A</v>
      </c>
      <c r="AD742" s="323" t="e">
        <f t="shared" ca="1" si="345"/>
        <v>#N/A</v>
      </c>
      <c r="AE742" s="324" t="e">
        <f t="shared" ca="1" si="324"/>
        <v>#N/A</v>
      </c>
      <c r="AG742" s="306">
        <f t="shared" ca="1" si="346"/>
        <v>1.9323383337655864</v>
      </c>
      <c r="AH742" s="304">
        <f t="shared" ca="1" si="347"/>
        <v>-7.8372409365111588</v>
      </c>
    </row>
    <row r="743" spans="1:34" x14ac:dyDescent="0.2">
      <c r="A743" s="347">
        <f t="shared" ca="1" si="325"/>
        <v>1E-4</v>
      </c>
      <c r="B743" s="304">
        <f t="shared" ca="1" si="326"/>
        <v>34.521400000000931</v>
      </c>
      <c r="D743" s="306">
        <f t="shared" ca="1" si="327"/>
        <v>-0.71071639663356956</v>
      </c>
      <c r="E743" s="307">
        <f t="shared" ca="1" si="328"/>
        <v>-2.0050163844813094</v>
      </c>
      <c r="F743" s="304">
        <f t="shared" ca="1" si="329"/>
        <v>2.1272537456735874</v>
      </c>
      <c r="G743" s="306">
        <f t="shared" ca="1" si="330"/>
        <v>10.921615465227147</v>
      </c>
      <c r="H743" s="307">
        <f t="shared" ca="1" si="331"/>
        <v>-119.94056613531089</v>
      </c>
      <c r="I743" s="304">
        <f t="shared" ca="1" si="332"/>
        <v>120.43679292155356</v>
      </c>
      <c r="J743" s="306">
        <f t="shared" ca="1" si="333"/>
        <v>770.52896740167785</v>
      </c>
      <c r="K743" s="307">
        <f t="shared" ca="1" si="334"/>
        <v>-11.629221319042751</v>
      </c>
      <c r="L743" s="304">
        <f t="shared" ca="1" si="319"/>
        <v>770.61671951339292</v>
      </c>
      <c r="M743" s="306">
        <f t="shared" ca="1" si="335"/>
        <v>-1.4799881957786014</v>
      </c>
      <c r="N743" s="304">
        <f t="shared" ca="1" si="336"/>
        <v>-84.797077347295257</v>
      </c>
      <c r="P743" s="310">
        <f t="shared" ca="1" si="337"/>
        <v>23</v>
      </c>
      <c r="Q743" s="304">
        <f t="shared" ca="1" si="338"/>
        <v>0</v>
      </c>
      <c r="R743" s="306">
        <f t="shared" ca="1" si="339"/>
        <v>0</v>
      </c>
      <c r="S743" s="307">
        <f t="shared" ca="1" si="340"/>
        <v>7.4499999999999984</v>
      </c>
      <c r="T743" s="304">
        <f t="shared" ca="1" si="320"/>
        <v>73.084499999999991</v>
      </c>
      <c r="U743" s="311">
        <f t="shared" ca="1" si="321"/>
        <v>0</v>
      </c>
      <c r="V743" s="306">
        <f t="shared" ca="1" si="322"/>
        <v>1.2264254084310886</v>
      </c>
      <c r="W743" s="304">
        <f t="shared" ca="1" si="323"/>
        <v>58.387959753979267</v>
      </c>
      <c r="Y743" s="314" t="str">
        <f t="shared" ca="1" si="341"/>
        <v/>
      </c>
      <c r="Z743" s="315" t="str">
        <f t="shared" ca="1" si="342"/>
        <v/>
      </c>
      <c r="AA743" s="316" t="str">
        <f t="shared" ca="1" si="343"/>
        <v/>
      </c>
      <c r="AC743" s="310" t="e">
        <f t="shared" ca="1" si="344"/>
        <v>#N/A</v>
      </c>
      <c r="AD743" s="323" t="e">
        <f t="shared" ca="1" si="345"/>
        <v>#N/A</v>
      </c>
      <c r="AE743" s="324" t="e">
        <f t="shared" ca="1" si="324"/>
        <v>#N/A</v>
      </c>
      <c r="AG743" s="306">
        <f t="shared" ca="1" si="346"/>
        <v>1.9323044419427555</v>
      </c>
      <c r="AH743" s="304">
        <f t="shared" ca="1" si="347"/>
        <v>-7.8372754854578792</v>
      </c>
    </row>
    <row r="744" spans="1:34" x14ac:dyDescent="0.2">
      <c r="A744" s="347">
        <f t="shared" ca="1" si="325"/>
        <v>1E-4</v>
      </c>
      <c r="B744" s="304">
        <f t="shared" ca="1" si="326"/>
        <v>34.521500000000934</v>
      </c>
      <c r="D744" s="306">
        <f t="shared" ca="1" si="327"/>
        <v>-0.71071376443794054</v>
      </c>
      <c r="E744" s="307">
        <f t="shared" ca="1" si="328"/>
        <v>-2.0049814532248096</v>
      </c>
      <c r="F744" s="304">
        <f t="shared" ca="1" si="329"/>
        <v>2.1272199422572688</v>
      </c>
      <c r="G744" s="306">
        <f t="shared" ca="1" si="330"/>
        <v>10.921544393850702</v>
      </c>
      <c r="H744" s="307">
        <f t="shared" ca="1" si="331"/>
        <v>-119.94076663345621</v>
      </c>
      <c r="I744" s="304">
        <f t="shared" ca="1" si="332"/>
        <v>120.43698614864145</v>
      </c>
      <c r="J744" s="306">
        <f t="shared" ca="1" si="333"/>
        <v>770.52896740167785</v>
      </c>
      <c r="K744" s="307">
        <f t="shared" ca="1" si="334"/>
        <v>-11.641215385681189</v>
      </c>
      <c r="L744" s="304">
        <f t="shared" ca="1" si="319"/>
        <v>770.6169006067488</v>
      </c>
      <c r="M744" s="306">
        <f t="shared" ca="1" si="335"/>
        <v>-1.4799889344254131</v>
      </c>
      <c r="N744" s="304">
        <f t="shared" ca="1" si="336"/>
        <v>-84.797119668640121</v>
      </c>
      <c r="P744" s="310">
        <f t="shared" ca="1" si="337"/>
        <v>23</v>
      </c>
      <c r="Q744" s="304">
        <f t="shared" ca="1" si="338"/>
        <v>0</v>
      </c>
      <c r="R744" s="306">
        <f t="shared" ca="1" si="339"/>
        <v>0</v>
      </c>
      <c r="S744" s="307">
        <f t="shared" ca="1" si="340"/>
        <v>7.4499999999999984</v>
      </c>
      <c r="T744" s="304">
        <f t="shared" ca="1" si="320"/>
        <v>73.084499999999991</v>
      </c>
      <c r="U744" s="311">
        <f t="shared" ca="1" si="321"/>
        <v>0</v>
      </c>
      <c r="V744" s="306">
        <f t="shared" ca="1" si="322"/>
        <v>1.226426879415276</v>
      </c>
      <c r="W744" s="304">
        <f t="shared" ca="1" si="323"/>
        <v>58.388217138962325</v>
      </c>
      <c r="Y744" s="314" t="str">
        <f t="shared" ca="1" si="341"/>
        <v/>
      </c>
      <c r="Z744" s="315" t="str">
        <f t="shared" ca="1" si="342"/>
        <v/>
      </c>
      <c r="AA744" s="316" t="str">
        <f t="shared" ca="1" si="343"/>
        <v/>
      </c>
      <c r="AC744" s="310" t="e">
        <f t="shared" ca="1" si="344"/>
        <v>#N/A</v>
      </c>
      <c r="AD744" s="323" t="e">
        <f t="shared" ca="1" si="345"/>
        <v>#N/A</v>
      </c>
      <c r="AE744" s="324" t="e">
        <f t="shared" ca="1" si="324"/>
        <v>#N/A</v>
      </c>
      <c r="AG744" s="306">
        <f t="shared" ca="1" si="346"/>
        <v>1.9322705504216362</v>
      </c>
      <c r="AH744" s="304">
        <f t="shared" ca="1" si="347"/>
        <v>-7.8373100340911783</v>
      </c>
    </row>
    <row r="745" spans="1:34" x14ac:dyDescent="0.2">
      <c r="A745" s="347">
        <f t="shared" ca="1" si="325"/>
        <v>1E-4</v>
      </c>
      <c r="B745" s="304">
        <f t="shared" ca="1" si="326"/>
        <v>34.521600000000937</v>
      </c>
      <c r="D745" s="306">
        <f t="shared" ca="1" si="327"/>
        <v>-0.71071113221868931</v>
      </c>
      <c r="E745" s="307">
        <f t="shared" ca="1" si="328"/>
        <v>-2.0049465222851746</v>
      </c>
      <c r="F745" s="304">
        <f t="shared" ca="1" si="329"/>
        <v>2.1271861391714144</v>
      </c>
      <c r="G745" s="306">
        <f t="shared" ca="1" si="330"/>
        <v>10.92147332273748</v>
      </c>
      <c r="H745" s="307">
        <f t="shared" ca="1" si="331"/>
        <v>-119.94096712810844</v>
      </c>
      <c r="I745" s="304">
        <f t="shared" ca="1" si="332"/>
        <v>120.43717937234024</v>
      </c>
      <c r="J745" s="306">
        <f t="shared" ca="1" si="333"/>
        <v>770.52896740167785</v>
      </c>
      <c r="K745" s="307">
        <f t="shared" ca="1" si="334"/>
        <v>-11.653209472369268</v>
      </c>
      <c r="L745" s="304">
        <f t="shared" ca="1" si="319"/>
        <v>770.61708188704381</v>
      </c>
      <c r="M745" s="306">
        <f t="shared" ca="1" si="335"/>
        <v>-1.4799896730650481</v>
      </c>
      <c r="N745" s="304">
        <f t="shared" ca="1" si="336"/>
        <v>-84.797161989573794</v>
      </c>
      <c r="P745" s="310">
        <f t="shared" ca="1" si="337"/>
        <v>23</v>
      </c>
      <c r="Q745" s="304">
        <f t="shared" ca="1" si="338"/>
        <v>0</v>
      </c>
      <c r="R745" s="306">
        <f t="shared" ca="1" si="339"/>
        <v>0</v>
      </c>
      <c r="S745" s="307">
        <f t="shared" ca="1" si="340"/>
        <v>7.4499999999999984</v>
      </c>
      <c r="T745" s="304">
        <f t="shared" ca="1" si="320"/>
        <v>73.084499999999991</v>
      </c>
      <c r="U745" s="311">
        <f t="shared" ca="1" si="321"/>
        <v>0</v>
      </c>
      <c r="V745" s="306">
        <f t="shared" ca="1" si="322"/>
        <v>1.2264283504036881</v>
      </c>
      <c r="W745" s="304">
        <f t="shared" ca="1" si="323"/>
        <v>58.388474521610426</v>
      </c>
      <c r="Y745" s="314" t="str">
        <f t="shared" ca="1" si="341"/>
        <v/>
      </c>
      <c r="Z745" s="315" t="str">
        <f t="shared" ca="1" si="342"/>
        <v/>
      </c>
      <c r="AA745" s="316" t="str">
        <f t="shared" ca="1" si="343"/>
        <v/>
      </c>
      <c r="AC745" s="310" t="e">
        <f t="shared" ca="1" si="344"/>
        <v>#N/A</v>
      </c>
      <c r="AD745" s="323" t="e">
        <f t="shared" ca="1" si="345"/>
        <v>#N/A</v>
      </c>
      <c r="AE745" s="324" t="e">
        <f t="shared" ca="1" si="324"/>
        <v>#N/A</v>
      </c>
      <c r="AG745" s="306">
        <f t="shared" ca="1" si="346"/>
        <v>1.932236659202224</v>
      </c>
      <c r="AH745" s="304">
        <f t="shared" ca="1" si="347"/>
        <v>-7.8373445824110517</v>
      </c>
    </row>
    <row r="746" spans="1:34" x14ac:dyDescent="0.2">
      <c r="A746" s="347">
        <f t="shared" ca="1" si="325"/>
        <v>1E-4</v>
      </c>
      <c r="B746" s="304">
        <f t="shared" ca="1" si="326"/>
        <v>34.521700000000941</v>
      </c>
      <c r="D746" s="306">
        <f t="shared" ca="1" si="327"/>
        <v>-0.71070849997581609</v>
      </c>
      <c r="E746" s="307">
        <f t="shared" ca="1" si="328"/>
        <v>-2.0049115916623972</v>
      </c>
      <c r="F746" s="304">
        <f t="shared" ca="1" si="329"/>
        <v>2.1271523364160174</v>
      </c>
      <c r="G746" s="306">
        <f t="shared" ca="1" si="330"/>
        <v>10.921402251887482</v>
      </c>
      <c r="H746" s="307">
        <f t="shared" ca="1" si="331"/>
        <v>-119.9411676192676</v>
      </c>
      <c r="I746" s="304">
        <f t="shared" ca="1" si="332"/>
        <v>120.43737259264991</v>
      </c>
      <c r="J746" s="306">
        <f t="shared" ca="1" si="333"/>
        <v>770.52896740167785</v>
      </c>
      <c r="K746" s="307">
        <f t="shared" ca="1" si="334"/>
        <v>-11.665203579106636</v>
      </c>
      <c r="L746" s="304">
        <f t="shared" ca="1" si="319"/>
        <v>770.61726335427886</v>
      </c>
      <c r="M746" s="306">
        <f t="shared" ca="1" si="335"/>
        <v>-1.4799904116975064</v>
      </c>
      <c r="N746" s="304">
        <f t="shared" ca="1" si="336"/>
        <v>-84.797204310096262</v>
      </c>
      <c r="P746" s="310">
        <f t="shared" ca="1" si="337"/>
        <v>23</v>
      </c>
      <c r="Q746" s="304">
        <f t="shared" ca="1" si="338"/>
        <v>0</v>
      </c>
      <c r="R746" s="306">
        <f t="shared" ca="1" si="339"/>
        <v>0</v>
      </c>
      <c r="S746" s="307">
        <f t="shared" ca="1" si="340"/>
        <v>7.4499999999999984</v>
      </c>
      <c r="T746" s="304">
        <f t="shared" ca="1" si="320"/>
        <v>73.084499999999991</v>
      </c>
      <c r="U746" s="311">
        <f t="shared" ca="1" si="321"/>
        <v>0</v>
      </c>
      <c r="V746" s="306">
        <f t="shared" ca="1" si="322"/>
        <v>1.2264298213963238</v>
      </c>
      <c r="W746" s="304">
        <f t="shared" ca="1" si="323"/>
        <v>58.388731901923478</v>
      </c>
      <c r="Y746" s="314" t="str">
        <f t="shared" ca="1" si="341"/>
        <v/>
      </c>
      <c r="Z746" s="315" t="str">
        <f t="shared" ca="1" si="342"/>
        <v/>
      </c>
      <c r="AA746" s="316" t="str">
        <f t="shared" ca="1" si="343"/>
        <v/>
      </c>
      <c r="AC746" s="310" t="e">
        <f t="shared" ca="1" si="344"/>
        <v>#N/A</v>
      </c>
      <c r="AD746" s="323" t="e">
        <f t="shared" ca="1" si="345"/>
        <v>#N/A</v>
      </c>
      <c r="AE746" s="324" t="e">
        <f t="shared" ca="1" si="324"/>
        <v>#N/A</v>
      </c>
      <c r="AG746" s="306">
        <f t="shared" ca="1" si="346"/>
        <v>1.9322027682845153</v>
      </c>
      <c r="AH746" s="304">
        <f t="shared" ca="1" si="347"/>
        <v>-7.8373791304175082</v>
      </c>
    </row>
    <row r="747" spans="1:34" x14ac:dyDescent="0.2">
      <c r="A747" s="347">
        <f t="shared" ca="1" si="325"/>
        <v>1E-4</v>
      </c>
      <c r="B747" s="304">
        <f t="shared" ca="1" si="326"/>
        <v>34.521800000000944</v>
      </c>
      <c r="D747" s="306">
        <f t="shared" ca="1" si="327"/>
        <v>-0.7107058677093212</v>
      </c>
      <c r="E747" s="307">
        <f t="shared" ca="1" si="328"/>
        <v>-2.0048766613564881</v>
      </c>
      <c r="F747" s="304">
        <f t="shared" ca="1" si="329"/>
        <v>2.1271185339910885</v>
      </c>
      <c r="G747" s="306">
        <f t="shared" ca="1" si="330"/>
        <v>10.921331181300712</v>
      </c>
      <c r="H747" s="307">
        <f t="shared" ca="1" si="331"/>
        <v>-119.94136810693374</v>
      </c>
      <c r="I747" s="304">
        <f t="shared" ca="1" si="332"/>
        <v>120.43756580957053</v>
      </c>
      <c r="J747" s="306">
        <f t="shared" ca="1" si="333"/>
        <v>770.52896740167785</v>
      </c>
      <c r="K747" s="307">
        <f t="shared" ca="1" si="334"/>
        <v>-11.677197705892947</v>
      </c>
      <c r="L747" s="304">
        <f t="shared" ca="1" si="319"/>
        <v>770.61744500845452</v>
      </c>
      <c r="M747" s="306">
        <f t="shared" ca="1" si="335"/>
        <v>-1.4799911503227881</v>
      </c>
      <c r="N747" s="304">
        <f t="shared" ca="1" si="336"/>
        <v>-84.797246630207539</v>
      </c>
      <c r="P747" s="310">
        <f t="shared" ca="1" si="337"/>
        <v>23</v>
      </c>
      <c r="Q747" s="304">
        <f t="shared" ca="1" si="338"/>
        <v>0</v>
      </c>
      <c r="R747" s="306">
        <f t="shared" ca="1" si="339"/>
        <v>0</v>
      </c>
      <c r="S747" s="307">
        <f t="shared" ca="1" si="340"/>
        <v>7.4499999999999984</v>
      </c>
      <c r="T747" s="304">
        <f t="shared" ca="1" si="320"/>
        <v>73.084499999999991</v>
      </c>
      <c r="U747" s="311">
        <f t="shared" ca="1" si="321"/>
        <v>0</v>
      </c>
      <c r="V747" s="306">
        <f t="shared" ca="1" si="322"/>
        <v>1.2264312923931844</v>
      </c>
      <c r="W747" s="304">
        <f t="shared" ca="1" si="323"/>
        <v>58.38898927990158</v>
      </c>
      <c r="Y747" s="314" t="str">
        <f t="shared" ca="1" si="341"/>
        <v/>
      </c>
      <c r="Z747" s="315" t="str">
        <f t="shared" ca="1" si="342"/>
        <v/>
      </c>
      <c r="AA747" s="316" t="str">
        <f t="shared" ca="1" si="343"/>
        <v/>
      </c>
      <c r="AC747" s="310" t="e">
        <f t="shared" ca="1" si="344"/>
        <v>#N/A</v>
      </c>
      <c r="AD747" s="323" t="e">
        <f t="shared" ca="1" si="345"/>
        <v>#N/A</v>
      </c>
      <c r="AE747" s="324" t="e">
        <f t="shared" ca="1" si="324"/>
        <v>#N/A</v>
      </c>
      <c r="AG747" s="306">
        <f t="shared" ca="1" si="346"/>
        <v>1.9321688776685209</v>
      </c>
      <c r="AH747" s="304">
        <f t="shared" ca="1" si="347"/>
        <v>-7.8374136781105355</v>
      </c>
    </row>
    <row r="748" spans="1:34" x14ac:dyDescent="0.2">
      <c r="A748" s="347">
        <f t="shared" ca="1" si="325"/>
        <v>1E-4</v>
      </c>
      <c r="B748" s="304">
        <f t="shared" ca="1" si="326"/>
        <v>34.521900000000947</v>
      </c>
      <c r="D748" s="306">
        <f t="shared" ca="1" si="327"/>
        <v>-0.71070323541920744</v>
      </c>
      <c r="E748" s="307">
        <f t="shared" ca="1" si="328"/>
        <v>-2.0048417313674349</v>
      </c>
      <c r="F748" s="304">
        <f t="shared" ca="1" si="329"/>
        <v>2.1270847318966171</v>
      </c>
      <c r="G748" s="306">
        <f t="shared" ca="1" si="330"/>
        <v>10.921260110977169</v>
      </c>
      <c r="H748" s="307">
        <f t="shared" ca="1" si="331"/>
        <v>-119.94156859110687</v>
      </c>
      <c r="I748" s="304">
        <f t="shared" ca="1" si="332"/>
        <v>120.43775902310212</v>
      </c>
      <c r="J748" s="306">
        <f t="shared" ca="1" si="333"/>
        <v>770.52896740167785</v>
      </c>
      <c r="K748" s="307">
        <f t="shared" ca="1" si="334"/>
        <v>-11.689191852727848</v>
      </c>
      <c r="L748" s="304">
        <f t="shared" ca="1" si="319"/>
        <v>770.61762684957182</v>
      </c>
      <c r="M748" s="306">
        <f t="shared" ca="1" si="335"/>
        <v>-1.4799918889408934</v>
      </c>
      <c r="N748" s="304">
        <f t="shared" ca="1" si="336"/>
        <v>-84.797288949907653</v>
      </c>
      <c r="P748" s="310">
        <f t="shared" ca="1" si="337"/>
        <v>23</v>
      </c>
      <c r="Q748" s="304">
        <f t="shared" ca="1" si="338"/>
        <v>0</v>
      </c>
      <c r="R748" s="306">
        <f t="shared" ca="1" si="339"/>
        <v>0</v>
      </c>
      <c r="S748" s="307">
        <f t="shared" ca="1" si="340"/>
        <v>7.4499999999999984</v>
      </c>
      <c r="T748" s="304">
        <f t="shared" ca="1" si="320"/>
        <v>73.084499999999991</v>
      </c>
      <c r="U748" s="311">
        <f t="shared" ca="1" si="321"/>
        <v>0</v>
      </c>
      <c r="V748" s="306">
        <f t="shared" ca="1" si="322"/>
        <v>1.2264327633942691</v>
      </c>
      <c r="W748" s="304">
        <f t="shared" ca="1" si="323"/>
        <v>58.389246655544703</v>
      </c>
      <c r="Y748" s="314" t="str">
        <f t="shared" ca="1" si="341"/>
        <v/>
      </c>
      <c r="Z748" s="315" t="str">
        <f t="shared" ca="1" si="342"/>
        <v/>
      </c>
      <c r="AA748" s="316" t="str">
        <f t="shared" ca="1" si="343"/>
        <v/>
      </c>
      <c r="AC748" s="310" t="e">
        <f t="shared" ca="1" si="344"/>
        <v>#N/A</v>
      </c>
      <c r="AD748" s="323" t="e">
        <f t="shared" ca="1" si="345"/>
        <v>#N/A</v>
      </c>
      <c r="AE748" s="324" t="e">
        <f t="shared" ca="1" si="324"/>
        <v>#N/A</v>
      </c>
      <c r="AG748" s="306">
        <f t="shared" ca="1" si="346"/>
        <v>1.9321349873542291</v>
      </c>
      <c r="AH748" s="304">
        <f t="shared" ca="1" si="347"/>
        <v>-7.8374482254901467</v>
      </c>
    </row>
    <row r="749" spans="1:34" x14ac:dyDescent="0.2">
      <c r="A749" s="347">
        <f t="shared" ca="1" si="325"/>
        <v>1E-4</v>
      </c>
      <c r="B749" s="304">
        <f t="shared" ca="1" si="326"/>
        <v>34.522000000000951</v>
      </c>
      <c r="D749" s="306">
        <f t="shared" ca="1" si="327"/>
        <v>-0.71070060310547212</v>
      </c>
      <c r="E749" s="307">
        <f t="shared" ca="1" si="328"/>
        <v>-2.0048068016952403</v>
      </c>
      <c r="F749" s="304">
        <f t="shared" ca="1" si="329"/>
        <v>2.1270509301326048</v>
      </c>
      <c r="G749" s="306">
        <f t="shared" ca="1" si="330"/>
        <v>10.921189040916859</v>
      </c>
      <c r="H749" s="307">
        <f t="shared" ca="1" si="331"/>
        <v>-119.94176907178704</v>
      </c>
      <c r="I749" s="304">
        <f t="shared" ca="1" si="332"/>
        <v>120.4379522332447</v>
      </c>
      <c r="J749" s="306">
        <f t="shared" ca="1" si="333"/>
        <v>770.52896740167785</v>
      </c>
      <c r="K749" s="307">
        <f t="shared" ca="1" si="334"/>
        <v>-11.701186019610994</v>
      </c>
      <c r="L749" s="304">
        <f t="shared" ca="1" si="319"/>
        <v>770.61780887763132</v>
      </c>
      <c r="M749" s="306">
        <f t="shared" ca="1" si="335"/>
        <v>-1.4799926275518223</v>
      </c>
      <c r="N749" s="304">
        <f t="shared" ca="1" si="336"/>
        <v>-84.797331269196576</v>
      </c>
      <c r="P749" s="310">
        <f t="shared" ca="1" si="337"/>
        <v>23</v>
      </c>
      <c r="Q749" s="304">
        <f t="shared" ca="1" si="338"/>
        <v>0</v>
      </c>
      <c r="R749" s="306">
        <f t="shared" ca="1" si="339"/>
        <v>0</v>
      </c>
      <c r="S749" s="307">
        <f t="shared" ca="1" si="340"/>
        <v>7.4499999999999984</v>
      </c>
      <c r="T749" s="304">
        <f t="shared" ca="1" si="320"/>
        <v>73.084499999999991</v>
      </c>
      <c r="U749" s="311">
        <f t="shared" ca="1" si="321"/>
        <v>0</v>
      </c>
      <c r="V749" s="306">
        <f t="shared" ca="1" si="322"/>
        <v>1.2264342343995778</v>
      </c>
      <c r="W749" s="304">
        <f t="shared" ca="1" si="323"/>
        <v>58.389504028852826</v>
      </c>
      <c r="Y749" s="314" t="str">
        <f t="shared" ca="1" si="341"/>
        <v/>
      </c>
      <c r="Z749" s="315" t="str">
        <f t="shared" ca="1" si="342"/>
        <v/>
      </c>
      <c r="AA749" s="316" t="str">
        <f t="shared" ca="1" si="343"/>
        <v/>
      </c>
      <c r="AC749" s="310" t="e">
        <f t="shared" ca="1" si="344"/>
        <v>#N/A</v>
      </c>
      <c r="AD749" s="323" t="e">
        <f t="shared" ca="1" si="345"/>
        <v>#N/A</v>
      </c>
      <c r="AE749" s="324" t="e">
        <f t="shared" ca="1" si="324"/>
        <v>#N/A</v>
      </c>
      <c r="AG749" s="306">
        <f t="shared" ca="1" si="346"/>
        <v>1.9321010973416426</v>
      </c>
      <c r="AH749" s="304">
        <f t="shared" ca="1" si="347"/>
        <v>-7.8374827725563376</v>
      </c>
    </row>
    <row r="750" spans="1:34" x14ac:dyDescent="0.2">
      <c r="A750" s="347">
        <f t="shared" ca="1" si="325"/>
        <v>1E-4</v>
      </c>
      <c r="B750" s="304">
        <f t="shared" ca="1" si="326"/>
        <v>34.522100000000954</v>
      </c>
      <c r="D750" s="306">
        <f t="shared" ca="1" si="327"/>
        <v>-0.71069797076811858</v>
      </c>
      <c r="E750" s="307">
        <f t="shared" ca="1" si="328"/>
        <v>-2.0047718723399077</v>
      </c>
      <c r="F750" s="304">
        <f t="shared" ca="1" si="329"/>
        <v>2.1270171286990571</v>
      </c>
      <c r="G750" s="306">
        <f t="shared" ca="1" si="330"/>
        <v>10.921117971119783</v>
      </c>
      <c r="H750" s="307">
        <f t="shared" ca="1" si="331"/>
        <v>-119.94196954897427</v>
      </c>
      <c r="I750" s="304">
        <f t="shared" ca="1" si="332"/>
        <v>120.43814543999832</v>
      </c>
      <c r="J750" s="306">
        <f t="shared" ca="1" si="333"/>
        <v>770.52896740167785</v>
      </c>
      <c r="K750" s="307">
        <f t="shared" ca="1" si="334"/>
        <v>-11.713180206542031</v>
      </c>
      <c r="L750" s="304">
        <f t="shared" ca="1" si="319"/>
        <v>770.61799109263393</v>
      </c>
      <c r="M750" s="306">
        <f t="shared" ca="1" si="335"/>
        <v>-1.4799933661555749</v>
      </c>
      <c r="N750" s="304">
        <f t="shared" ca="1" si="336"/>
        <v>-84.797373588074336</v>
      </c>
      <c r="P750" s="310">
        <f t="shared" ca="1" si="337"/>
        <v>23</v>
      </c>
      <c r="Q750" s="304">
        <f t="shared" ca="1" si="338"/>
        <v>0</v>
      </c>
      <c r="R750" s="306">
        <f t="shared" ca="1" si="339"/>
        <v>0</v>
      </c>
      <c r="S750" s="307">
        <f t="shared" ca="1" si="340"/>
        <v>7.4499999999999984</v>
      </c>
      <c r="T750" s="304">
        <f t="shared" ca="1" si="320"/>
        <v>73.084499999999991</v>
      </c>
      <c r="U750" s="311">
        <f t="shared" ca="1" si="321"/>
        <v>0</v>
      </c>
      <c r="V750" s="306">
        <f t="shared" ca="1" si="322"/>
        <v>1.2264357054091104</v>
      </c>
      <c r="W750" s="304">
        <f t="shared" ca="1" si="323"/>
        <v>58.389761399825964</v>
      </c>
      <c r="Y750" s="314" t="str">
        <f t="shared" ca="1" si="341"/>
        <v/>
      </c>
      <c r="Z750" s="315" t="str">
        <f t="shared" ca="1" si="342"/>
        <v/>
      </c>
      <c r="AA750" s="316" t="str">
        <f t="shared" ca="1" si="343"/>
        <v/>
      </c>
      <c r="AC750" s="310" t="e">
        <f t="shared" ca="1" si="344"/>
        <v>#N/A</v>
      </c>
      <c r="AD750" s="323" t="e">
        <f t="shared" ca="1" si="345"/>
        <v>#N/A</v>
      </c>
      <c r="AE750" s="324" t="e">
        <f t="shared" ca="1" si="324"/>
        <v>#N/A</v>
      </c>
      <c r="AG750" s="306">
        <f t="shared" ca="1" si="346"/>
        <v>1.9320672076307668</v>
      </c>
      <c r="AH750" s="304">
        <f t="shared" ca="1" si="347"/>
        <v>-7.8375173193091063</v>
      </c>
    </row>
    <row r="751" spans="1:34" x14ac:dyDescent="0.2">
      <c r="A751" s="347">
        <f t="shared" ca="1" si="325"/>
        <v>1E-4</v>
      </c>
      <c r="B751" s="304">
        <f t="shared" ca="1" si="326"/>
        <v>34.522200000000957</v>
      </c>
      <c r="D751" s="306">
        <f t="shared" ca="1" si="327"/>
        <v>-0.71069533840714627</v>
      </c>
      <c r="E751" s="307">
        <f t="shared" ca="1" si="328"/>
        <v>-2.0047369433014373</v>
      </c>
      <c r="F751" s="304">
        <f t="shared" ca="1" si="329"/>
        <v>2.1269833275959726</v>
      </c>
      <c r="G751" s="306">
        <f t="shared" ca="1" si="330"/>
        <v>10.921046901585942</v>
      </c>
      <c r="H751" s="307">
        <f t="shared" ca="1" si="331"/>
        <v>-119.94217002266861</v>
      </c>
      <c r="I751" s="304">
        <f t="shared" ca="1" si="332"/>
        <v>120.438338643363</v>
      </c>
      <c r="J751" s="306">
        <f t="shared" ca="1" si="333"/>
        <v>770.52896740167785</v>
      </c>
      <c r="K751" s="307">
        <f t="shared" ca="1" si="334"/>
        <v>-11.725174413520612</v>
      </c>
      <c r="L751" s="304">
        <f t="shared" ca="1" si="319"/>
        <v>770.61817349458056</v>
      </c>
      <c r="M751" s="306">
        <f t="shared" ca="1" si="335"/>
        <v>-1.4799941047521512</v>
      </c>
      <c r="N751" s="304">
        <f t="shared" ca="1" si="336"/>
        <v>-84.79741590654092</v>
      </c>
      <c r="P751" s="310">
        <f t="shared" ca="1" si="337"/>
        <v>23</v>
      </c>
      <c r="Q751" s="304">
        <f t="shared" ca="1" si="338"/>
        <v>0</v>
      </c>
      <c r="R751" s="306">
        <f t="shared" ca="1" si="339"/>
        <v>0</v>
      </c>
      <c r="S751" s="307">
        <f t="shared" ca="1" si="340"/>
        <v>7.4499999999999984</v>
      </c>
      <c r="T751" s="304">
        <f t="shared" ca="1" si="320"/>
        <v>73.084499999999991</v>
      </c>
      <c r="U751" s="311">
        <f t="shared" ca="1" si="321"/>
        <v>0</v>
      </c>
      <c r="V751" s="306">
        <f t="shared" ca="1" si="322"/>
        <v>1.2264371764228674</v>
      </c>
      <c r="W751" s="304">
        <f t="shared" ca="1" si="323"/>
        <v>58.390018768464145</v>
      </c>
      <c r="Y751" s="314" t="str">
        <f t="shared" ca="1" si="341"/>
        <v/>
      </c>
      <c r="Z751" s="315" t="str">
        <f t="shared" ca="1" si="342"/>
        <v/>
      </c>
      <c r="AA751" s="316" t="str">
        <f t="shared" ca="1" si="343"/>
        <v/>
      </c>
      <c r="AC751" s="310" t="e">
        <f t="shared" ca="1" si="344"/>
        <v>#N/A</v>
      </c>
      <c r="AD751" s="323" t="e">
        <f t="shared" ca="1" si="345"/>
        <v>#N/A</v>
      </c>
      <c r="AE751" s="324" t="e">
        <f t="shared" ca="1" si="324"/>
        <v>#N/A</v>
      </c>
      <c r="AG751" s="306">
        <f t="shared" ca="1" si="346"/>
        <v>1.9320333182215981</v>
      </c>
      <c r="AH751" s="304">
        <f t="shared" ca="1" si="347"/>
        <v>-7.8375518657484529</v>
      </c>
    </row>
    <row r="752" spans="1:34" x14ac:dyDescent="0.2">
      <c r="A752" s="347">
        <f t="shared" ca="1" si="325"/>
        <v>1E-4</v>
      </c>
      <c r="B752" s="304">
        <f t="shared" ca="1" si="326"/>
        <v>34.522300000000961</v>
      </c>
      <c r="D752" s="306">
        <f t="shared" ca="1" si="327"/>
        <v>-0.71069270602255741</v>
      </c>
      <c r="E752" s="307">
        <f t="shared" ca="1" si="328"/>
        <v>-2.0047020145798209</v>
      </c>
      <c r="F752" s="304">
        <f t="shared" ca="1" si="329"/>
        <v>2.1269495268233465</v>
      </c>
      <c r="G752" s="306">
        <f t="shared" ca="1" si="330"/>
        <v>10.920975832315341</v>
      </c>
      <c r="H752" s="307">
        <f t="shared" ca="1" si="331"/>
        <v>-119.94237049287007</v>
      </c>
      <c r="I752" s="304">
        <f t="shared" ca="1" si="332"/>
        <v>120.43853184333875</v>
      </c>
      <c r="J752" s="306">
        <f t="shared" ca="1" si="333"/>
        <v>770.52896740167785</v>
      </c>
      <c r="K752" s="307">
        <f t="shared" ca="1" si="334"/>
        <v>-11.73716864054639</v>
      </c>
      <c r="L752" s="304">
        <f t="shared" ca="1" si="319"/>
        <v>770.61835608347178</v>
      </c>
      <c r="M752" s="306">
        <f t="shared" ca="1" si="335"/>
        <v>-1.4799948433415515</v>
      </c>
      <c r="N752" s="304">
        <f t="shared" ca="1" si="336"/>
        <v>-84.797458224596355</v>
      </c>
      <c r="P752" s="310">
        <f t="shared" ca="1" si="337"/>
        <v>23</v>
      </c>
      <c r="Q752" s="304">
        <f t="shared" ca="1" si="338"/>
        <v>0</v>
      </c>
      <c r="R752" s="306">
        <f t="shared" ca="1" si="339"/>
        <v>0</v>
      </c>
      <c r="S752" s="307">
        <f t="shared" ca="1" si="340"/>
        <v>7.4499999999999984</v>
      </c>
      <c r="T752" s="304">
        <f t="shared" ca="1" si="320"/>
        <v>73.084499999999991</v>
      </c>
      <c r="U752" s="311">
        <f t="shared" ca="1" si="321"/>
        <v>0</v>
      </c>
      <c r="V752" s="306">
        <f t="shared" ca="1" si="322"/>
        <v>1.2264386474408484</v>
      </c>
      <c r="W752" s="304">
        <f t="shared" ca="1" si="323"/>
        <v>58.390276134767333</v>
      </c>
      <c r="Y752" s="314" t="str">
        <f t="shared" ca="1" si="341"/>
        <v/>
      </c>
      <c r="Z752" s="315" t="str">
        <f t="shared" ca="1" si="342"/>
        <v/>
      </c>
      <c r="AA752" s="316" t="str">
        <f t="shared" ca="1" si="343"/>
        <v/>
      </c>
      <c r="AC752" s="310" t="e">
        <f t="shared" ca="1" si="344"/>
        <v>#N/A</v>
      </c>
      <c r="AD752" s="323" t="e">
        <f t="shared" ca="1" si="345"/>
        <v>#N/A</v>
      </c>
      <c r="AE752" s="324" t="e">
        <f t="shared" ca="1" si="324"/>
        <v>#N/A</v>
      </c>
      <c r="AG752" s="306">
        <f t="shared" ca="1" si="346"/>
        <v>1.931999429114132</v>
      </c>
      <c r="AH752" s="304">
        <f t="shared" ca="1" si="347"/>
        <v>-7.8375864118743834</v>
      </c>
    </row>
    <row r="753" spans="1:34" x14ac:dyDescent="0.2">
      <c r="A753" s="347">
        <f t="shared" ca="1" si="325"/>
        <v>1E-4</v>
      </c>
      <c r="B753" s="304">
        <f t="shared" ca="1" si="326"/>
        <v>34.522400000000964</v>
      </c>
      <c r="D753" s="306">
        <f t="shared" ca="1" si="327"/>
        <v>-0.71069007361435099</v>
      </c>
      <c r="E753" s="307">
        <f t="shared" ca="1" si="328"/>
        <v>-2.0046670861750666</v>
      </c>
      <c r="F753" s="304">
        <f t="shared" ca="1" si="329"/>
        <v>2.1269157263811849</v>
      </c>
      <c r="G753" s="306">
        <f t="shared" ca="1" si="330"/>
        <v>10.920904763307979</v>
      </c>
      <c r="H753" s="307">
        <f t="shared" ca="1" si="331"/>
        <v>-119.94257095957869</v>
      </c>
      <c r="I753" s="304">
        <f t="shared" ca="1" si="332"/>
        <v>120.43872503992564</v>
      </c>
      <c r="J753" s="306">
        <f t="shared" ca="1" si="333"/>
        <v>770.52896740167785</v>
      </c>
      <c r="K753" s="307">
        <f t="shared" ca="1" si="334"/>
        <v>-11.749162887619013</v>
      </c>
      <c r="L753" s="304">
        <f t="shared" ca="1" si="319"/>
        <v>770.61853885930861</v>
      </c>
      <c r="M753" s="306">
        <f t="shared" ca="1" si="335"/>
        <v>-1.479995581923776</v>
      </c>
      <c r="N753" s="304">
        <f t="shared" ca="1" si="336"/>
        <v>-84.797500542240641</v>
      </c>
      <c r="P753" s="310">
        <f t="shared" ca="1" si="337"/>
        <v>23</v>
      </c>
      <c r="Q753" s="304">
        <f t="shared" ca="1" si="338"/>
        <v>0</v>
      </c>
      <c r="R753" s="306">
        <f t="shared" ca="1" si="339"/>
        <v>0</v>
      </c>
      <c r="S753" s="307">
        <f t="shared" ca="1" si="340"/>
        <v>7.4499999999999984</v>
      </c>
      <c r="T753" s="304">
        <f t="shared" ca="1" si="320"/>
        <v>73.084499999999991</v>
      </c>
      <c r="U753" s="311">
        <f t="shared" ca="1" si="321"/>
        <v>0</v>
      </c>
      <c r="V753" s="306">
        <f t="shared" ca="1" si="322"/>
        <v>1.2264401184630533</v>
      </c>
      <c r="W753" s="304">
        <f t="shared" ca="1" si="323"/>
        <v>58.390533498735564</v>
      </c>
      <c r="Y753" s="314" t="str">
        <f t="shared" ca="1" si="341"/>
        <v/>
      </c>
      <c r="Z753" s="315" t="str">
        <f t="shared" ca="1" si="342"/>
        <v/>
      </c>
      <c r="AA753" s="316" t="str">
        <f t="shared" ca="1" si="343"/>
        <v/>
      </c>
      <c r="AC753" s="310" t="e">
        <f t="shared" ca="1" si="344"/>
        <v>#N/A</v>
      </c>
      <c r="AD753" s="323" t="e">
        <f t="shared" ca="1" si="345"/>
        <v>#N/A</v>
      </c>
      <c r="AE753" s="324" t="e">
        <f t="shared" ca="1" si="324"/>
        <v>#N/A</v>
      </c>
      <c r="AG753" s="306">
        <f t="shared" ca="1" si="346"/>
        <v>1.9319655403083766</v>
      </c>
      <c r="AH753" s="304">
        <f t="shared" ca="1" si="347"/>
        <v>-7.8376209576868918</v>
      </c>
    </row>
    <row r="754" spans="1:34" x14ac:dyDescent="0.2">
      <c r="A754" s="347">
        <f t="shared" ca="1" si="325"/>
        <v>1E-4</v>
      </c>
      <c r="B754" s="304">
        <f t="shared" ca="1" si="326"/>
        <v>34.522500000000967</v>
      </c>
      <c r="D754" s="306">
        <f t="shared" ca="1" si="327"/>
        <v>-0.71068744118252725</v>
      </c>
      <c r="E754" s="307">
        <f t="shared" ca="1" si="328"/>
        <v>-2.00463215808717</v>
      </c>
      <c r="F754" s="304">
        <f t="shared" ca="1" si="329"/>
        <v>2.1268819262694842</v>
      </c>
      <c r="G754" s="306">
        <f t="shared" ca="1" si="330"/>
        <v>10.920833694563861</v>
      </c>
      <c r="H754" s="307">
        <f t="shared" ca="1" si="331"/>
        <v>-119.94277142279449</v>
      </c>
      <c r="I754" s="304">
        <f t="shared" ca="1" si="332"/>
        <v>120.43891823312367</v>
      </c>
      <c r="J754" s="306">
        <f t="shared" ca="1" si="333"/>
        <v>770.52896740167785</v>
      </c>
      <c r="K754" s="307">
        <f t="shared" ca="1" si="334"/>
        <v>-11.761157154738132</v>
      </c>
      <c r="L754" s="304">
        <f t="shared" ca="1" si="319"/>
        <v>770.61872182209174</v>
      </c>
      <c r="M754" s="306">
        <f t="shared" ca="1" si="335"/>
        <v>-1.4799963204988245</v>
      </c>
      <c r="N754" s="304">
        <f t="shared" ca="1" si="336"/>
        <v>-84.797542859473765</v>
      </c>
      <c r="P754" s="310">
        <f t="shared" ca="1" si="337"/>
        <v>23</v>
      </c>
      <c r="Q754" s="304">
        <f t="shared" ca="1" si="338"/>
        <v>0</v>
      </c>
      <c r="R754" s="306">
        <f t="shared" ca="1" si="339"/>
        <v>0</v>
      </c>
      <c r="S754" s="307">
        <f t="shared" ca="1" si="340"/>
        <v>7.4499999999999984</v>
      </c>
      <c r="T754" s="304">
        <f t="shared" ca="1" si="320"/>
        <v>73.084499999999991</v>
      </c>
      <c r="U754" s="311">
        <f t="shared" ca="1" si="321"/>
        <v>0</v>
      </c>
      <c r="V754" s="306">
        <f t="shared" ca="1" si="322"/>
        <v>1.2264415894894825</v>
      </c>
      <c r="W754" s="304">
        <f t="shared" ca="1" si="323"/>
        <v>58.390790860368817</v>
      </c>
      <c r="Y754" s="314" t="str">
        <f t="shared" ca="1" si="341"/>
        <v/>
      </c>
      <c r="Z754" s="315" t="str">
        <f t="shared" ca="1" si="342"/>
        <v/>
      </c>
      <c r="AA754" s="316" t="str">
        <f t="shared" ca="1" si="343"/>
        <v/>
      </c>
      <c r="AC754" s="310" t="e">
        <f t="shared" ca="1" si="344"/>
        <v>#N/A</v>
      </c>
      <c r="AD754" s="323" t="e">
        <f t="shared" ca="1" si="345"/>
        <v>#N/A</v>
      </c>
      <c r="AE754" s="324" t="e">
        <f t="shared" ca="1" si="324"/>
        <v>#N/A</v>
      </c>
      <c r="AG754" s="306">
        <f t="shared" ca="1" si="346"/>
        <v>1.931931651804323</v>
      </c>
      <c r="AH754" s="304">
        <f t="shared" ca="1" si="347"/>
        <v>-7.8376555031859834</v>
      </c>
    </row>
    <row r="755" spans="1:34" x14ac:dyDescent="0.2">
      <c r="A755" s="347">
        <f t="shared" ca="1" si="325"/>
        <v>1E-4</v>
      </c>
      <c r="B755" s="304">
        <f t="shared" ca="1" si="326"/>
        <v>34.522600000000971</v>
      </c>
      <c r="D755" s="306">
        <f t="shared" ca="1" si="327"/>
        <v>-0.71068480872708917</v>
      </c>
      <c r="E755" s="307">
        <f t="shared" ca="1" si="328"/>
        <v>-2.004597230316131</v>
      </c>
      <c r="F755" s="304">
        <f t="shared" ca="1" si="329"/>
        <v>2.1268481264882464</v>
      </c>
      <c r="G755" s="306">
        <f t="shared" ca="1" si="330"/>
        <v>10.920762626082988</v>
      </c>
      <c r="H755" s="307">
        <f t="shared" ca="1" si="331"/>
        <v>-119.94297188251753</v>
      </c>
      <c r="I755" s="304">
        <f t="shared" ca="1" si="332"/>
        <v>120.43911142293288</v>
      </c>
      <c r="J755" s="306">
        <f t="shared" ca="1" si="333"/>
        <v>770.52896740167785</v>
      </c>
      <c r="K755" s="307">
        <f t="shared" ca="1" si="334"/>
        <v>-11.773151441903398</v>
      </c>
      <c r="L755" s="304">
        <f t="shared" ca="1" si="319"/>
        <v>770.61890497182196</v>
      </c>
      <c r="M755" s="306">
        <f t="shared" ca="1" si="335"/>
        <v>-1.4799970590666973</v>
      </c>
      <c r="N755" s="304">
        <f t="shared" ca="1" si="336"/>
        <v>-84.797585176295769</v>
      </c>
      <c r="P755" s="310">
        <f t="shared" ca="1" si="337"/>
        <v>23</v>
      </c>
      <c r="Q755" s="304">
        <f t="shared" ca="1" si="338"/>
        <v>0</v>
      </c>
      <c r="R755" s="306">
        <f t="shared" ca="1" si="339"/>
        <v>0</v>
      </c>
      <c r="S755" s="307">
        <f t="shared" ca="1" si="340"/>
        <v>7.4499999999999984</v>
      </c>
      <c r="T755" s="304">
        <f t="shared" ca="1" si="320"/>
        <v>73.084499999999991</v>
      </c>
      <c r="U755" s="311">
        <f t="shared" ca="1" si="321"/>
        <v>0</v>
      </c>
      <c r="V755" s="306">
        <f t="shared" ca="1" si="322"/>
        <v>1.2264430605201355</v>
      </c>
      <c r="W755" s="304">
        <f t="shared" ca="1" si="323"/>
        <v>58.391048219667113</v>
      </c>
      <c r="Y755" s="314" t="str">
        <f t="shared" ca="1" si="341"/>
        <v/>
      </c>
      <c r="Z755" s="315" t="str">
        <f t="shared" ca="1" si="342"/>
        <v/>
      </c>
      <c r="AA755" s="316" t="str">
        <f t="shared" ca="1" si="343"/>
        <v/>
      </c>
      <c r="AC755" s="310" t="e">
        <f t="shared" ca="1" si="344"/>
        <v>#N/A</v>
      </c>
      <c r="AD755" s="323" t="e">
        <f t="shared" ca="1" si="345"/>
        <v>#N/A</v>
      </c>
      <c r="AE755" s="324" t="e">
        <f t="shared" ca="1" si="324"/>
        <v>#N/A</v>
      </c>
      <c r="AG755" s="306">
        <f t="shared" ca="1" si="346"/>
        <v>1.9318977636019774</v>
      </c>
      <c r="AH755" s="304">
        <f t="shared" ca="1" si="347"/>
        <v>-7.8376900483716554</v>
      </c>
    </row>
    <row r="756" spans="1:34" x14ac:dyDescent="0.2">
      <c r="A756" s="347">
        <f t="shared" ca="1" si="325"/>
        <v>1E-4</v>
      </c>
      <c r="B756" s="304">
        <f t="shared" ca="1" si="326"/>
        <v>34.522700000000974</v>
      </c>
      <c r="D756" s="306">
        <f t="shared" ca="1" si="327"/>
        <v>-0.71068217624803487</v>
      </c>
      <c r="E756" s="307">
        <f t="shared" ca="1" si="328"/>
        <v>-2.0045623028619497</v>
      </c>
      <c r="F756" s="304">
        <f t="shared" ca="1" si="329"/>
        <v>2.12681432703747</v>
      </c>
      <c r="G756" s="306">
        <f t="shared" ca="1" si="330"/>
        <v>10.920691557865362</v>
      </c>
      <c r="H756" s="307">
        <f t="shared" ca="1" si="331"/>
        <v>-119.94317233874781</v>
      </c>
      <c r="I756" s="304">
        <f t="shared" ca="1" si="332"/>
        <v>120.4393046093533</v>
      </c>
      <c r="J756" s="306">
        <f t="shared" ca="1" si="333"/>
        <v>770.52896740167785</v>
      </c>
      <c r="K756" s="307">
        <f t="shared" ca="1" si="334"/>
        <v>-11.785145749114461</v>
      </c>
      <c r="L756" s="304">
        <f t="shared" ca="1" si="319"/>
        <v>770.61908830850007</v>
      </c>
      <c r="M756" s="306">
        <f t="shared" ca="1" si="335"/>
        <v>-1.4799977976273944</v>
      </c>
      <c r="N756" s="304">
        <f t="shared" ca="1" si="336"/>
        <v>-84.797627492706624</v>
      </c>
      <c r="P756" s="310">
        <f t="shared" ca="1" si="337"/>
        <v>23</v>
      </c>
      <c r="Q756" s="304">
        <f t="shared" ca="1" si="338"/>
        <v>0</v>
      </c>
      <c r="R756" s="306">
        <f t="shared" ca="1" si="339"/>
        <v>0</v>
      </c>
      <c r="S756" s="307">
        <f t="shared" ca="1" si="340"/>
        <v>7.4499999999999984</v>
      </c>
      <c r="T756" s="304">
        <f t="shared" ca="1" si="320"/>
        <v>73.084499999999991</v>
      </c>
      <c r="U756" s="311">
        <f t="shared" ca="1" si="321"/>
        <v>0</v>
      </c>
      <c r="V756" s="306">
        <f t="shared" ca="1" si="322"/>
        <v>1.2264445315550125</v>
      </c>
      <c r="W756" s="304">
        <f t="shared" ca="1" si="323"/>
        <v>58.391305576630451</v>
      </c>
      <c r="Y756" s="314" t="str">
        <f t="shared" ca="1" si="341"/>
        <v/>
      </c>
      <c r="Z756" s="315" t="str">
        <f t="shared" ca="1" si="342"/>
        <v/>
      </c>
      <c r="AA756" s="316" t="str">
        <f t="shared" ca="1" si="343"/>
        <v/>
      </c>
      <c r="AC756" s="310" t="e">
        <f t="shared" ca="1" si="344"/>
        <v>#N/A</v>
      </c>
      <c r="AD756" s="323" t="e">
        <f t="shared" ca="1" si="345"/>
        <v>#N/A</v>
      </c>
      <c r="AE756" s="324" t="e">
        <f t="shared" ca="1" si="324"/>
        <v>#N/A</v>
      </c>
      <c r="AG756" s="306">
        <f t="shared" ca="1" si="346"/>
        <v>1.931863875701338</v>
      </c>
      <c r="AH756" s="304">
        <f t="shared" ca="1" si="347"/>
        <v>-7.8377245932439097</v>
      </c>
    </row>
    <row r="757" spans="1:34" x14ac:dyDescent="0.2">
      <c r="A757" s="347">
        <f t="shared" ca="1" si="325"/>
        <v>1E-4</v>
      </c>
      <c r="B757" s="304">
        <f t="shared" ca="1" si="326"/>
        <v>34.522800000000977</v>
      </c>
      <c r="D757" s="306">
        <f t="shared" ca="1" si="327"/>
        <v>-0.71067954374536746</v>
      </c>
      <c r="E757" s="307">
        <f t="shared" ca="1" si="328"/>
        <v>-2.0045273757246234</v>
      </c>
      <c r="F757" s="304">
        <f t="shared" ca="1" si="329"/>
        <v>2.1267805279171541</v>
      </c>
      <c r="G757" s="306">
        <f t="shared" ca="1" si="330"/>
        <v>10.920620489910988</v>
      </c>
      <c r="H757" s="307">
        <f t="shared" ca="1" si="331"/>
        <v>-119.94337279148539</v>
      </c>
      <c r="I757" s="304">
        <f t="shared" ca="1" si="332"/>
        <v>120.43949779238496</v>
      </c>
      <c r="J757" s="306">
        <f t="shared" ca="1" si="333"/>
        <v>770.52896740167785</v>
      </c>
      <c r="K757" s="307">
        <f t="shared" ca="1" si="334"/>
        <v>-11.797140076370972</v>
      </c>
      <c r="L757" s="304">
        <f t="shared" ca="1" si="319"/>
        <v>770.61927183212686</v>
      </c>
      <c r="M757" s="306">
        <f t="shared" ca="1" si="335"/>
        <v>-1.4799985361809158</v>
      </c>
      <c r="N757" s="304">
        <f t="shared" ca="1" si="336"/>
        <v>-84.797669808706345</v>
      </c>
      <c r="P757" s="310">
        <f t="shared" ca="1" si="337"/>
        <v>23</v>
      </c>
      <c r="Q757" s="304">
        <f t="shared" ca="1" si="338"/>
        <v>0</v>
      </c>
      <c r="R757" s="306">
        <f t="shared" ca="1" si="339"/>
        <v>0</v>
      </c>
      <c r="S757" s="307">
        <f t="shared" ca="1" si="340"/>
        <v>7.4499999999999984</v>
      </c>
      <c r="T757" s="304">
        <f t="shared" ca="1" si="320"/>
        <v>73.084499999999991</v>
      </c>
      <c r="U757" s="311">
        <f t="shared" ca="1" si="321"/>
        <v>0</v>
      </c>
      <c r="V757" s="306">
        <f t="shared" ca="1" si="322"/>
        <v>1.2264460025941133</v>
      </c>
      <c r="W757" s="304">
        <f t="shared" ca="1" si="323"/>
        <v>58.391562931258811</v>
      </c>
      <c r="Y757" s="314" t="str">
        <f t="shared" ca="1" si="341"/>
        <v/>
      </c>
      <c r="Z757" s="315" t="str">
        <f t="shared" ca="1" si="342"/>
        <v/>
      </c>
      <c r="AA757" s="316" t="str">
        <f t="shared" ca="1" si="343"/>
        <v/>
      </c>
      <c r="AC757" s="310" t="e">
        <f t="shared" ca="1" si="344"/>
        <v>#N/A</v>
      </c>
      <c r="AD757" s="323" t="e">
        <f t="shared" ca="1" si="345"/>
        <v>#N/A</v>
      </c>
      <c r="AE757" s="324" t="e">
        <f t="shared" ca="1" si="324"/>
        <v>#N/A</v>
      </c>
      <c r="AG757" s="306">
        <f t="shared" ca="1" si="346"/>
        <v>1.9318299881024039</v>
      </c>
      <c r="AH757" s="304">
        <f t="shared" ca="1" si="347"/>
        <v>-7.8377591378027471</v>
      </c>
    </row>
    <row r="758" spans="1:34" x14ac:dyDescent="0.2">
      <c r="A758" s="347">
        <f t="shared" ca="1" si="325"/>
        <v>1E-4</v>
      </c>
      <c r="B758" s="304">
        <f t="shared" ca="1" si="326"/>
        <v>34.52290000000098</v>
      </c>
      <c r="D758" s="306">
        <f t="shared" ca="1" si="327"/>
        <v>-0.71067691121908649</v>
      </c>
      <c r="E758" s="307">
        <f t="shared" ca="1" si="328"/>
        <v>-2.0044924489041573</v>
      </c>
      <c r="F758" s="304">
        <f t="shared" ca="1" si="329"/>
        <v>2.1267467291273041</v>
      </c>
      <c r="G758" s="306">
        <f t="shared" ca="1" si="330"/>
        <v>10.920549422219866</v>
      </c>
      <c r="H758" s="307">
        <f t="shared" ca="1" si="331"/>
        <v>-119.94357324073027</v>
      </c>
      <c r="I758" s="304">
        <f t="shared" ca="1" si="332"/>
        <v>120.43969097202789</v>
      </c>
      <c r="J758" s="306">
        <f t="shared" ca="1" si="333"/>
        <v>770.52896740167785</v>
      </c>
      <c r="K758" s="307">
        <f t="shared" ca="1" si="334"/>
        <v>-11.809134423672583</v>
      </c>
      <c r="L758" s="304">
        <f t="shared" ca="1" si="319"/>
        <v>770.61945554270324</v>
      </c>
      <c r="M758" s="306">
        <f t="shared" ca="1" si="335"/>
        <v>-1.4799992747272619</v>
      </c>
      <c r="N758" s="304">
        <f t="shared" ca="1" si="336"/>
        <v>-84.797712124294947</v>
      </c>
      <c r="P758" s="310">
        <f t="shared" ca="1" si="337"/>
        <v>23</v>
      </c>
      <c r="Q758" s="304">
        <f t="shared" ca="1" si="338"/>
        <v>0</v>
      </c>
      <c r="R758" s="306">
        <f t="shared" ca="1" si="339"/>
        <v>0</v>
      </c>
      <c r="S758" s="307">
        <f t="shared" ca="1" si="340"/>
        <v>7.4499999999999984</v>
      </c>
      <c r="T758" s="304">
        <f t="shared" ca="1" si="320"/>
        <v>73.084499999999991</v>
      </c>
      <c r="U758" s="311">
        <f t="shared" ca="1" si="321"/>
        <v>0</v>
      </c>
      <c r="V758" s="306">
        <f t="shared" ca="1" si="322"/>
        <v>1.2264474736374378</v>
      </c>
      <c r="W758" s="304">
        <f t="shared" ca="1" si="323"/>
        <v>58.391820283552235</v>
      </c>
      <c r="Y758" s="314" t="str">
        <f t="shared" ca="1" si="341"/>
        <v/>
      </c>
      <c r="Z758" s="315" t="str">
        <f t="shared" ca="1" si="342"/>
        <v/>
      </c>
      <c r="AA758" s="316" t="str">
        <f t="shared" ca="1" si="343"/>
        <v/>
      </c>
      <c r="AC758" s="310" t="e">
        <f t="shared" ca="1" si="344"/>
        <v>#N/A</v>
      </c>
      <c r="AD758" s="323" t="e">
        <f t="shared" ca="1" si="345"/>
        <v>#N/A</v>
      </c>
      <c r="AE758" s="324" t="e">
        <f t="shared" ca="1" si="324"/>
        <v>#N/A</v>
      </c>
      <c r="AG758" s="306">
        <f t="shared" ca="1" si="346"/>
        <v>1.9317961008051787</v>
      </c>
      <c r="AH758" s="304">
        <f t="shared" ca="1" si="347"/>
        <v>-7.8377936820481642</v>
      </c>
    </row>
    <row r="759" spans="1:34" x14ac:dyDescent="0.2">
      <c r="A759" s="347">
        <f t="shared" ca="1" si="325"/>
        <v>1E-4</v>
      </c>
      <c r="B759" s="304">
        <f t="shared" ca="1" si="326"/>
        <v>34.523000000000984</v>
      </c>
      <c r="D759" s="306">
        <f t="shared" ca="1" si="327"/>
        <v>-0.71067427866919219</v>
      </c>
      <c r="E759" s="307">
        <f t="shared" ca="1" si="328"/>
        <v>-2.0044575224005454</v>
      </c>
      <c r="F759" s="304">
        <f t="shared" ca="1" si="329"/>
        <v>2.1267129306679147</v>
      </c>
      <c r="G759" s="306">
        <f t="shared" ca="1" si="330"/>
        <v>10.920478354791999</v>
      </c>
      <c r="H759" s="307">
        <f t="shared" ca="1" si="331"/>
        <v>-119.94377368648252</v>
      </c>
      <c r="I759" s="304">
        <f t="shared" ca="1" si="332"/>
        <v>120.43988414828212</v>
      </c>
      <c r="J759" s="306">
        <f t="shared" ca="1" si="333"/>
        <v>770.52896740167785</v>
      </c>
      <c r="K759" s="307">
        <f t="shared" ca="1" si="334"/>
        <v>-11.821128791018944</v>
      </c>
      <c r="L759" s="304">
        <f t="shared" ca="1" si="319"/>
        <v>770.61963944022978</v>
      </c>
      <c r="M759" s="306">
        <f t="shared" ca="1" si="335"/>
        <v>-1.4800000132664326</v>
      </c>
      <c r="N759" s="304">
        <f t="shared" ca="1" si="336"/>
        <v>-84.797754439472442</v>
      </c>
      <c r="P759" s="310">
        <f t="shared" ca="1" si="337"/>
        <v>23</v>
      </c>
      <c r="Q759" s="304">
        <f t="shared" ca="1" si="338"/>
        <v>0</v>
      </c>
      <c r="R759" s="306">
        <f t="shared" ca="1" si="339"/>
        <v>0</v>
      </c>
      <c r="S759" s="307">
        <f t="shared" ca="1" si="340"/>
        <v>7.4499999999999984</v>
      </c>
      <c r="T759" s="304">
        <f t="shared" ca="1" si="320"/>
        <v>73.084499999999991</v>
      </c>
      <c r="U759" s="311">
        <f t="shared" ca="1" si="321"/>
        <v>0</v>
      </c>
      <c r="V759" s="306">
        <f t="shared" ca="1" si="322"/>
        <v>1.2264489446849867</v>
      </c>
      <c r="W759" s="304">
        <f t="shared" ca="1" si="323"/>
        <v>58.392077633510716</v>
      </c>
      <c r="Y759" s="314" t="str">
        <f t="shared" ca="1" si="341"/>
        <v/>
      </c>
      <c r="Z759" s="315" t="str">
        <f t="shared" ca="1" si="342"/>
        <v/>
      </c>
      <c r="AA759" s="316" t="str">
        <f t="shared" ca="1" si="343"/>
        <v/>
      </c>
      <c r="AC759" s="310" t="e">
        <f t="shared" ca="1" si="344"/>
        <v>#N/A</v>
      </c>
      <c r="AD759" s="323" t="e">
        <f t="shared" ca="1" si="345"/>
        <v>#N/A</v>
      </c>
      <c r="AE759" s="324" t="e">
        <f t="shared" ca="1" si="324"/>
        <v>#N/A</v>
      </c>
      <c r="AG759" s="306">
        <f t="shared" ca="1" si="346"/>
        <v>1.9317622138096544</v>
      </c>
      <c r="AH759" s="304">
        <f t="shared" ca="1" si="347"/>
        <v>-7.837828225980167</v>
      </c>
    </row>
    <row r="760" spans="1:34" x14ac:dyDescent="0.2">
      <c r="A760" s="347">
        <f t="shared" ca="1" si="325"/>
        <v>1E-4</v>
      </c>
      <c r="B760" s="304">
        <f t="shared" ca="1" si="326"/>
        <v>34.523100000000987</v>
      </c>
      <c r="D760" s="306">
        <f t="shared" ca="1" si="327"/>
        <v>-0.71067164609568589</v>
      </c>
      <c r="E760" s="307">
        <f t="shared" ca="1" si="328"/>
        <v>-2.0044225962137876</v>
      </c>
      <c r="F760" s="304">
        <f t="shared" ca="1" si="329"/>
        <v>2.1266791325389858</v>
      </c>
      <c r="G760" s="306">
        <f t="shared" ca="1" si="330"/>
        <v>10.920407287627389</v>
      </c>
      <c r="H760" s="307">
        <f t="shared" ca="1" si="331"/>
        <v>-119.94397412874214</v>
      </c>
      <c r="I760" s="304">
        <f t="shared" ca="1" si="332"/>
        <v>120.44007732114767</v>
      </c>
      <c r="J760" s="306">
        <f t="shared" ca="1" si="333"/>
        <v>770.52896740167785</v>
      </c>
      <c r="K760" s="307">
        <f t="shared" ca="1" si="334"/>
        <v>-11.833123178409705</v>
      </c>
      <c r="L760" s="304">
        <f t="shared" ca="1" si="319"/>
        <v>770.6198235247075</v>
      </c>
      <c r="M760" s="306">
        <f t="shared" ca="1" si="335"/>
        <v>-1.4800007517984282</v>
      </c>
      <c r="N760" s="304">
        <f t="shared" ca="1" si="336"/>
        <v>-84.797796754238817</v>
      </c>
      <c r="P760" s="310">
        <f t="shared" ca="1" si="337"/>
        <v>23</v>
      </c>
      <c r="Q760" s="304">
        <f t="shared" ca="1" si="338"/>
        <v>0</v>
      </c>
      <c r="R760" s="306">
        <f t="shared" ca="1" si="339"/>
        <v>0</v>
      </c>
      <c r="S760" s="307">
        <f t="shared" ca="1" si="340"/>
        <v>7.4499999999999984</v>
      </c>
      <c r="T760" s="304">
        <f t="shared" ca="1" si="320"/>
        <v>73.084499999999991</v>
      </c>
      <c r="U760" s="311">
        <f t="shared" ca="1" si="321"/>
        <v>0</v>
      </c>
      <c r="V760" s="306">
        <f t="shared" ca="1" si="322"/>
        <v>1.2264504157367591</v>
      </c>
      <c r="W760" s="304">
        <f t="shared" ca="1" si="323"/>
        <v>58.39233498113424</v>
      </c>
      <c r="Y760" s="314" t="str">
        <f t="shared" ca="1" si="341"/>
        <v/>
      </c>
      <c r="Z760" s="315" t="str">
        <f t="shared" ca="1" si="342"/>
        <v/>
      </c>
      <c r="AA760" s="316" t="str">
        <f t="shared" ca="1" si="343"/>
        <v/>
      </c>
      <c r="AC760" s="310" t="e">
        <f t="shared" ca="1" si="344"/>
        <v>#N/A</v>
      </c>
      <c r="AD760" s="323" t="e">
        <f t="shared" ca="1" si="345"/>
        <v>#N/A</v>
      </c>
      <c r="AE760" s="324" t="e">
        <f t="shared" ca="1" si="324"/>
        <v>#N/A</v>
      </c>
      <c r="AG760" s="306">
        <f t="shared" ca="1" si="346"/>
        <v>1.9317283271158345</v>
      </c>
      <c r="AH760" s="304">
        <f t="shared" ca="1" si="347"/>
        <v>-7.8378627695987557</v>
      </c>
    </row>
    <row r="761" spans="1:34" x14ac:dyDescent="0.2">
      <c r="A761" s="347">
        <f t="shared" ca="1" si="325"/>
        <v>1E-4</v>
      </c>
      <c r="B761" s="304">
        <f t="shared" ca="1" si="326"/>
        <v>34.52320000000099</v>
      </c>
      <c r="D761" s="306">
        <f t="shared" ca="1" si="327"/>
        <v>-0.71066901349856715</v>
      </c>
      <c r="E761" s="307">
        <f t="shared" ca="1" si="328"/>
        <v>-2.0043876703438857</v>
      </c>
      <c r="F761" s="304">
        <f t="shared" ca="1" si="329"/>
        <v>2.1266453347405196</v>
      </c>
      <c r="G761" s="306">
        <f t="shared" ca="1" si="330"/>
        <v>10.920336220726039</v>
      </c>
      <c r="H761" s="307">
        <f t="shared" ca="1" si="331"/>
        <v>-119.94417456750918</v>
      </c>
      <c r="I761" s="304">
        <f t="shared" ca="1" si="332"/>
        <v>120.4402704906246</v>
      </c>
      <c r="J761" s="306">
        <f t="shared" ca="1" si="333"/>
        <v>770.52896740167785</v>
      </c>
      <c r="K761" s="307">
        <f t="shared" ca="1" si="334"/>
        <v>-11.845117585844518</v>
      </c>
      <c r="L761" s="304">
        <f t="shared" ca="1" si="319"/>
        <v>770.62000779613709</v>
      </c>
      <c r="M761" s="306">
        <f t="shared" ca="1" si="335"/>
        <v>-1.4800014903232486</v>
      </c>
      <c r="N761" s="304">
        <f t="shared" ca="1" si="336"/>
        <v>-84.797839068594087</v>
      </c>
      <c r="P761" s="310">
        <f t="shared" ca="1" si="337"/>
        <v>23</v>
      </c>
      <c r="Q761" s="304">
        <f t="shared" ca="1" si="338"/>
        <v>0</v>
      </c>
      <c r="R761" s="306">
        <f t="shared" ca="1" si="339"/>
        <v>0</v>
      </c>
      <c r="S761" s="307">
        <f t="shared" ca="1" si="340"/>
        <v>7.4499999999999984</v>
      </c>
      <c r="T761" s="304">
        <f t="shared" ca="1" si="320"/>
        <v>73.084499999999991</v>
      </c>
      <c r="U761" s="311">
        <f t="shared" ca="1" si="321"/>
        <v>0</v>
      </c>
      <c r="V761" s="306">
        <f t="shared" ca="1" si="322"/>
        <v>1.2264518867927554</v>
      </c>
      <c r="W761" s="304">
        <f t="shared" ca="1" si="323"/>
        <v>58.392592326422836</v>
      </c>
      <c r="Y761" s="314" t="str">
        <f t="shared" ca="1" si="341"/>
        <v/>
      </c>
      <c r="Z761" s="315" t="str">
        <f t="shared" ca="1" si="342"/>
        <v/>
      </c>
      <c r="AA761" s="316" t="str">
        <f t="shared" ca="1" si="343"/>
        <v/>
      </c>
      <c r="AC761" s="310" t="e">
        <f t="shared" ca="1" si="344"/>
        <v>#N/A</v>
      </c>
      <c r="AD761" s="323" t="e">
        <f t="shared" ca="1" si="345"/>
        <v>#N/A</v>
      </c>
      <c r="AE761" s="324" t="e">
        <f t="shared" ca="1" si="324"/>
        <v>#N/A</v>
      </c>
      <c r="AG761" s="306">
        <f t="shared" ca="1" si="346"/>
        <v>1.9316944407237209</v>
      </c>
      <c r="AH761" s="304">
        <f t="shared" ca="1" si="347"/>
        <v>-7.8378973129039267</v>
      </c>
    </row>
    <row r="762" spans="1:34" x14ac:dyDescent="0.2">
      <c r="A762" s="347">
        <f t="shared" ca="1" si="325"/>
        <v>1E-4</v>
      </c>
      <c r="B762" s="304">
        <f t="shared" ca="1" si="326"/>
        <v>34.523300000000994</v>
      </c>
      <c r="D762" s="306">
        <f t="shared" ca="1" si="327"/>
        <v>-0.71066638087783773</v>
      </c>
      <c r="E762" s="307">
        <f t="shared" ca="1" si="328"/>
        <v>-2.0043527447908369</v>
      </c>
      <c r="F762" s="304">
        <f t="shared" ca="1" si="329"/>
        <v>2.1266115372725141</v>
      </c>
      <c r="G762" s="306">
        <f t="shared" ca="1" si="330"/>
        <v>10.920265154087952</v>
      </c>
      <c r="H762" s="307">
        <f t="shared" ca="1" si="331"/>
        <v>-119.94437500278366</v>
      </c>
      <c r="I762" s="304">
        <f t="shared" ca="1" si="332"/>
        <v>120.44046365671289</v>
      </c>
      <c r="J762" s="306">
        <f t="shared" ca="1" si="333"/>
        <v>770.52896740167785</v>
      </c>
      <c r="K762" s="307">
        <f t="shared" ca="1" si="334"/>
        <v>-11.857112013323032</v>
      </c>
      <c r="L762" s="304">
        <f t="shared" ca="1" si="319"/>
        <v>770.62019225451945</v>
      </c>
      <c r="M762" s="306">
        <f t="shared" ca="1" si="335"/>
        <v>-1.4800022288408938</v>
      </c>
      <c r="N762" s="304">
        <f t="shared" ca="1" si="336"/>
        <v>-84.797881382538264</v>
      </c>
      <c r="P762" s="310">
        <f t="shared" ca="1" si="337"/>
        <v>23</v>
      </c>
      <c r="Q762" s="304">
        <f t="shared" ca="1" si="338"/>
        <v>0</v>
      </c>
      <c r="R762" s="306">
        <f t="shared" ca="1" si="339"/>
        <v>0</v>
      </c>
      <c r="S762" s="307">
        <f t="shared" ca="1" si="340"/>
        <v>7.4499999999999984</v>
      </c>
      <c r="T762" s="304">
        <f t="shared" ca="1" si="320"/>
        <v>73.084499999999991</v>
      </c>
      <c r="U762" s="311">
        <f t="shared" ca="1" si="321"/>
        <v>0</v>
      </c>
      <c r="V762" s="306">
        <f t="shared" ca="1" si="322"/>
        <v>1.2264533578529753</v>
      </c>
      <c r="W762" s="304">
        <f t="shared" ca="1" si="323"/>
        <v>58.392849669376453</v>
      </c>
      <c r="Y762" s="314" t="str">
        <f t="shared" ca="1" si="341"/>
        <v/>
      </c>
      <c r="Z762" s="315" t="str">
        <f t="shared" ca="1" si="342"/>
        <v/>
      </c>
      <c r="AA762" s="316" t="str">
        <f t="shared" ca="1" si="343"/>
        <v/>
      </c>
      <c r="AC762" s="310" t="e">
        <f t="shared" ca="1" si="344"/>
        <v>#N/A</v>
      </c>
      <c r="AD762" s="323" t="e">
        <f t="shared" ca="1" si="345"/>
        <v>#N/A</v>
      </c>
      <c r="AE762" s="324" t="e">
        <f t="shared" ca="1" si="324"/>
        <v>#N/A</v>
      </c>
      <c r="AG762" s="306">
        <f t="shared" ca="1" si="346"/>
        <v>1.9316605546333108</v>
      </c>
      <c r="AH762" s="304">
        <f t="shared" ca="1" si="347"/>
        <v>-7.8379318558956843</v>
      </c>
    </row>
    <row r="763" spans="1:34" x14ac:dyDescent="0.2">
      <c r="A763" s="347">
        <f t="shared" ca="1" si="325"/>
        <v>1E-4</v>
      </c>
      <c r="B763" s="304">
        <f t="shared" ca="1" si="326"/>
        <v>34.523400000000997</v>
      </c>
      <c r="D763" s="306">
        <f t="shared" ca="1" si="327"/>
        <v>-0.71066374823349854</v>
      </c>
      <c r="E763" s="307">
        <f t="shared" ca="1" si="328"/>
        <v>-2.0043178195546458</v>
      </c>
      <c r="F763" s="304">
        <f t="shared" ca="1" si="329"/>
        <v>2.1265777401349744</v>
      </c>
      <c r="G763" s="306">
        <f t="shared" ca="1" si="330"/>
        <v>10.920194087713128</v>
      </c>
      <c r="H763" s="307">
        <f t="shared" ca="1" si="331"/>
        <v>-119.94457543456561</v>
      </c>
      <c r="I763" s="304">
        <f t="shared" ca="1" si="332"/>
        <v>120.44065681941262</v>
      </c>
      <c r="J763" s="306">
        <f t="shared" ca="1" si="333"/>
        <v>770.52896740167785</v>
      </c>
      <c r="K763" s="307">
        <f t="shared" ca="1" si="334"/>
        <v>-11.8691064608449</v>
      </c>
      <c r="L763" s="304">
        <f t="shared" ca="1" si="319"/>
        <v>770.62037689985516</v>
      </c>
      <c r="M763" s="306">
        <f t="shared" ca="1" si="335"/>
        <v>-1.4800029673513642</v>
      </c>
      <c r="N763" s="304">
        <f t="shared" ca="1" si="336"/>
        <v>-84.797923696071337</v>
      </c>
      <c r="P763" s="310">
        <f t="shared" ca="1" si="337"/>
        <v>23</v>
      </c>
      <c r="Q763" s="304">
        <f t="shared" ca="1" si="338"/>
        <v>0</v>
      </c>
      <c r="R763" s="306">
        <f t="shared" ca="1" si="339"/>
        <v>0</v>
      </c>
      <c r="S763" s="307">
        <f t="shared" ca="1" si="340"/>
        <v>7.4499999999999984</v>
      </c>
      <c r="T763" s="304">
        <f t="shared" ca="1" si="320"/>
        <v>73.084499999999991</v>
      </c>
      <c r="U763" s="311">
        <f t="shared" ca="1" si="321"/>
        <v>0</v>
      </c>
      <c r="V763" s="306">
        <f t="shared" ca="1" si="322"/>
        <v>1.2264548289174189</v>
      </c>
      <c r="W763" s="304">
        <f t="shared" ca="1" si="323"/>
        <v>58.393107009995148</v>
      </c>
      <c r="Y763" s="314" t="str">
        <f t="shared" ca="1" si="341"/>
        <v/>
      </c>
      <c r="Z763" s="315" t="str">
        <f t="shared" ca="1" si="342"/>
        <v/>
      </c>
      <c r="AA763" s="316" t="str">
        <f t="shared" ca="1" si="343"/>
        <v/>
      </c>
      <c r="AC763" s="310" t="e">
        <f t="shared" ca="1" si="344"/>
        <v>#N/A</v>
      </c>
      <c r="AD763" s="323" t="e">
        <f t="shared" ca="1" si="345"/>
        <v>#N/A</v>
      </c>
      <c r="AE763" s="324" t="e">
        <f t="shared" ca="1" si="324"/>
        <v>#N/A</v>
      </c>
      <c r="AG763" s="306">
        <f t="shared" ca="1" si="346"/>
        <v>1.9316266688446087</v>
      </c>
      <c r="AH763" s="304">
        <f t="shared" ca="1" si="347"/>
        <v>-7.8379663985740224</v>
      </c>
    </row>
    <row r="764" spans="1:34" x14ac:dyDescent="0.2">
      <c r="A764" s="347">
        <f t="shared" ca="1" si="325"/>
        <v>1E-4</v>
      </c>
      <c r="B764" s="304">
        <f t="shared" ca="1" si="326"/>
        <v>34.523500000001</v>
      </c>
      <c r="D764" s="306">
        <f t="shared" ca="1" si="327"/>
        <v>-0.71066111556555001</v>
      </c>
      <c r="E764" s="307">
        <f t="shared" ca="1" si="328"/>
        <v>-2.0042828946353071</v>
      </c>
      <c r="F764" s="304">
        <f t="shared" ca="1" si="329"/>
        <v>2.1265439433278961</v>
      </c>
      <c r="G764" s="306">
        <f t="shared" ca="1" si="330"/>
        <v>10.920123021601571</v>
      </c>
      <c r="H764" s="307">
        <f t="shared" ca="1" si="331"/>
        <v>-119.94477586285507</v>
      </c>
      <c r="I764" s="304">
        <f t="shared" ca="1" si="332"/>
        <v>120.44084997872379</v>
      </c>
      <c r="J764" s="306">
        <f t="shared" ca="1" si="333"/>
        <v>770.52896740167785</v>
      </c>
      <c r="K764" s="307">
        <f t="shared" ca="1" si="334"/>
        <v>-11.881100928409772</v>
      </c>
      <c r="L764" s="304">
        <f t="shared" ca="1" si="319"/>
        <v>770.62056173214523</v>
      </c>
      <c r="M764" s="306">
        <f t="shared" ca="1" si="335"/>
        <v>-1.4800037058546596</v>
      </c>
      <c r="N764" s="304">
        <f t="shared" ca="1" si="336"/>
        <v>-84.797966009193317</v>
      </c>
      <c r="P764" s="310">
        <f t="shared" ca="1" si="337"/>
        <v>23</v>
      </c>
      <c r="Q764" s="304">
        <f t="shared" ca="1" si="338"/>
        <v>0</v>
      </c>
      <c r="R764" s="306">
        <f t="shared" ca="1" si="339"/>
        <v>0</v>
      </c>
      <c r="S764" s="307">
        <f t="shared" ca="1" si="340"/>
        <v>7.4499999999999984</v>
      </c>
      <c r="T764" s="304">
        <f t="shared" ca="1" si="320"/>
        <v>73.084499999999991</v>
      </c>
      <c r="U764" s="311">
        <f t="shared" ca="1" si="321"/>
        <v>0</v>
      </c>
      <c r="V764" s="306">
        <f t="shared" ca="1" si="322"/>
        <v>1.2264562999860864</v>
      </c>
      <c r="W764" s="304">
        <f t="shared" ca="1" si="323"/>
        <v>58.393364348278901</v>
      </c>
      <c r="Y764" s="314" t="str">
        <f t="shared" ca="1" si="341"/>
        <v/>
      </c>
      <c r="Z764" s="315" t="str">
        <f t="shared" ca="1" si="342"/>
        <v/>
      </c>
      <c r="AA764" s="316" t="str">
        <f t="shared" ca="1" si="343"/>
        <v/>
      </c>
      <c r="AC764" s="310" t="e">
        <f t="shared" ca="1" si="344"/>
        <v>#N/A</v>
      </c>
      <c r="AD764" s="323" t="e">
        <f t="shared" ca="1" si="345"/>
        <v>#N/A</v>
      </c>
      <c r="AE764" s="324" t="e">
        <f t="shared" ca="1" si="324"/>
        <v>#N/A</v>
      </c>
      <c r="AG764" s="306">
        <f t="shared" ca="1" si="346"/>
        <v>1.9315927833576074</v>
      </c>
      <c r="AH764" s="304">
        <f t="shared" ca="1" si="347"/>
        <v>-7.8380009409389482</v>
      </c>
    </row>
    <row r="765" spans="1:34" x14ac:dyDescent="0.2">
      <c r="A765" s="347">
        <f t="shared" ca="1" si="325"/>
        <v>1E-4</v>
      </c>
      <c r="B765" s="304">
        <f t="shared" ca="1" si="326"/>
        <v>34.523600000001004</v>
      </c>
      <c r="D765" s="306">
        <f t="shared" ca="1" si="327"/>
        <v>-0.71065848287399302</v>
      </c>
      <c r="E765" s="307">
        <f t="shared" ca="1" si="328"/>
        <v>-2.0042479700328242</v>
      </c>
      <c r="F765" s="304">
        <f t="shared" ca="1" si="329"/>
        <v>2.1265101468512824</v>
      </c>
      <c r="G765" s="306">
        <f t="shared" ca="1" si="330"/>
        <v>10.920051955753284</v>
      </c>
      <c r="H765" s="307">
        <f t="shared" ca="1" si="331"/>
        <v>-119.94497628765207</v>
      </c>
      <c r="I765" s="304">
        <f t="shared" ca="1" si="332"/>
        <v>120.44104313464645</v>
      </c>
      <c r="J765" s="306">
        <f t="shared" ca="1" si="333"/>
        <v>770.52896740167785</v>
      </c>
      <c r="K765" s="307">
        <f t="shared" ca="1" si="334"/>
        <v>-11.893095416017298</v>
      </c>
      <c r="L765" s="304">
        <f t="shared" ca="1" si="319"/>
        <v>770.62074675139024</v>
      </c>
      <c r="M765" s="306">
        <f t="shared" ca="1" si="335"/>
        <v>-1.4800044443507803</v>
      </c>
      <c r="N765" s="304">
        <f t="shared" ca="1" si="336"/>
        <v>-84.79800832190422</v>
      </c>
      <c r="P765" s="310">
        <f t="shared" ca="1" si="337"/>
        <v>23</v>
      </c>
      <c r="Q765" s="304">
        <f t="shared" ca="1" si="338"/>
        <v>0</v>
      </c>
      <c r="R765" s="306">
        <f t="shared" ca="1" si="339"/>
        <v>0</v>
      </c>
      <c r="S765" s="307">
        <f t="shared" ca="1" si="340"/>
        <v>7.4499999999999984</v>
      </c>
      <c r="T765" s="304">
        <f t="shared" ca="1" si="320"/>
        <v>73.084499999999991</v>
      </c>
      <c r="U765" s="311">
        <f t="shared" ca="1" si="321"/>
        <v>0</v>
      </c>
      <c r="V765" s="306">
        <f t="shared" ca="1" si="322"/>
        <v>1.226457771058977</v>
      </c>
      <c r="W765" s="304">
        <f t="shared" ca="1" si="323"/>
        <v>58.393621684227703</v>
      </c>
      <c r="Y765" s="314" t="str">
        <f t="shared" ca="1" si="341"/>
        <v/>
      </c>
      <c r="Z765" s="315" t="str">
        <f t="shared" ca="1" si="342"/>
        <v/>
      </c>
      <c r="AA765" s="316" t="str">
        <f t="shared" ca="1" si="343"/>
        <v/>
      </c>
      <c r="AC765" s="310" t="e">
        <f t="shared" ca="1" si="344"/>
        <v>#N/A</v>
      </c>
      <c r="AD765" s="323" t="e">
        <f t="shared" ca="1" si="345"/>
        <v>#N/A</v>
      </c>
      <c r="AE765" s="324" t="e">
        <f t="shared" ca="1" si="324"/>
        <v>#N/A</v>
      </c>
      <c r="AG765" s="306">
        <f t="shared" ca="1" si="346"/>
        <v>1.9315588981723142</v>
      </c>
      <c r="AH765" s="304">
        <f t="shared" ca="1" si="347"/>
        <v>-7.8380354829904579</v>
      </c>
    </row>
    <row r="766" spans="1:34" x14ac:dyDescent="0.2">
      <c r="A766" s="347">
        <f t="shared" ca="1" si="325"/>
        <v>1E-4</v>
      </c>
      <c r="B766" s="304">
        <f t="shared" ca="1" si="326"/>
        <v>34.523700000001007</v>
      </c>
      <c r="D766" s="306">
        <f t="shared" ca="1" si="327"/>
        <v>-0.7106558501588276</v>
      </c>
      <c r="E766" s="307">
        <f t="shared" ca="1" si="328"/>
        <v>-2.0042130457471954</v>
      </c>
      <c r="F766" s="304">
        <f t="shared" ca="1" si="329"/>
        <v>2.1264763507051319</v>
      </c>
      <c r="G766" s="306">
        <f t="shared" ca="1" si="330"/>
        <v>10.919980890168267</v>
      </c>
      <c r="H766" s="307">
        <f t="shared" ca="1" si="331"/>
        <v>-119.94517670895664</v>
      </c>
      <c r="I766" s="304">
        <f t="shared" ca="1" si="332"/>
        <v>120.44123628718062</v>
      </c>
      <c r="J766" s="306">
        <f t="shared" ca="1" si="333"/>
        <v>770.52896740167785</v>
      </c>
      <c r="K766" s="307">
        <f t="shared" ca="1" si="334"/>
        <v>-11.905089923667129</v>
      </c>
      <c r="L766" s="304">
        <f t="shared" ca="1" si="319"/>
        <v>770.62093195759132</v>
      </c>
      <c r="M766" s="306">
        <f t="shared" ca="1" si="335"/>
        <v>-1.4800051828397263</v>
      </c>
      <c r="N766" s="304">
        <f t="shared" ca="1" si="336"/>
        <v>-84.798050634204046</v>
      </c>
      <c r="P766" s="310">
        <f t="shared" ca="1" si="337"/>
        <v>23</v>
      </c>
      <c r="Q766" s="304">
        <f t="shared" ca="1" si="338"/>
        <v>0</v>
      </c>
      <c r="R766" s="306">
        <f t="shared" ca="1" si="339"/>
        <v>0</v>
      </c>
      <c r="S766" s="307">
        <f t="shared" ca="1" si="340"/>
        <v>7.4499999999999984</v>
      </c>
      <c r="T766" s="304">
        <f t="shared" ca="1" si="320"/>
        <v>73.084499999999991</v>
      </c>
      <c r="U766" s="311">
        <f t="shared" ca="1" si="321"/>
        <v>0</v>
      </c>
      <c r="V766" s="306">
        <f t="shared" ca="1" si="322"/>
        <v>1.226459242136092</v>
      </c>
      <c r="W766" s="304">
        <f t="shared" ca="1" si="323"/>
        <v>58.393879017841627</v>
      </c>
      <c r="Y766" s="314" t="str">
        <f t="shared" ca="1" si="341"/>
        <v/>
      </c>
      <c r="Z766" s="315" t="str">
        <f t="shared" ca="1" si="342"/>
        <v/>
      </c>
      <c r="AA766" s="316" t="str">
        <f t="shared" ca="1" si="343"/>
        <v/>
      </c>
      <c r="AC766" s="310" t="e">
        <f t="shared" ca="1" si="344"/>
        <v>#N/A</v>
      </c>
      <c r="AD766" s="323" t="e">
        <f t="shared" ca="1" si="345"/>
        <v>#N/A</v>
      </c>
      <c r="AE766" s="324" t="e">
        <f t="shared" ca="1" si="324"/>
        <v>#N/A</v>
      </c>
      <c r="AG766" s="306">
        <f t="shared" ca="1" si="346"/>
        <v>1.9315250132887245</v>
      </c>
      <c r="AH766" s="304">
        <f t="shared" ca="1" si="347"/>
        <v>-7.8380700247285526</v>
      </c>
    </row>
    <row r="767" spans="1:34" x14ac:dyDescent="0.2">
      <c r="A767" s="347">
        <f t="shared" ca="1" si="325"/>
        <v>1E-4</v>
      </c>
      <c r="B767" s="304">
        <f t="shared" ca="1" si="326"/>
        <v>34.52380000000101</v>
      </c>
      <c r="D767" s="306">
        <f t="shared" ca="1" si="327"/>
        <v>-0.71065321742005572</v>
      </c>
      <c r="E767" s="307">
        <f t="shared" ca="1" si="328"/>
        <v>-2.0041781217784127</v>
      </c>
      <c r="F767" s="304">
        <f t="shared" ca="1" si="329"/>
        <v>2.1264425548894383</v>
      </c>
      <c r="G767" s="306">
        <f t="shared" ca="1" si="330"/>
        <v>10.919909824846524</v>
      </c>
      <c r="H767" s="307">
        <f t="shared" ca="1" si="331"/>
        <v>-119.94537712676882</v>
      </c>
      <c r="I767" s="304">
        <f t="shared" ca="1" si="332"/>
        <v>120.44142943632633</v>
      </c>
      <c r="J767" s="306">
        <f t="shared" ca="1" si="333"/>
        <v>770.52896740167785</v>
      </c>
      <c r="K767" s="307">
        <f t="shared" ca="1" si="334"/>
        <v>-11.917084451358916</v>
      </c>
      <c r="L767" s="304">
        <f t="shared" ca="1" si="319"/>
        <v>770.62111735074893</v>
      </c>
      <c r="M767" s="306">
        <f t="shared" ca="1" si="335"/>
        <v>-1.4800059213214978</v>
      </c>
      <c r="N767" s="304">
        <f t="shared" ca="1" si="336"/>
        <v>-84.798092946092794</v>
      </c>
      <c r="P767" s="310">
        <f t="shared" ca="1" si="337"/>
        <v>23</v>
      </c>
      <c r="Q767" s="304">
        <f t="shared" ca="1" si="338"/>
        <v>0</v>
      </c>
      <c r="R767" s="306">
        <f t="shared" ca="1" si="339"/>
        <v>0</v>
      </c>
      <c r="S767" s="307">
        <f t="shared" ca="1" si="340"/>
        <v>7.4499999999999984</v>
      </c>
      <c r="T767" s="304">
        <f t="shared" ca="1" si="320"/>
        <v>73.084499999999991</v>
      </c>
      <c r="U767" s="311">
        <f t="shared" ca="1" si="321"/>
        <v>0</v>
      </c>
      <c r="V767" s="306">
        <f t="shared" ca="1" si="322"/>
        <v>1.2264607132174299</v>
      </c>
      <c r="W767" s="304">
        <f t="shared" ca="1" si="323"/>
        <v>58.394136349120572</v>
      </c>
      <c r="Y767" s="314" t="str">
        <f t="shared" ca="1" si="341"/>
        <v/>
      </c>
      <c r="Z767" s="315" t="str">
        <f t="shared" ca="1" si="342"/>
        <v/>
      </c>
      <c r="AA767" s="316" t="str">
        <f t="shared" ca="1" si="343"/>
        <v/>
      </c>
      <c r="AC767" s="310" t="e">
        <f t="shared" ca="1" si="344"/>
        <v>#N/A</v>
      </c>
      <c r="AD767" s="323" t="e">
        <f t="shared" ca="1" si="345"/>
        <v>#N/A</v>
      </c>
      <c r="AE767" s="324" t="e">
        <f t="shared" ca="1" si="324"/>
        <v>#N/A</v>
      </c>
      <c r="AG767" s="306">
        <f t="shared" ca="1" si="346"/>
        <v>1.9314911287068339</v>
      </c>
      <c r="AH767" s="304">
        <f t="shared" ca="1" si="347"/>
        <v>-7.8381045661532402</v>
      </c>
    </row>
    <row r="768" spans="1:34" x14ac:dyDescent="0.2">
      <c r="A768" s="347">
        <f t="shared" ca="1" si="325"/>
        <v>1E-4</v>
      </c>
      <c r="B768" s="304">
        <f t="shared" ca="1" si="326"/>
        <v>34.523900000001014</v>
      </c>
      <c r="D768" s="306">
        <f t="shared" ca="1" si="327"/>
        <v>-0.71065058465767605</v>
      </c>
      <c r="E768" s="307">
        <f t="shared" ca="1" si="328"/>
        <v>-2.0041431981264886</v>
      </c>
      <c r="F768" s="304">
        <f t="shared" ca="1" si="329"/>
        <v>2.1264087594042134</v>
      </c>
      <c r="G768" s="306">
        <f t="shared" ca="1" si="330"/>
        <v>10.919838759788059</v>
      </c>
      <c r="H768" s="307">
        <f t="shared" ca="1" si="331"/>
        <v>-119.94557754108862</v>
      </c>
      <c r="I768" s="304">
        <f t="shared" ca="1" si="332"/>
        <v>120.44162258208361</v>
      </c>
      <c r="J768" s="306">
        <f t="shared" ca="1" si="333"/>
        <v>770.52896740167785</v>
      </c>
      <c r="K768" s="307">
        <f t="shared" ca="1" si="334"/>
        <v>-11.929078999092308</v>
      </c>
      <c r="L768" s="304">
        <f t="shared" ca="1" si="319"/>
        <v>770.62130293086409</v>
      </c>
      <c r="M768" s="306">
        <f t="shared" ca="1" si="335"/>
        <v>-1.480006659796095</v>
      </c>
      <c r="N768" s="304">
        <f t="shared" ca="1" si="336"/>
        <v>-84.798135257570507</v>
      </c>
      <c r="P768" s="310">
        <f t="shared" ca="1" si="337"/>
        <v>23</v>
      </c>
      <c r="Q768" s="304">
        <f t="shared" ca="1" si="338"/>
        <v>0</v>
      </c>
      <c r="R768" s="306">
        <f t="shared" ca="1" si="339"/>
        <v>0</v>
      </c>
      <c r="S768" s="307">
        <f t="shared" ca="1" si="340"/>
        <v>7.4499999999999984</v>
      </c>
      <c r="T768" s="304">
        <f t="shared" ca="1" si="320"/>
        <v>73.084499999999991</v>
      </c>
      <c r="U768" s="311">
        <f t="shared" ca="1" si="321"/>
        <v>0</v>
      </c>
      <c r="V768" s="306">
        <f t="shared" ca="1" si="322"/>
        <v>1.2264621843029919</v>
      </c>
      <c r="W768" s="304">
        <f t="shared" ca="1" si="323"/>
        <v>58.394393678064638</v>
      </c>
      <c r="Y768" s="314" t="str">
        <f t="shared" ca="1" si="341"/>
        <v/>
      </c>
      <c r="Z768" s="315" t="str">
        <f t="shared" ca="1" si="342"/>
        <v/>
      </c>
      <c r="AA768" s="316" t="str">
        <f t="shared" ca="1" si="343"/>
        <v/>
      </c>
      <c r="AC768" s="310" t="e">
        <f t="shared" ca="1" si="344"/>
        <v>#N/A</v>
      </c>
      <c r="AD768" s="323" t="e">
        <f t="shared" ca="1" si="345"/>
        <v>#N/A</v>
      </c>
      <c r="AE768" s="324" t="e">
        <f t="shared" ca="1" si="324"/>
        <v>#N/A</v>
      </c>
      <c r="AG768" s="306">
        <f t="shared" ca="1" si="346"/>
        <v>1.9314572444266531</v>
      </c>
      <c r="AH768" s="304">
        <f t="shared" ca="1" si="347"/>
        <v>-7.8381391072645084</v>
      </c>
    </row>
    <row r="769" spans="1:34" x14ac:dyDescent="0.2">
      <c r="A769" s="347">
        <f t="shared" ca="1" si="325"/>
        <v>1E-4</v>
      </c>
      <c r="B769" s="304">
        <f t="shared" ca="1" si="326"/>
        <v>34.524000000001017</v>
      </c>
      <c r="D769" s="306">
        <f t="shared" ca="1" si="327"/>
        <v>-0.7106479518716895</v>
      </c>
      <c r="E769" s="307">
        <f t="shared" ca="1" si="328"/>
        <v>-2.0041082747914114</v>
      </c>
      <c r="F769" s="304">
        <f t="shared" ca="1" si="329"/>
        <v>2.1263749642494463</v>
      </c>
      <c r="G769" s="306">
        <f t="shared" ca="1" si="330"/>
        <v>10.919767694992871</v>
      </c>
      <c r="H769" s="307">
        <f t="shared" ca="1" si="331"/>
        <v>-119.9457779519161</v>
      </c>
      <c r="I769" s="304">
        <f t="shared" ca="1" si="332"/>
        <v>120.4418157244525</v>
      </c>
      <c r="J769" s="306">
        <f t="shared" ca="1" si="333"/>
        <v>770.52896740167785</v>
      </c>
      <c r="K769" s="307">
        <f t="shared" ca="1" si="334"/>
        <v>-11.941073566866958</v>
      </c>
      <c r="L769" s="304">
        <f t="shared" ca="1" si="319"/>
        <v>770.62148869793737</v>
      </c>
      <c r="M769" s="306">
        <f t="shared" ca="1" si="335"/>
        <v>-1.4800073982635178</v>
      </c>
      <c r="N769" s="304">
        <f t="shared" ca="1" si="336"/>
        <v>-84.798177568637129</v>
      </c>
      <c r="P769" s="310">
        <f t="shared" ca="1" si="337"/>
        <v>23</v>
      </c>
      <c r="Q769" s="304">
        <f t="shared" ca="1" si="338"/>
        <v>0</v>
      </c>
      <c r="R769" s="306">
        <f t="shared" ca="1" si="339"/>
        <v>0</v>
      </c>
      <c r="S769" s="307">
        <f t="shared" ca="1" si="340"/>
        <v>7.4499999999999984</v>
      </c>
      <c r="T769" s="304">
        <f t="shared" ca="1" si="320"/>
        <v>73.084499999999991</v>
      </c>
      <c r="U769" s="311">
        <f t="shared" ca="1" si="321"/>
        <v>0</v>
      </c>
      <c r="V769" s="306">
        <f t="shared" ca="1" si="322"/>
        <v>1.2264636553927775</v>
      </c>
      <c r="W769" s="304">
        <f t="shared" ca="1" si="323"/>
        <v>58.394651004673776</v>
      </c>
      <c r="Y769" s="314" t="str">
        <f t="shared" ca="1" si="341"/>
        <v/>
      </c>
      <c r="Z769" s="315" t="str">
        <f t="shared" ca="1" si="342"/>
        <v/>
      </c>
      <c r="AA769" s="316" t="str">
        <f t="shared" ca="1" si="343"/>
        <v/>
      </c>
      <c r="AC769" s="310" t="e">
        <f t="shared" ca="1" si="344"/>
        <v>#N/A</v>
      </c>
      <c r="AD769" s="323" t="e">
        <f t="shared" ca="1" si="345"/>
        <v>#N/A</v>
      </c>
      <c r="AE769" s="324" t="e">
        <f t="shared" ca="1" si="324"/>
        <v>#N/A</v>
      </c>
      <c r="AG769" s="306">
        <f t="shared" ca="1" si="346"/>
        <v>1.9314233604481696</v>
      </c>
      <c r="AH769" s="304">
        <f t="shared" ca="1" si="347"/>
        <v>-7.8381736480623694</v>
      </c>
    </row>
    <row r="770" spans="1:34" x14ac:dyDescent="0.2">
      <c r="A770" s="347">
        <f t="shared" ca="1" si="325"/>
        <v>1E-4</v>
      </c>
      <c r="B770" s="304">
        <f t="shared" ca="1" si="326"/>
        <v>34.52410000000102</v>
      </c>
      <c r="D770" s="306">
        <f t="shared" ca="1" si="327"/>
        <v>-0.7106453190620986</v>
      </c>
      <c r="E770" s="307">
        <f t="shared" ca="1" si="328"/>
        <v>-2.0040733517731866</v>
      </c>
      <c r="F770" s="304">
        <f t="shared" ca="1" si="329"/>
        <v>2.1263411694251433</v>
      </c>
      <c r="G770" s="306">
        <f t="shared" ca="1" si="330"/>
        <v>10.919696630460964</v>
      </c>
      <c r="H770" s="307">
        <f t="shared" ca="1" si="331"/>
        <v>-119.94597835925127</v>
      </c>
      <c r="I770" s="304">
        <f t="shared" ca="1" si="332"/>
        <v>120.442008863433</v>
      </c>
      <c r="J770" s="306">
        <f t="shared" ca="1" si="333"/>
        <v>770.52896740167785</v>
      </c>
      <c r="K770" s="307">
        <f t="shared" ca="1" si="334"/>
        <v>-11.953068154682516</v>
      </c>
      <c r="L770" s="304">
        <f t="shared" ca="1" si="319"/>
        <v>770.62167465196978</v>
      </c>
      <c r="M770" s="306">
        <f t="shared" ca="1" si="335"/>
        <v>-1.4800081367237663</v>
      </c>
      <c r="N770" s="304">
        <f t="shared" ca="1" si="336"/>
        <v>-84.798219879292716</v>
      </c>
      <c r="P770" s="310">
        <f t="shared" ca="1" si="337"/>
        <v>23</v>
      </c>
      <c r="Q770" s="304">
        <f t="shared" ca="1" si="338"/>
        <v>0</v>
      </c>
      <c r="R770" s="306">
        <f t="shared" ca="1" si="339"/>
        <v>0</v>
      </c>
      <c r="S770" s="307">
        <f t="shared" ca="1" si="340"/>
        <v>7.4499999999999984</v>
      </c>
      <c r="T770" s="304">
        <f t="shared" ca="1" si="320"/>
        <v>73.084499999999991</v>
      </c>
      <c r="U770" s="311">
        <f t="shared" ca="1" si="321"/>
        <v>0</v>
      </c>
      <c r="V770" s="306">
        <f t="shared" ca="1" si="322"/>
        <v>1.2264651264867863</v>
      </c>
      <c r="W770" s="304">
        <f t="shared" ca="1" si="323"/>
        <v>58.39490832894797</v>
      </c>
      <c r="Y770" s="314" t="str">
        <f t="shared" ca="1" si="341"/>
        <v/>
      </c>
      <c r="Z770" s="315" t="str">
        <f t="shared" ca="1" si="342"/>
        <v/>
      </c>
      <c r="AA770" s="316" t="str">
        <f t="shared" ca="1" si="343"/>
        <v/>
      </c>
      <c r="AC770" s="310" t="e">
        <f t="shared" ca="1" si="344"/>
        <v>#N/A</v>
      </c>
      <c r="AD770" s="323" t="e">
        <f t="shared" ca="1" si="345"/>
        <v>#N/A</v>
      </c>
      <c r="AE770" s="324" t="e">
        <f t="shared" ca="1" si="324"/>
        <v>#N/A</v>
      </c>
      <c r="AG770" s="306">
        <f t="shared" ca="1" si="346"/>
        <v>1.9313894767713915</v>
      </c>
      <c r="AH770" s="304">
        <f t="shared" ca="1" si="347"/>
        <v>-7.8382081885468171</v>
      </c>
    </row>
    <row r="771" spans="1:34" x14ac:dyDescent="0.2">
      <c r="A771" s="347">
        <f t="shared" ca="1" si="325"/>
        <v>1E-4</v>
      </c>
      <c r="B771" s="304">
        <f t="shared" ca="1" si="326"/>
        <v>34.524200000001024</v>
      </c>
      <c r="D771" s="306">
        <f t="shared" ca="1" si="327"/>
        <v>-0.71064268622890281</v>
      </c>
      <c r="E771" s="307">
        <f t="shared" ca="1" si="328"/>
        <v>-2.0040384290718158</v>
      </c>
      <c r="F771" s="304">
        <f t="shared" ca="1" si="329"/>
        <v>2.1263073749313062</v>
      </c>
      <c r="G771" s="306">
        <f t="shared" ca="1" si="330"/>
        <v>10.919625566192341</v>
      </c>
      <c r="H771" s="307">
        <f t="shared" ca="1" si="331"/>
        <v>-119.94617876309418</v>
      </c>
      <c r="I771" s="304">
        <f t="shared" ca="1" si="332"/>
        <v>120.44220199902519</v>
      </c>
      <c r="J771" s="306">
        <f t="shared" ca="1" si="333"/>
        <v>770.52896740167785</v>
      </c>
      <c r="K771" s="307">
        <f t="shared" ca="1" si="334"/>
        <v>-11.965062762538633</v>
      </c>
      <c r="L771" s="304">
        <f t="shared" ca="1" si="319"/>
        <v>770.62186079296214</v>
      </c>
      <c r="M771" s="306">
        <f t="shared" ca="1" si="335"/>
        <v>-1.4800088751768405</v>
      </c>
      <c r="N771" s="304">
        <f t="shared" ca="1" si="336"/>
        <v>-84.798262189537226</v>
      </c>
      <c r="P771" s="310">
        <f t="shared" ca="1" si="337"/>
        <v>23</v>
      </c>
      <c r="Q771" s="304">
        <f t="shared" ca="1" si="338"/>
        <v>0</v>
      </c>
      <c r="R771" s="306">
        <f t="shared" ca="1" si="339"/>
        <v>0</v>
      </c>
      <c r="S771" s="307">
        <f t="shared" ca="1" si="340"/>
        <v>7.4499999999999984</v>
      </c>
      <c r="T771" s="304">
        <f t="shared" ca="1" si="320"/>
        <v>73.084499999999991</v>
      </c>
      <c r="U771" s="311">
        <f t="shared" ca="1" si="321"/>
        <v>0</v>
      </c>
      <c r="V771" s="306">
        <f t="shared" ca="1" si="322"/>
        <v>1.2264665975850186</v>
      </c>
      <c r="W771" s="304">
        <f t="shared" ca="1" si="323"/>
        <v>58.395165650887272</v>
      </c>
      <c r="Y771" s="314" t="str">
        <f t="shared" ca="1" si="341"/>
        <v/>
      </c>
      <c r="Z771" s="315" t="str">
        <f t="shared" ca="1" si="342"/>
        <v/>
      </c>
      <c r="AA771" s="316" t="str">
        <f t="shared" ca="1" si="343"/>
        <v/>
      </c>
      <c r="AC771" s="310" t="e">
        <f t="shared" ca="1" si="344"/>
        <v>#N/A</v>
      </c>
      <c r="AD771" s="323" t="e">
        <f t="shared" ca="1" si="345"/>
        <v>#N/A</v>
      </c>
      <c r="AE771" s="324" t="e">
        <f t="shared" ca="1" si="324"/>
        <v>#N/A</v>
      </c>
      <c r="AG771" s="306">
        <f t="shared" ca="1" si="346"/>
        <v>1.9313555933963205</v>
      </c>
      <c r="AH771" s="304">
        <f t="shared" ca="1" si="347"/>
        <v>-7.8382427287178498</v>
      </c>
    </row>
    <row r="772" spans="1:34" x14ac:dyDescent="0.2">
      <c r="A772" s="347">
        <f t="shared" ca="1" si="325"/>
        <v>1E-4</v>
      </c>
      <c r="B772" s="304">
        <f t="shared" ca="1" si="326"/>
        <v>34.524300000001027</v>
      </c>
      <c r="D772" s="306">
        <f t="shared" ca="1" si="327"/>
        <v>-0.71064005337210445</v>
      </c>
      <c r="E772" s="307">
        <f t="shared" ca="1" si="328"/>
        <v>-2.0040035066872921</v>
      </c>
      <c r="F772" s="304">
        <f t="shared" ca="1" si="329"/>
        <v>2.1262735807679292</v>
      </c>
      <c r="G772" s="306">
        <f t="shared" ca="1" si="330"/>
        <v>10.919554502187003</v>
      </c>
      <c r="H772" s="307">
        <f t="shared" ca="1" si="331"/>
        <v>-119.94637916344485</v>
      </c>
      <c r="I772" s="304">
        <f t="shared" ca="1" si="332"/>
        <v>120.44239513122905</v>
      </c>
      <c r="J772" s="306">
        <f t="shared" ca="1" si="333"/>
        <v>770.52896740167785</v>
      </c>
      <c r="K772" s="307">
        <f t="shared" ca="1" si="334"/>
        <v>-11.977057390434959</v>
      </c>
      <c r="L772" s="304">
        <f t="shared" ref="L772:L835" ca="1" si="348">SQRT(pos_x^2+pos_z^2)</f>
        <v>770.622047120915</v>
      </c>
      <c r="M772" s="306">
        <f t="shared" ca="1" si="335"/>
        <v>-1.480009613622741</v>
      </c>
      <c r="N772" s="304">
        <f t="shared" ca="1" si="336"/>
        <v>-84.79830449937073</v>
      </c>
      <c r="P772" s="310">
        <f t="shared" ca="1" si="337"/>
        <v>23</v>
      </c>
      <c r="Q772" s="304">
        <f t="shared" ca="1" si="338"/>
        <v>0</v>
      </c>
      <c r="R772" s="306">
        <f t="shared" ca="1" si="339"/>
        <v>0</v>
      </c>
      <c r="S772" s="307">
        <f t="shared" ca="1" si="340"/>
        <v>7.4499999999999984</v>
      </c>
      <c r="T772" s="304">
        <f t="shared" ref="T772:T835" ca="1" si="349">m*g</f>
        <v>73.084499999999991</v>
      </c>
      <c r="U772" s="311">
        <f t="shared" ref="U772:U835" ca="1" si="350">IF(pos_xz&lt;L_rampe,Poids*COS(Beta),0)</f>
        <v>0</v>
      </c>
      <c r="V772" s="306">
        <f t="shared" ref="V772:V835" ca="1" si="351">Rho_moyen*(20000-Alt_rampe-pos_z)/(20000+Alt_rampe+pos_z)</f>
        <v>1.2264680686874745</v>
      </c>
      <c r="W772" s="304">
        <f t="shared" ref="W772:W835" ca="1" si="352">1/2*Rho*Sref*Cx*vit_xz^2</f>
        <v>58.395422970491659</v>
      </c>
      <c r="Y772" s="314" t="str">
        <f t="shared" ca="1" si="341"/>
        <v/>
      </c>
      <c r="Z772" s="315" t="str">
        <f t="shared" ca="1" si="342"/>
        <v/>
      </c>
      <c r="AA772" s="316" t="str">
        <f t="shared" ca="1" si="343"/>
        <v/>
      </c>
      <c r="AC772" s="310" t="e">
        <f t="shared" ca="1" si="344"/>
        <v>#N/A</v>
      </c>
      <c r="AD772" s="323" t="e">
        <f t="shared" ca="1" si="345"/>
        <v>#N/A</v>
      </c>
      <c r="AE772" s="324" t="e">
        <f t="shared" ref="AE772:AE835" ca="1" si="353">IF(t&lt;T_para, pos_z, NA())</f>
        <v>#N/A</v>
      </c>
      <c r="AG772" s="306">
        <f t="shared" ca="1" si="346"/>
        <v>1.9313217103229494</v>
      </c>
      <c r="AH772" s="304">
        <f t="shared" ca="1" si="347"/>
        <v>-7.8382772685754745</v>
      </c>
    </row>
    <row r="773" spans="1:34" x14ac:dyDescent="0.2">
      <c r="A773" s="347">
        <f t="shared" ref="A773:A836" ca="1" si="354">IF(B772+0.01&lt;=T_ini+ROUNDUP(Temps_fin_propu,0), 0.01, IF(K772&gt;0, 0.1, 0.0001))</f>
        <v>1E-4</v>
      </c>
      <c r="B773" s="304">
        <f t="shared" ref="B773:B836" ca="1" si="355">B772+pas</f>
        <v>34.52440000000103</v>
      </c>
      <c r="D773" s="306">
        <f t="shared" ref="D773:D836" ca="1" si="356">IF(AND(L772&lt;L_rampe,Poussee&lt;Poids*SIN(M772)),0,(-W772+Poussee)/m*COS(M772)-U772/m*SIN(M772))</f>
        <v>-0.71063742049170098</v>
      </c>
      <c r="E773" s="307">
        <f t="shared" ref="E773:E836" ca="1" si="357">IF(AND(L772&lt;L_rampe,Poussee&lt;Poids*SIN(M772)),0,(-W772+Poussee)/m*SIN(M772)+U772/m*COS(M772)-Poids/m)</f>
        <v>-2.0039685846196198</v>
      </c>
      <c r="F773" s="304">
        <f t="shared" ref="F773:F836" ca="1" si="358">SQRT(acc_x^2+acc_z^2)</f>
        <v>2.1262397869350158</v>
      </c>
      <c r="G773" s="306">
        <f t="shared" ref="G773:G836" ca="1" si="359">G772+acc_x*pas</f>
        <v>10.919483438444953</v>
      </c>
      <c r="H773" s="307">
        <f t="shared" ref="H773:H836" ca="1" si="360">H772+acc_z*pas</f>
        <v>-119.94657956030331</v>
      </c>
      <c r="I773" s="304">
        <f t="shared" ref="I773:I836" ca="1" si="361">SQRT(vit_x^2+vit_z^2)</f>
        <v>120.44258826004464</v>
      </c>
      <c r="J773" s="306">
        <f t="shared" ref="J773:J836" ca="1" si="362">J772+0.5*(vit_x+G772)*pas*(K772&gt;=0)</f>
        <v>770.52896740167785</v>
      </c>
      <c r="K773" s="307">
        <f t="shared" ref="K773:K836" ca="1" si="363">K772+0.5*(vit_z+H772)*pas</f>
        <v>-11.989052038371147</v>
      </c>
      <c r="L773" s="304">
        <f t="shared" ca="1" si="348"/>
        <v>770.62223363582939</v>
      </c>
      <c r="M773" s="306">
        <f t="shared" ref="M773:M836" ca="1" si="364">IF(AND(L772&gt;L_rampe,G773&gt;0),ATAN2(G773,H773),$M$4)</f>
        <v>-1.4800103520614674</v>
      </c>
      <c r="N773" s="304">
        <f t="shared" ref="N773:N836" ca="1" si="365">DEGREES(Beta)</f>
        <v>-84.798346808793184</v>
      </c>
      <c r="P773" s="310">
        <f t="shared" ref="P773:P836" ca="1" si="366">MATCH(t-pas/2-T_ini,CdP_t)</f>
        <v>23</v>
      </c>
      <c r="Q773" s="304">
        <f t="shared" ref="Q773:Q836" ca="1" si="367">(INDEX(CdP,2,i_P+1)-INDEX(CdP,2,i_P+0))/(INDEX(CdP,1,i_P+1)-INDEX(CdP,1,i_P+0))*(t-pas/2-T_ini-INDEX(CdP,1,i_P+0))+INDEX(CdP,2,i_P+0)</f>
        <v>0</v>
      </c>
      <c r="R773" s="306">
        <f t="shared" ref="R773:R836" ca="1" si="368">Poussee/(g*ISP)</f>
        <v>0</v>
      </c>
      <c r="S773" s="307">
        <f t="shared" ref="S773:S836" ca="1" si="369">S772-Débit*pas</f>
        <v>7.4499999999999984</v>
      </c>
      <c r="T773" s="304">
        <f t="shared" ca="1" si="349"/>
        <v>73.084499999999991</v>
      </c>
      <c r="U773" s="311">
        <f t="shared" ca="1" si="350"/>
        <v>0</v>
      </c>
      <c r="V773" s="306">
        <f t="shared" ca="1" si="351"/>
        <v>1.2264695397941536</v>
      </c>
      <c r="W773" s="304">
        <f t="shared" ca="1" si="352"/>
        <v>58.395680287761131</v>
      </c>
      <c r="Y773" s="314" t="str">
        <f t="shared" ref="Y773:Y836" ca="1" si="370">IF(AND(pos_z&lt;=0,K772&gt;0),"Impact balistique","") &amp; IF(AND(H774&lt;0,vit_z&gt;=0),"Apogée","") &amp; IF(AND(Poussee=0,Q772&gt;0),"Fin de propulsion","") &amp; IF(AND(L774&gt;L_rampe,pos_xz&lt;=L_rampe),"Sortie de rampe","")</f>
        <v/>
      </c>
      <c r="Z773" s="315" t="str">
        <f t="shared" ref="Z773:Z836" ca="1" si="371">IF(ABS(t-T_para)&lt;pas/2,"Para","")</f>
        <v/>
      </c>
      <c r="AA773" s="316" t="str">
        <f t="shared" ref="AA773:AA836" ca="1" si="372">IF(ABS(t-T_satellite)&lt;pas/2,"Satellite","")</f>
        <v/>
      </c>
      <c r="AC773" s="310" t="e">
        <f t="shared" ref="AC773:AC836" ca="1" si="373">IF(ABS(t-ROUND(t,0))&lt;0.001,t,NA())</f>
        <v>#N/A</v>
      </c>
      <c r="AD773" s="323" t="e">
        <f t="shared" ref="AD773:AD836" ca="1" si="374">IF(ABS(t-ROUND(t,0))&lt;0.001,pos_x,NA())</f>
        <v>#N/A</v>
      </c>
      <c r="AE773" s="324" t="e">
        <f t="shared" ca="1" si="353"/>
        <v>#N/A</v>
      </c>
      <c r="AG773" s="306">
        <f t="shared" ref="AG773:AG836" ca="1" si="375">IF(AND(L772&lt;L_rampe,Poussee&lt;Poids*SIN(M772)),0,(-W772+Poussee)/m-Poids*SIN(M772)/m)</f>
        <v>1.9312878275512784</v>
      </c>
      <c r="AH773" s="304">
        <f t="shared" ref="AH773:AH836" ca="1" si="376">IF(AND(L772&lt;L_rampe,Poussee&lt;Poids*SIN(M772)), g*SIN(M772), (-W772+Poussee)/m)</f>
        <v>-7.8383118081196876</v>
      </c>
    </row>
    <row r="774" spans="1:34" x14ac:dyDescent="0.2">
      <c r="A774" s="347">
        <f t="shared" ca="1" si="354"/>
        <v>1E-4</v>
      </c>
      <c r="B774" s="304">
        <f t="shared" ca="1" si="355"/>
        <v>34.524500000001034</v>
      </c>
      <c r="D774" s="306">
        <f t="shared" ca="1" si="356"/>
        <v>-0.7106347875876956</v>
      </c>
      <c r="E774" s="307">
        <f t="shared" ca="1" si="357"/>
        <v>-2.003933662868798</v>
      </c>
      <c r="F774" s="304">
        <f t="shared" ca="1" si="358"/>
        <v>2.1262059934325666</v>
      </c>
      <c r="G774" s="306">
        <f t="shared" ca="1" si="359"/>
        <v>10.919412374966194</v>
      </c>
      <c r="H774" s="307">
        <f t="shared" ca="1" si="360"/>
        <v>-119.94677995366959</v>
      </c>
      <c r="I774" s="304">
        <f t="shared" ca="1" si="361"/>
        <v>120.44278138547199</v>
      </c>
      <c r="J774" s="306">
        <f t="shared" ca="1" si="362"/>
        <v>770.52896740167785</v>
      </c>
      <c r="K774" s="307">
        <f t="shared" ca="1" si="363"/>
        <v>-12.001046706346846</v>
      </c>
      <c r="L774" s="304">
        <f t="shared" ca="1" si="348"/>
        <v>770.62242033770588</v>
      </c>
      <c r="M774" s="306">
        <f t="shared" ca="1" si="364"/>
        <v>-1.4800110904930199</v>
      </c>
      <c r="N774" s="304">
        <f t="shared" ca="1" si="365"/>
        <v>-84.798389117804604</v>
      </c>
      <c r="P774" s="310">
        <f t="shared" ca="1" si="366"/>
        <v>23</v>
      </c>
      <c r="Q774" s="304">
        <f t="shared" ca="1" si="367"/>
        <v>0</v>
      </c>
      <c r="R774" s="306">
        <f t="shared" ca="1" si="368"/>
        <v>0</v>
      </c>
      <c r="S774" s="307">
        <f t="shared" ca="1" si="369"/>
        <v>7.4499999999999984</v>
      </c>
      <c r="T774" s="304">
        <f t="shared" ca="1" si="349"/>
        <v>73.084499999999991</v>
      </c>
      <c r="U774" s="311">
        <f t="shared" ca="1" si="350"/>
        <v>0</v>
      </c>
      <c r="V774" s="306">
        <f t="shared" ca="1" si="351"/>
        <v>1.2264710109050565</v>
      </c>
      <c r="W774" s="304">
        <f t="shared" ca="1" si="352"/>
        <v>58.395937602695724</v>
      </c>
      <c r="Y774" s="314" t="str">
        <f t="shared" ca="1" si="370"/>
        <v/>
      </c>
      <c r="Z774" s="315" t="str">
        <f t="shared" ca="1" si="371"/>
        <v/>
      </c>
      <c r="AA774" s="316" t="str">
        <f t="shared" ca="1" si="372"/>
        <v/>
      </c>
      <c r="AC774" s="310" t="e">
        <f t="shared" ca="1" si="373"/>
        <v>#N/A</v>
      </c>
      <c r="AD774" s="323" t="e">
        <f t="shared" ca="1" si="374"/>
        <v>#N/A</v>
      </c>
      <c r="AE774" s="324" t="e">
        <f t="shared" ca="1" si="353"/>
        <v>#N/A</v>
      </c>
      <c r="AG774" s="306">
        <f t="shared" ca="1" si="375"/>
        <v>1.9312539450813144</v>
      </c>
      <c r="AH774" s="304">
        <f t="shared" ca="1" si="376"/>
        <v>-7.8383463473504893</v>
      </c>
    </row>
    <row r="775" spans="1:34" x14ac:dyDescent="0.2">
      <c r="A775" s="347">
        <f t="shared" ca="1" si="354"/>
        <v>1E-4</v>
      </c>
      <c r="B775" s="304">
        <f t="shared" ca="1" si="355"/>
        <v>34.524600000001037</v>
      </c>
      <c r="D775" s="306">
        <f t="shared" ca="1" si="356"/>
        <v>-0.71063215466008856</v>
      </c>
      <c r="E775" s="307">
        <f t="shared" ca="1" si="357"/>
        <v>-2.0038987414348224</v>
      </c>
      <c r="F775" s="304">
        <f t="shared" ca="1" si="358"/>
        <v>2.1261722002605774</v>
      </c>
      <c r="G775" s="306">
        <f t="shared" ca="1" si="359"/>
        <v>10.919341311750728</v>
      </c>
      <c r="H775" s="307">
        <f t="shared" ca="1" si="360"/>
        <v>-119.94698034354373</v>
      </c>
      <c r="I775" s="304">
        <f t="shared" ca="1" si="361"/>
        <v>120.44297450751111</v>
      </c>
      <c r="J775" s="306">
        <f t="shared" ca="1" si="362"/>
        <v>770.52896740167785</v>
      </c>
      <c r="K775" s="307">
        <f t="shared" ca="1" si="363"/>
        <v>-12.013041394361707</v>
      </c>
      <c r="L775" s="304">
        <f t="shared" ca="1" si="348"/>
        <v>770.62260722654548</v>
      </c>
      <c r="M775" s="306">
        <f t="shared" ca="1" si="364"/>
        <v>-1.4800118289173987</v>
      </c>
      <c r="N775" s="304">
        <f t="shared" ca="1" si="365"/>
        <v>-84.798431426404989</v>
      </c>
      <c r="P775" s="310">
        <f t="shared" ca="1" si="366"/>
        <v>23</v>
      </c>
      <c r="Q775" s="304">
        <f t="shared" ca="1" si="367"/>
        <v>0</v>
      </c>
      <c r="R775" s="306">
        <f t="shared" ca="1" si="368"/>
        <v>0</v>
      </c>
      <c r="S775" s="307">
        <f t="shared" ca="1" si="369"/>
        <v>7.4499999999999984</v>
      </c>
      <c r="T775" s="304">
        <f t="shared" ca="1" si="349"/>
        <v>73.084499999999991</v>
      </c>
      <c r="U775" s="311">
        <f t="shared" ca="1" si="350"/>
        <v>0</v>
      </c>
      <c r="V775" s="306">
        <f t="shared" ca="1" si="351"/>
        <v>1.2264724820201824</v>
      </c>
      <c r="W775" s="304">
        <f t="shared" ca="1" si="352"/>
        <v>58.396194915295396</v>
      </c>
      <c r="Y775" s="314" t="str">
        <f t="shared" ca="1" si="370"/>
        <v/>
      </c>
      <c r="Z775" s="315" t="str">
        <f t="shared" ca="1" si="371"/>
        <v/>
      </c>
      <c r="AA775" s="316" t="str">
        <f t="shared" ca="1" si="372"/>
        <v/>
      </c>
      <c r="AC775" s="310" t="e">
        <f t="shared" ca="1" si="373"/>
        <v>#N/A</v>
      </c>
      <c r="AD775" s="323" t="e">
        <f t="shared" ca="1" si="374"/>
        <v>#N/A</v>
      </c>
      <c r="AE775" s="324" t="e">
        <f t="shared" ca="1" si="353"/>
        <v>#N/A</v>
      </c>
      <c r="AG775" s="306">
        <f t="shared" ca="1" si="375"/>
        <v>1.9312200629130496</v>
      </c>
      <c r="AH775" s="304">
        <f t="shared" ca="1" si="376"/>
        <v>-7.8383808862678839</v>
      </c>
    </row>
    <row r="776" spans="1:34" x14ac:dyDescent="0.2">
      <c r="A776" s="347">
        <f t="shared" ca="1" si="354"/>
        <v>1E-4</v>
      </c>
      <c r="B776" s="304">
        <f t="shared" ca="1" si="355"/>
        <v>34.52470000000104</v>
      </c>
      <c r="D776" s="306">
        <f t="shared" ca="1" si="356"/>
        <v>-0.71062952170888072</v>
      </c>
      <c r="E776" s="307">
        <f t="shared" ca="1" si="357"/>
        <v>-2.0038638203176982</v>
      </c>
      <c r="F776" s="304">
        <f t="shared" ca="1" si="358"/>
        <v>2.1261384074190541</v>
      </c>
      <c r="G776" s="306">
        <f t="shared" ca="1" si="359"/>
        <v>10.919270248798556</v>
      </c>
      <c r="H776" s="307">
        <f t="shared" ca="1" si="360"/>
        <v>-119.94718072992576</v>
      </c>
      <c r="I776" s="304">
        <f t="shared" ca="1" si="361"/>
        <v>120.44316762616205</v>
      </c>
      <c r="J776" s="306">
        <f t="shared" ca="1" si="362"/>
        <v>770.52896740167785</v>
      </c>
      <c r="K776" s="307">
        <f t="shared" ca="1" si="363"/>
        <v>-12.025036102415381</v>
      </c>
      <c r="L776" s="304">
        <f t="shared" ca="1" si="348"/>
        <v>770.62279430234889</v>
      </c>
      <c r="M776" s="306">
        <f t="shared" ca="1" si="364"/>
        <v>-1.4800125673346038</v>
      </c>
      <c r="N776" s="304">
        <f t="shared" ca="1" si="365"/>
        <v>-84.798473734594367</v>
      </c>
      <c r="P776" s="310">
        <f t="shared" ca="1" si="366"/>
        <v>23</v>
      </c>
      <c r="Q776" s="304">
        <f t="shared" ca="1" si="367"/>
        <v>0</v>
      </c>
      <c r="R776" s="306">
        <f t="shared" ca="1" si="368"/>
        <v>0</v>
      </c>
      <c r="S776" s="307">
        <f t="shared" ca="1" si="369"/>
        <v>7.4499999999999984</v>
      </c>
      <c r="T776" s="304">
        <f t="shared" ca="1" si="349"/>
        <v>73.084499999999991</v>
      </c>
      <c r="U776" s="311">
        <f t="shared" ca="1" si="350"/>
        <v>0</v>
      </c>
      <c r="V776" s="306">
        <f t="shared" ca="1" si="351"/>
        <v>1.2264739531395319</v>
      </c>
      <c r="W776" s="304">
        <f t="shared" ca="1" si="352"/>
        <v>58.396452225560175</v>
      </c>
      <c r="Y776" s="314" t="str">
        <f t="shared" ca="1" si="370"/>
        <v/>
      </c>
      <c r="Z776" s="315" t="str">
        <f t="shared" ca="1" si="371"/>
        <v/>
      </c>
      <c r="AA776" s="316" t="str">
        <f t="shared" ca="1" si="372"/>
        <v/>
      </c>
      <c r="AC776" s="310" t="e">
        <f t="shared" ca="1" si="373"/>
        <v>#N/A</v>
      </c>
      <c r="AD776" s="323" t="e">
        <f t="shared" ca="1" si="374"/>
        <v>#N/A</v>
      </c>
      <c r="AE776" s="324" t="e">
        <f t="shared" ca="1" si="353"/>
        <v>#N/A</v>
      </c>
      <c r="AG776" s="306">
        <f t="shared" ca="1" si="375"/>
        <v>1.9311861810464883</v>
      </c>
      <c r="AH776" s="304">
        <f t="shared" ca="1" si="376"/>
        <v>-7.8384154248718669</v>
      </c>
    </row>
    <row r="777" spans="1:34" x14ac:dyDescent="0.2">
      <c r="A777" s="347">
        <f t="shared" ca="1" si="354"/>
        <v>1E-4</v>
      </c>
      <c r="B777" s="304">
        <f t="shared" ca="1" si="355"/>
        <v>34.524800000001044</v>
      </c>
      <c r="D777" s="306">
        <f t="shared" ca="1" si="356"/>
        <v>-0.71062688873407209</v>
      </c>
      <c r="E777" s="307">
        <f t="shared" ca="1" si="357"/>
        <v>-2.0038288995174209</v>
      </c>
      <c r="F777" s="304">
        <f t="shared" ca="1" si="358"/>
        <v>2.1261046149079927</v>
      </c>
      <c r="G777" s="306">
        <f t="shared" ca="1" si="359"/>
        <v>10.919199186109683</v>
      </c>
      <c r="H777" s="307">
        <f t="shared" ca="1" si="360"/>
        <v>-119.94738111281572</v>
      </c>
      <c r="I777" s="304">
        <f t="shared" ca="1" si="361"/>
        <v>120.44336074142484</v>
      </c>
      <c r="J777" s="306">
        <f t="shared" ca="1" si="362"/>
        <v>770.52896740167785</v>
      </c>
      <c r="K777" s="307">
        <f t="shared" ca="1" si="363"/>
        <v>-12.037030830507518</v>
      </c>
      <c r="L777" s="304">
        <f t="shared" ca="1" si="348"/>
        <v>770.6229815651169</v>
      </c>
      <c r="M777" s="306">
        <f t="shared" ca="1" si="364"/>
        <v>-1.4800133057446356</v>
      </c>
      <c r="N777" s="304">
        <f t="shared" ca="1" si="365"/>
        <v>-84.798516042372739</v>
      </c>
      <c r="P777" s="310">
        <f t="shared" ca="1" si="366"/>
        <v>23</v>
      </c>
      <c r="Q777" s="304">
        <f t="shared" ca="1" si="367"/>
        <v>0</v>
      </c>
      <c r="R777" s="306">
        <f t="shared" ca="1" si="368"/>
        <v>0</v>
      </c>
      <c r="S777" s="307">
        <f t="shared" ca="1" si="369"/>
        <v>7.4499999999999984</v>
      </c>
      <c r="T777" s="304">
        <f t="shared" ca="1" si="349"/>
        <v>73.084499999999991</v>
      </c>
      <c r="U777" s="311">
        <f t="shared" ca="1" si="350"/>
        <v>0</v>
      </c>
      <c r="V777" s="306">
        <f t="shared" ca="1" si="351"/>
        <v>1.2264754242631042</v>
      </c>
      <c r="W777" s="304">
        <f t="shared" ca="1" si="352"/>
        <v>58.396709533490068</v>
      </c>
      <c r="Y777" s="314" t="str">
        <f t="shared" ca="1" si="370"/>
        <v/>
      </c>
      <c r="Z777" s="315" t="str">
        <f t="shared" ca="1" si="371"/>
        <v/>
      </c>
      <c r="AA777" s="316" t="str">
        <f t="shared" ca="1" si="372"/>
        <v/>
      </c>
      <c r="AC777" s="310" t="e">
        <f t="shared" ca="1" si="373"/>
        <v>#N/A</v>
      </c>
      <c r="AD777" s="323" t="e">
        <f t="shared" ca="1" si="374"/>
        <v>#N/A</v>
      </c>
      <c r="AE777" s="324" t="e">
        <f t="shared" ca="1" si="353"/>
        <v>#N/A</v>
      </c>
      <c r="AG777" s="306">
        <f t="shared" ca="1" si="375"/>
        <v>1.9311522994816279</v>
      </c>
      <c r="AH777" s="304">
        <f t="shared" ca="1" si="376"/>
        <v>-7.8384499631624411</v>
      </c>
    </row>
    <row r="778" spans="1:34" x14ac:dyDescent="0.2">
      <c r="A778" s="347">
        <f t="shared" ca="1" si="354"/>
        <v>1E-4</v>
      </c>
      <c r="B778" s="304">
        <f t="shared" ca="1" si="355"/>
        <v>34.524900000001047</v>
      </c>
      <c r="D778" s="306">
        <f t="shared" ca="1" si="356"/>
        <v>-0.71062425573566257</v>
      </c>
      <c r="E778" s="307">
        <f t="shared" ca="1" si="357"/>
        <v>-2.0037939790339907</v>
      </c>
      <c r="F778" s="304">
        <f t="shared" ca="1" si="358"/>
        <v>2.1260708227273937</v>
      </c>
      <c r="G778" s="306">
        <f t="shared" ca="1" si="359"/>
        <v>10.919128123684109</v>
      </c>
      <c r="H778" s="307">
        <f t="shared" ca="1" si="360"/>
        <v>-119.94758149221363</v>
      </c>
      <c r="I778" s="304">
        <f t="shared" ca="1" si="361"/>
        <v>120.44355385329951</v>
      </c>
      <c r="J778" s="306">
        <f t="shared" ca="1" si="362"/>
        <v>770.52896740167785</v>
      </c>
      <c r="K778" s="307">
        <f t="shared" ca="1" si="363"/>
        <v>-12.049025578637769</v>
      </c>
      <c r="L778" s="304">
        <f t="shared" ca="1" si="348"/>
        <v>770.6231690148503</v>
      </c>
      <c r="M778" s="306">
        <f t="shared" ca="1" si="364"/>
        <v>-1.4800140441474938</v>
      </c>
      <c r="N778" s="304">
        <f t="shared" ca="1" si="365"/>
        <v>-84.798558349740091</v>
      </c>
      <c r="P778" s="310">
        <f t="shared" ca="1" si="366"/>
        <v>23</v>
      </c>
      <c r="Q778" s="304">
        <f t="shared" ca="1" si="367"/>
        <v>0</v>
      </c>
      <c r="R778" s="306">
        <f t="shared" ca="1" si="368"/>
        <v>0</v>
      </c>
      <c r="S778" s="307">
        <f t="shared" ca="1" si="369"/>
        <v>7.4499999999999984</v>
      </c>
      <c r="T778" s="304">
        <f t="shared" ca="1" si="349"/>
        <v>73.084499999999991</v>
      </c>
      <c r="U778" s="311">
        <f t="shared" ca="1" si="350"/>
        <v>0</v>
      </c>
      <c r="V778" s="306">
        <f t="shared" ca="1" si="351"/>
        <v>1.2264768953909004</v>
      </c>
      <c r="W778" s="304">
        <f t="shared" ca="1" si="352"/>
        <v>58.396966839085088</v>
      </c>
      <c r="Y778" s="314" t="str">
        <f t="shared" ca="1" si="370"/>
        <v/>
      </c>
      <c r="Z778" s="315" t="str">
        <f t="shared" ca="1" si="371"/>
        <v/>
      </c>
      <c r="AA778" s="316" t="str">
        <f t="shared" ca="1" si="372"/>
        <v/>
      </c>
      <c r="AC778" s="310" t="e">
        <f t="shared" ca="1" si="373"/>
        <v>#N/A</v>
      </c>
      <c r="AD778" s="323" t="e">
        <f t="shared" ca="1" si="374"/>
        <v>#N/A</v>
      </c>
      <c r="AE778" s="324" t="e">
        <f t="shared" ca="1" si="353"/>
        <v>#N/A</v>
      </c>
      <c r="AG778" s="306">
        <f t="shared" ca="1" si="375"/>
        <v>1.9311184182184684</v>
      </c>
      <c r="AH778" s="304">
        <f t="shared" ca="1" si="376"/>
        <v>-7.8384845011396083</v>
      </c>
    </row>
    <row r="779" spans="1:34" x14ac:dyDescent="0.2">
      <c r="A779" s="347">
        <f t="shared" ca="1" si="354"/>
        <v>1E-4</v>
      </c>
      <c r="B779" s="304">
        <f t="shared" ca="1" si="355"/>
        <v>34.52500000000105</v>
      </c>
      <c r="D779" s="306">
        <f t="shared" ca="1" si="356"/>
        <v>-0.71062162271365537</v>
      </c>
      <c r="E779" s="307">
        <f t="shared" ca="1" si="357"/>
        <v>-2.0037590588674048</v>
      </c>
      <c r="F779" s="304">
        <f t="shared" ca="1" si="358"/>
        <v>2.1260370308772556</v>
      </c>
      <c r="G779" s="306">
        <f t="shared" ca="1" si="359"/>
        <v>10.919057061521837</v>
      </c>
      <c r="H779" s="307">
        <f t="shared" ca="1" si="360"/>
        <v>-119.94778186811952</v>
      </c>
      <c r="I779" s="304">
        <f t="shared" ca="1" si="361"/>
        <v>120.44374696178608</v>
      </c>
      <c r="J779" s="306">
        <f t="shared" ca="1" si="362"/>
        <v>770.52896740167785</v>
      </c>
      <c r="K779" s="307">
        <f t="shared" ca="1" si="363"/>
        <v>-12.061020346805785</v>
      </c>
      <c r="L779" s="304">
        <f t="shared" ca="1" si="348"/>
        <v>770.62335665155001</v>
      </c>
      <c r="M779" s="306">
        <f t="shared" ca="1" si="364"/>
        <v>-1.4800147825431789</v>
      </c>
      <c r="N779" s="304">
        <f t="shared" ca="1" si="365"/>
        <v>-84.798600656696451</v>
      </c>
      <c r="P779" s="310">
        <f t="shared" ca="1" si="366"/>
        <v>23</v>
      </c>
      <c r="Q779" s="304">
        <f t="shared" ca="1" si="367"/>
        <v>0</v>
      </c>
      <c r="R779" s="306">
        <f t="shared" ca="1" si="368"/>
        <v>0</v>
      </c>
      <c r="S779" s="307">
        <f t="shared" ca="1" si="369"/>
        <v>7.4499999999999984</v>
      </c>
      <c r="T779" s="304">
        <f t="shared" ca="1" si="349"/>
        <v>73.084499999999991</v>
      </c>
      <c r="U779" s="311">
        <f t="shared" ca="1" si="350"/>
        <v>0</v>
      </c>
      <c r="V779" s="306">
        <f t="shared" ca="1" si="351"/>
        <v>1.2264783665229195</v>
      </c>
      <c r="W779" s="304">
        <f t="shared" ca="1" si="352"/>
        <v>58.397224142345209</v>
      </c>
      <c r="Y779" s="314" t="str">
        <f t="shared" ca="1" si="370"/>
        <v/>
      </c>
      <c r="Z779" s="315" t="str">
        <f t="shared" ca="1" si="371"/>
        <v/>
      </c>
      <c r="AA779" s="316" t="str">
        <f t="shared" ca="1" si="372"/>
        <v/>
      </c>
      <c r="AC779" s="310" t="e">
        <f t="shared" ca="1" si="373"/>
        <v>#N/A</v>
      </c>
      <c r="AD779" s="323" t="e">
        <f t="shared" ca="1" si="374"/>
        <v>#N/A</v>
      </c>
      <c r="AE779" s="324" t="e">
        <f t="shared" ca="1" si="353"/>
        <v>#N/A</v>
      </c>
      <c r="AG779" s="306">
        <f t="shared" ca="1" si="375"/>
        <v>1.9310845372570107</v>
      </c>
      <c r="AH779" s="304">
        <f t="shared" ca="1" si="376"/>
        <v>-7.8385190388033692</v>
      </c>
    </row>
    <row r="780" spans="1:34" x14ac:dyDescent="0.2">
      <c r="A780" s="347">
        <f t="shared" ca="1" si="354"/>
        <v>1E-4</v>
      </c>
      <c r="B780" s="304">
        <f t="shared" ca="1" si="355"/>
        <v>34.525100000001054</v>
      </c>
      <c r="D780" s="306">
        <f t="shared" ca="1" si="356"/>
        <v>-0.71061898966804826</v>
      </c>
      <c r="E780" s="307">
        <f t="shared" ca="1" si="357"/>
        <v>-2.0037241390176677</v>
      </c>
      <c r="F780" s="304">
        <f t="shared" ca="1" si="358"/>
        <v>2.1260032393575821</v>
      </c>
      <c r="G780" s="306">
        <f t="shared" ca="1" si="359"/>
        <v>10.918985999622871</v>
      </c>
      <c r="H780" s="307">
        <f t="shared" ca="1" si="360"/>
        <v>-119.94798224053342</v>
      </c>
      <c r="I780" s="304">
        <f t="shared" ca="1" si="361"/>
        <v>120.44394006688456</v>
      </c>
      <c r="J780" s="306">
        <f t="shared" ca="1" si="362"/>
        <v>770.52896740167785</v>
      </c>
      <c r="K780" s="307">
        <f t="shared" ca="1" si="363"/>
        <v>-12.073015135011218</v>
      </c>
      <c r="L780" s="304">
        <f t="shared" ca="1" si="348"/>
        <v>770.62354447521659</v>
      </c>
      <c r="M780" s="306">
        <f t="shared" ca="1" si="364"/>
        <v>-1.4800155209316905</v>
      </c>
      <c r="N780" s="304">
        <f t="shared" ca="1" si="365"/>
        <v>-84.798642963241818</v>
      </c>
      <c r="P780" s="310">
        <f t="shared" ca="1" si="366"/>
        <v>23</v>
      </c>
      <c r="Q780" s="304">
        <f t="shared" ca="1" si="367"/>
        <v>0</v>
      </c>
      <c r="R780" s="306">
        <f t="shared" ca="1" si="368"/>
        <v>0</v>
      </c>
      <c r="S780" s="307">
        <f t="shared" ca="1" si="369"/>
        <v>7.4499999999999984</v>
      </c>
      <c r="T780" s="304">
        <f t="shared" ca="1" si="349"/>
        <v>73.084499999999991</v>
      </c>
      <c r="U780" s="311">
        <f t="shared" ca="1" si="350"/>
        <v>0</v>
      </c>
      <c r="V780" s="306">
        <f t="shared" ca="1" si="351"/>
        <v>1.2264798376591617</v>
      </c>
      <c r="W780" s="304">
        <f t="shared" ca="1" si="352"/>
        <v>58.397481443270408</v>
      </c>
      <c r="Y780" s="314" t="str">
        <f t="shared" ca="1" si="370"/>
        <v/>
      </c>
      <c r="Z780" s="315" t="str">
        <f t="shared" ca="1" si="371"/>
        <v/>
      </c>
      <c r="AA780" s="316" t="str">
        <f t="shared" ca="1" si="372"/>
        <v/>
      </c>
      <c r="AC780" s="310" t="e">
        <f t="shared" ca="1" si="373"/>
        <v>#N/A</v>
      </c>
      <c r="AD780" s="323" t="e">
        <f t="shared" ca="1" si="374"/>
        <v>#N/A</v>
      </c>
      <c r="AE780" s="324" t="e">
        <f t="shared" ca="1" si="353"/>
        <v>#N/A</v>
      </c>
      <c r="AG780" s="306">
        <f t="shared" ca="1" si="375"/>
        <v>1.9310506565972538</v>
      </c>
      <c r="AH780" s="304">
        <f t="shared" ca="1" si="376"/>
        <v>-7.8385535761537213</v>
      </c>
    </row>
    <row r="781" spans="1:34" x14ac:dyDescent="0.2">
      <c r="A781" s="347">
        <f t="shared" ca="1" si="354"/>
        <v>1E-4</v>
      </c>
      <c r="B781" s="304">
        <f t="shared" ca="1" si="355"/>
        <v>34.525200000001057</v>
      </c>
      <c r="D781" s="306">
        <f t="shared" ca="1" si="356"/>
        <v>-0.71061635659884403</v>
      </c>
      <c r="E781" s="307">
        <f t="shared" ca="1" si="357"/>
        <v>-2.0036892194847837</v>
      </c>
      <c r="F781" s="304">
        <f t="shared" ca="1" si="358"/>
        <v>2.125969448168378</v>
      </c>
      <c r="G781" s="306">
        <f t="shared" ca="1" si="359"/>
        <v>10.918914937987211</v>
      </c>
      <c r="H781" s="307">
        <f t="shared" ca="1" si="360"/>
        <v>-119.94818260945537</v>
      </c>
      <c r="I781" s="304">
        <f t="shared" ca="1" si="361"/>
        <v>120.44413316859502</v>
      </c>
      <c r="J781" s="306">
        <f t="shared" ca="1" si="362"/>
        <v>770.52896740167785</v>
      </c>
      <c r="K781" s="307">
        <f t="shared" ca="1" si="363"/>
        <v>-12.085009943253718</v>
      </c>
      <c r="L781" s="304">
        <f t="shared" ca="1" si="348"/>
        <v>770.62373248585106</v>
      </c>
      <c r="M781" s="306">
        <f t="shared" ca="1" si="364"/>
        <v>-1.480016259313029</v>
      </c>
      <c r="N781" s="304">
        <f t="shared" ca="1" si="365"/>
        <v>-84.798685269376179</v>
      </c>
      <c r="P781" s="310">
        <f t="shared" ca="1" si="366"/>
        <v>23</v>
      </c>
      <c r="Q781" s="304">
        <f t="shared" ca="1" si="367"/>
        <v>0</v>
      </c>
      <c r="R781" s="306">
        <f t="shared" ca="1" si="368"/>
        <v>0</v>
      </c>
      <c r="S781" s="307">
        <f t="shared" ca="1" si="369"/>
        <v>7.4499999999999984</v>
      </c>
      <c r="T781" s="304">
        <f t="shared" ca="1" si="349"/>
        <v>73.084499999999991</v>
      </c>
      <c r="U781" s="311">
        <f t="shared" ca="1" si="350"/>
        <v>0</v>
      </c>
      <c r="V781" s="306">
        <f t="shared" ca="1" si="351"/>
        <v>1.2264813087996271</v>
      </c>
      <c r="W781" s="304">
        <f t="shared" ca="1" si="352"/>
        <v>58.397738741860742</v>
      </c>
      <c r="Y781" s="314" t="str">
        <f t="shared" ca="1" si="370"/>
        <v/>
      </c>
      <c r="Z781" s="315" t="str">
        <f t="shared" ca="1" si="371"/>
        <v/>
      </c>
      <c r="AA781" s="316" t="str">
        <f t="shared" ca="1" si="372"/>
        <v/>
      </c>
      <c r="AC781" s="310" t="e">
        <f t="shared" ca="1" si="373"/>
        <v>#N/A</v>
      </c>
      <c r="AD781" s="323" t="e">
        <f t="shared" ca="1" si="374"/>
        <v>#N/A</v>
      </c>
      <c r="AE781" s="324" t="e">
        <f t="shared" ca="1" si="353"/>
        <v>#N/A</v>
      </c>
      <c r="AG781" s="306">
        <f t="shared" ca="1" si="375"/>
        <v>1.9310167762392041</v>
      </c>
      <c r="AH781" s="304">
        <f t="shared" ca="1" si="376"/>
        <v>-7.8385881131906601</v>
      </c>
    </row>
    <row r="782" spans="1:34" x14ac:dyDescent="0.2">
      <c r="A782" s="347">
        <f t="shared" ca="1" si="354"/>
        <v>1E-4</v>
      </c>
      <c r="B782" s="304">
        <f t="shared" ca="1" si="355"/>
        <v>34.52530000000106</v>
      </c>
      <c r="D782" s="306">
        <f t="shared" ca="1" si="356"/>
        <v>-0.71061372350604324</v>
      </c>
      <c r="E782" s="307">
        <f t="shared" ca="1" si="357"/>
        <v>-2.0036543002687415</v>
      </c>
      <c r="F782" s="304">
        <f t="shared" ca="1" si="358"/>
        <v>2.1259356573096335</v>
      </c>
      <c r="G782" s="306">
        <f t="shared" ca="1" si="359"/>
        <v>10.91884387661486</v>
      </c>
      <c r="H782" s="307">
        <f t="shared" ca="1" si="360"/>
        <v>-119.9483829748854</v>
      </c>
      <c r="I782" s="304">
        <f t="shared" ca="1" si="361"/>
        <v>120.44432626691749</v>
      </c>
      <c r="J782" s="306">
        <f t="shared" ca="1" si="362"/>
        <v>770.52896740167785</v>
      </c>
      <c r="K782" s="307">
        <f t="shared" ca="1" si="363"/>
        <v>-12.097004771532935</v>
      </c>
      <c r="L782" s="304">
        <f t="shared" ca="1" si="348"/>
        <v>770.623920683454</v>
      </c>
      <c r="M782" s="306">
        <f t="shared" ca="1" si="364"/>
        <v>-1.4800169976871946</v>
      </c>
      <c r="N782" s="304">
        <f t="shared" ca="1" si="365"/>
        <v>-84.798727575099576</v>
      </c>
      <c r="P782" s="310">
        <f t="shared" ca="1" si="366"/>
        <v>23</v>
      </c>
      <c r="Q782" s="304">
        <f t="shared" ca="1" si="367"/>
        <v>0</v>
      </c>
      <c r="R782" s="306">
        <f t="shared" ca="1" si="368"/>
        <v>0</v>
      </c>
      <c r="S782" s="307">
        <f t="shared" ca="1" si="369"/>
        <v>7.4499999999999984</v>
      </c>
      <c r="T782" s="304">
        <f t="shared" ca="1" si="349"/>
        <v>73.084499999999991</v>
      </c>
      <c r="U782" s="311">
        <f t="shared" ca="1" si="350"/>
        <v>0</v>
      </c>
      <c r="V782" s="306">
        <f t="shared" ca="1" si="351"/>
        <v>1.2264827799443161</v>
      </c>
      <c r="W782" s="304">
        <f t="shared" ca="1" si="352"/>
        <v>58.397996038116233</v>
      </c>
      <c r="Y782" s="314" t="str">
        <f t="shared" ca="1" si="370"/>
        <v/>
      </c>
      <c r="Z782" s="315" t="str">
        <f t="shared" ca="1" si="371"/>
        <v/>
      </c>
      <c r="AA782" s="316" t="str">
        <f t="shared" ca="1" si="372"/>
        <v/>
      </c>
      <c r="AC782" s="310" t="e">
        <f t="shared" ca="1" si="373"/>
        <v>#N/A</v>
      </c>
      <c r="AD782" s="323" t="e">
        <f t="shared" ca="1" si="374"/>
        <v>#N/A</v>
      </c>
      <c r="AE782" s="324" t="e">
        <f t="shared" ca="1" si="353"/>
        <v>#N/A</v>
      </c>
      <c r="AG782" s="306">
        <f t="shared" ca="1" si="375"/>
        <v>1.9309828961828517</v>
      </c>
      <c r="AH782" s="304">
        <f t="shared" ca="1" si="376"/>
        <v>-7.8386226499141953</v>
      </c>
    </row>
    <row r="783" spans="1:34" x14ac:dyDescent="0.2">
      <c r="A783" s="347">
        <f t="shared" ca="1" si="354"/>
        <v>1E-4</v>
      </c>
      <c r="B783" s="304">
        <f t="shared" ca="1" si="355"/>
        <v>34.525400000001063</v>
      </c>
      <c r="D783" s="306">
        <f t="shared" ca="1" si="356"/>
        <v>-0.71061109038964565</v>
      </c>
      <c r="E783" s="307">
        <f t="shared" ca="1" si="357"/>
        <v>-2.0036193813695418</v>
      </c>
      <c r="F783" s="304">
        <f t="shared" ca="1" si="358"/>
        <v>2.1259018667813492</v>
      </c>
      <c r="G783" s="306">
        <f t="shared" ca="1" si="359"/>
        <v>10.91877281550582</v>
      </c>
      <c r="H783" s="307">
        <f t="shared" ca="1" si="360"/>
        <v>-119.94858333682355</v>
      </c>
      <c r="I783" s="304">
        <f t="shared" ca="1" si="361"/>
        <v>120.44451936185196</v>
      </c>
      <c r="J783" s="306">
        <f t="shared" ca="1" si="362"/>
        <v>770.52896740167785</v>
      </c>
      <c r="K783" s="307">
        <f t="shared" ca="1" si="363"/>
        <v>-12.108999619848522</v>
      </c>
      <c r="L783" s="304">
        <f t="shared" ca="1" si="348"/>
        <v>770.62410906802643</v>
      </c>
      <c r="M783" s="306">
        <f t="shared" ca="1" si="364"/>
        <v>-1.4800177360541873</v>
      </c>
      <c r="N783" s="304">
        <f t="shared" ca="1" si="365"/>
        <v>-84.798769880411982</v>
      </c>
      <c r="P783" s="310">
        <f t="shared" ca="1" si="366"/>
        <v>23</v>
      </c>
      <c r="Q783" s="304">
        <f t="shared" ca="1" si="367"/>
        <v>0</v>
      </c>
      <c r="R783" s="306">
        <f t="shared" ca="1" si="368"/>
        <v>0</v>
      </c>
      <c r="S783" s="307">
        <f t="shared" ca="1" si="369"/>
        <v>7.4499999999999984</v>
      </c>
      <c r="T783" s="304">
        <f t="shared" ca="1" si="349"/>
        <v>73.084499999999991</v>
      </c>
      <c r="U783" s="311">
        <f t="shared" ca="1" si="350"/>
        <v>0</v>
      </c>
      <c r="V783" s="306">
        <f t="shared" ca="1" si="351"/>
        <v>1.2264842510932279</v>
      </c>
      <c r="W783" s="304">
        <f t="shared" ca="1" si="352"/>
        <v>58.39825333203683</v>
      </c>
      <c r="Y783" s="314" t="str">
        <f t="shared" ca="1" si="370"/>
        <v/>
      </c>
      <c r="Z783" s="315" t="str">
        <f t="shared" ca="1" si="371"/>
        <v/>
      </c>
      <c r="AA783" s="316" t="str">
        <f t="shared" ca="1" si="372"/>
        <v/>
      </c>
      <c r="AC783" s="310" t="e">
        <f t="shared" ca="1" si="373"/>
        <v>#N/A</v>
      </c>
      <c r="AD783" s="323" t="e">
        <f t="shared" ca="1" si="374"/>
        <v>#N/A</v>
      </c>
      <c r="AE783" s="324" t="e">
        <f t="shared" ca="1" si="353"/>
        <v>#N/A</v>
      </c>
      <c r="AG783" s="306">
        <f t="shared" ca="1" si="375"/>
        <v>1.9309490164281975</v>
      </c>
      <c r="AH783" s="304">
        <f t="shared" ca="1" si="376"/>
        <v>-7.838657186324328</v>
      </c>
    </row>
    <row r="784" spans="1:34" x14ac:dyDescent="0.2">
      <c r="A784" s="347">
        <f t="shared" ca="1" si="354"/>
        <v>1E-4</v>
      </c>
      <c r="B784" s="304">
        <f t="shared" ca="1" si="355"/>
        <v>34.525500000001067</v>
      </c>
      <c r="D784" s="306">
        <f t="shared" ca="1" si="356"/>
        <v>-0.71060845724965216</v>
      </c>
      <c r="E784" s="307">
        <f t="shared" ca="1" si="357"/>
        <v>-2.0035844627871882</v>
      </c>
      <c r="F784" s="304">
        <f t="shared" ca="1" si="358"/>
        <v>2.1258680765835298</v>
      </c>
      <c r="G784" s="306">
        <f t="shared" ca="1" si="359"/>
        <v>10.918701754660095</v>
      </c>
      <c r="H784" s="307">
        <f t="shared" ca="1" si="360"/>
        <v>-119.94878369526982</v>
      </c>
      <c r="I784" s="304">
        <f t="shared" ca="1" si="361"/>
        <v>120.44471245339848</v>
      </c>
      <c r="J784" s="306">
        <f t="shared" ca="1" si="362"/>
        <v>770.52896740167785</v>
      </c>
      <c r="K784" s="307">
        <f t="shared" ca="1" si="363"/>
        <v>-12.120994488200127</v>
      </c>
      <c r="L784" s="304">
        <f t="shared" ca="1" si="348"/>
        <v>770.62429763956891</v>
      </c>
      <c r="M784" s="306">
        <f t="shared" ca="1" si="364"/>
        <v>-1.480018474414007</v>
      </c>
      <c r="N784" s="304">
        <f t="shared" ca="1" si="365"/>
        <v>-84.798812185313423</v>
      </c>
      <c r="P784" s="310">
        <f t="shared" ca="1" si="366"/>
        <v>23</v>
      </c>
      <c r="Q784" s="304">
        <f t="shared" ca="1" si="367"/>
        <v>0</v>
      </c>
      <c r="R784" s="306">
        <f t="shared" ca="1" si="368"/>
        <v>0</v>
      </c>
      <c r="S784" s="307">
        <f t="shared" ca="1" si="369"/>
        <v>7.4499999999999984</v>
      </c>
      <c r="T784" s="304">
        <f t="shared" ca="1" si="349"/>
        <v>73.084499999999991</v>
      </c>
      <c r="U784" s="311">
        <f t="shared" ca="1" si="350"/>
        <v>0</v>
      </c>
      <c r="V784" s="306">
        <f t="shared" ca="1" si="351"/>
        <v>1.2264857222463625</v>
      </c>
      <c r="W784" s="304">
        <f t="shared" ca="1" si="352"/>
        <v>58.398510623622535</v>
      </c>
      <c r="Y784" s="314" t="str">
        <f t="shared" ca="1" si="370"/>
        <v/>
      </c>
      <c r="Z784" s="315" t="str">
        <f t="shared" ca="1" si="371"/>
        <v/>
      </c>
      <c r="AA784" s="316" t="str">
        <f t="shared" ca="1" si="372"/>
        <v/>
      </c>
      <c r="AC784" s="310" t="e">
        <f t="shared" ca="1" si="373"/>
        <v>#N/A</v>
      </c>
      <c r="AD784" s="323" t="e">
        <f t="shared" ca="1" si="374"/>
        <v>#N/A</v>
      </c>
      <c r="AE784" s="324" t="e">
        <f t="shared" ca="1" si="353"/>
        <v>#N/A</v>
      </c>
      <c r="AG784" s="306">
        <f t="shared" ca="1" si="375"/>
        <v>1.9309151369752451</v>
      </c>
      <c r="AH784" s="304">
        <f t="shared" ca="1" si="376"/>
        <v>-7.8386917224210526</v>
      </c>
    </row>
    <row r="785" spans="1:34" x14ac:dyDescent="0.2">
      <c r="A785" s="347">
        <f t="shared" ca="1" si="354"/>
        <v>1E-4</v>
      </c>
      <c r="B785" s="304">
        <f t="shared" ca="1" si="355"/>
        <v>34.52560000000107</v>
      </c>
      <c r="D785" s="306">
        <f t="shared" ca="1" si="356"/>
        <v>-0.71060582408606432</v>
      </c>
      <c r="E785" s="307">
        <f t="shared" ca="1" si="357"/>
        <v>-2.0035495445216842</v>
      </c>
      <c r="F785" s="304">
        <f t="shared" ca="1" si="358"/>
        <v>2.1258342867161781</v>
      </c>
      <c r="G785" s="306">
        <f t="shared" ca="1" si="359"/>
        <v>10.918630694077686</v>
      </c>
      <c r="H785" s="307">
        <f t="shared" ca="1" si="360"/>
        <v>-119.94898405022428</v>
      </c>
      <c r="I785" s="304">
        <f t="shared" ca="1" si="361"/>
        <v>120.44490554155711</v>
      </c>
      <c r="J785" s="306">
        <f t="shared" ca="1" si="362"/>
        <v>770.52896740167785</v>
      </c>
      <c r="K785" s="307">
        <f t="shared" ca="1" si="363"/>
        <v>-12.132989376587402</v>
      </c>
      <c r="L785" s="304">
        <f t="shared" ca="1" si="348"/>
        <v>770.62448639808247</v>
      </c>
      <c r="M785" s="306">
        <f t="shared" ca="1" si="364"/>
        <v>-1.4800192127666543</v>
      </c>
      <c r="N785" s="304">
        <f t="shared" ca="1" si="365"/>
        <v>-84.798854489803901</v>
      </c>
      <c r="P785" s="310">
        <f t="shared" ca="1" si="366"/>
        <v>23</v>
      </c>
      <c r="Q785" s="304">
        <f t="shared" ca="1" si="367"/>
        <v>0</v>
      </c>
      <c r="R785" s="306">
        <f t="shared" ca="1" si="368"/>
        <v>0</v>
      </c>
      <c r="S785" s="307">
        <f t="shared" ca="1" si="369"/>
        <v>7.4499999999999984</v>
      </c>
      <c r="T785" s="304">
        <f t="shared" ca="1" si="349"/>
        <v>73.084499999999991</v>
      </c>
      <c r="U785" s="311">
        <f t="shared" ca="1" si="350"/>
        <v>0</v>
      </c>
      <c r="V785" s="306">
        <f t="shared" ca="1" si="351"/>
        <v>1.2264871934037205</v>
      </c>
      <c r="W785" s="304">
        <f t="shared" ca="1" si="352"/>
        <v>58.398767912873403</v>
      </c>
      <c r="Y785" s="314" t="str">
        <f t="shared" ca="1" si="370"/>
        <v/>
      </c>
      <c r="Z785" s="315" t="str">
        <f t="shared" ca="1" si="371"/>
        <v/>
      </c>
      <c r="AA785" s="316" t="str">
        <f t="shared" ca="1" si="372"/>
        <v/>
      </c>
      <c r="AC785" s="310" t="e">
        <f t="shared" ca="1" si="373"/>
        <v>#N/A</v>
      </c>
      <c r="AD785" s="323" t="e">
        <f t="shared" ca="1" si="374"/>
        <v>#N/A</v>
      </c>
      <c r="AE785" s="324" t="e">
        <f t="shared" ca="1" si="353"/>
        <v>#N/A</v>
      </c>
      <c r="AG785" s="306">
        <f t="shared" ca="1" si="375"/>
        <v>1.9308812578239953</v>
      </c>
      <c r="AH785" s="304">
        <f t="shared" ca="1" si="376"/>
        <v>-7.8387262582043684</v>
      </c>
    </row>
    <row r="786" spans="1:34" x14ac:dyDescent="0.2">
      <c r="A786" s="347">
        <f t="shared" ca="1" si="354"/>
        <v>1E-4</v>
      </c>
      <c r="B786" s="304">
        <f t="shared" ca="1" si="355"/>
        <v>34.525700000001073</v>
      </c>
      <c r="D786" s="306">
        <f t="shared" ca="1" si="356"/>
        <v>-0.71060319089888091</v>
      </c>
      <c r="E786" s="307">
        <f t="shared" ca="1" si="357"/>
        <v>-2.0035146265730175</v>
      </c>
      <c r="F786" s="304">
        <f t="shared" ca="1" si="358"/>
        <v>2.1258004971792834</v>
      </c>
      <c r="G786" s="306">
        <f t="shared" ca="1" si="359"/>
        <v>10.918559633758596</v>
      </c>
      <c r="H786" s="307">
        <f t="shared" ca="1" si="360"/>
        <v>-119.94918440168694</v>
      </c>
      <c r="I786" s="304">
        <f t="shared" ca="1" si="361"/>
        <v>120.44509862632783</v>
      </c>
      <c r="J786" s="306">
        <f t="shared" ca="1" si="362"/>
        <v>770.52896740167785</v>
      </c>
      <c r="K786" s="307">
        <f t="shared" ca="1" si="363"/>
        <v>-12.144984285009997</v>
      </c>
      <c r="L786" s="304">
        <f t="shared" ca="1" si="348"/>
        <v>770.62467534356767</v>
      </c>
      <c r="M786" s="306">
        <f t="shared" ca="1" si="364"/>
        <v>-1.4800199511121288</v>
      </c>
      <c r="N786" s="304">
        <f t="shared" ca="1" si="365"/>
        <v>-84.798896793883415</v>
      </c>
      <c r="P786" s="310">
        <f t="shared" ca="1" si="366"/>
        <v>23</v>
      </c>
      <c r="Q786" s="304">
        <f t="shared" ca="1" si="367"/>
        <v>0</v>
      </c>
      <c r="R786" s="306">
        <f t="shared" ca="1" si="368"/>
        <v>0</v>
      </c>
      <c r="S786" s="307">
        <f t="shared" ca="1" si="369"/>
        <v>7.4499999999999984</v>
      </c>
      <c r="T786" s="304">
        <f t="shared" ca="1" si="349"/>
        <v>73.084499999999991</v>
      </c>
      <c r="U786" s="311">
        <f t="shared" ca="1" si="350"/>
        <v>0</v>
      </c>
      <c r="V786" s="306">
        <f t="shared" ca="1" si="351"/>
        <v>1.2264886645653013</v>
      </c>
      <c r="W786" s="304">
        <f t="shared" ca="1" si="352"/>
        <v>58.399025199789371</v>
      </c>
      <c r="Y786" s="314" t="str">
        <f t="shared" ca="1" si="370"/>
        <v/>
      </c>
      <c r="Z786" s="315" t="str">
        <f t="shared" ca="1" si="371"/>
        <v/>
      </c>
      <c r="AA786" s="316" t="str">
        <f t="shared" ca="1" si="372"/>
        <v/>
      </c>
      <c r="AC786" s="310" t="e">
        <f t="shared" ca="1" si="373"/>
        <v>#N/A</v>
      </c>
      <c r="AD786" s="323" t="e">
        <f t="shared" ca="1" si="374"/>
        <v>#N/A</v>
      </c>
      <c r="AE786" s="324" t="e">
        <f t="shared" ca="1" si="353"/>
        <v>#N/A</v>
      </c>
      <c r="AG786" s="306">
        <f t="shared" ca="1" si="375"/>
        <v>1.9308473789744429</v>
      </c>
      <c r="AH786" s="304">
        <f t="shared" ca="1" si="376"/>
        <v>-7.8387607936742842</v>
      </c>
    </row>
    <row r="787" spans="1:34" x14ac:dyDescent="0.2">
      <c r="A787" s="347">
        <f t="shared" ca="1" si="354"/>
        <v>1E-4</v>
      </c>
      <c r="B787" s="304">
        <f t="shared" ca="1" si="355"/>
        <v>34.525800000001077</v>
      </c>
      <c r="D787" s="306">
        <f t="shared" ca="1" si="356"/>
        <v>-0.71060055768810382</v>
      </c>
      <c r="E787" s="307">
        <f t="shared" ca="1" si="357"/>
        <v>-2.0034797089412013</v>
      </c>
      <c r="F787" s="304">
        <f t="shared" ca="1" si="358"/>
        <v>2.1257667079728586</v>
      </c>
      <c r="G787" s="306">
        <f t="shared" ca="1" si="359"/>
        <v>10.918488573702827</v>
      </c>
      <c r="H787" s="307">
        <f t="shared" ca="1" si="360"/>
        <v>-119.94938474965782</v>
      </c>
      <c r="I787" s="304">
        <f t="shared" ca="1" si="361"/>
        <v>120.44529170771069</v>
      </c>
      <c r="J787" s="306">
        <f t="shared" ca="1" si="362"/>
        <v>770.52896740167785</v>
      </c>
      <c r="K787" s="307">
        <f t="shared" ca="1" si="363"/>
        <v>-12.156979213467563</v>
      </c>
      <c r="L787" s="304">
        <f t="shared" ca="1" si="348"/>
        <v>770.62486447602544</v>
      </c>
      <c r="M787" s="306">
        <f t="shared" ca="1" si="364"/>
        <v>-1.4800206894504306</v>
      </c>
      <c r="N787" s="304">
        <f t="shared" ca="1" si="365"/>
        <v>-84.798939097551965</v>
      </c>
      <c r="P787" s="310">
        <f t="shared" ca="1" si="366"/>
        <v>23</v>
      </c>
      <c r="Q787" s="304">
        <f t="shared" ca="1" si="367"/>
        <v>0</v>
      </c>
      <c r="R787" s="306">
        <f t="shared" ca="1" si="368"/>
        <v>0</v>
      </c>
      <c r="S787" s="307">
        <f t="shared" ca="1" si="369"/>
        <v>7.4499999999999984</v>
      </c>
      <c r="T787" s="304">
        <f t="shared" ca="1" si="349"/>
        <v>73.084499999999991</v>
      </c>
      <c r="U787" s="311">
        <f t="shared" ca="1" si="350"/>
        <v>0</v>
      </c>
      <c r="V787" s="306">
        <f t="shared" ca="1" si="351"/>
        <v>1.2264901357311053</v>
      </c>
      <c r="W787" s="304">
        <f t="shared" ca="1" si="352"/>
        <v>58.399282484370495</v>
      </c>
      <c r="Y787" s="314" t="str">
        <f t="shared" ca="1" si="370"/>
        <v/>
      </c>
      <c r="Z787" s="315" t="str">
        <f t="shared" ca="1" si="371"/>
        <v/>
      </c>
      <c r="AA787" s="316" t="str">
        <f t="shared" ca="1" si="372"/>
        <v/>
      </c>
      <c r="AC787" s="310" t="e">
        <f t="shared" ca="1" si="373"/>
        <v>#N/A</v>
      </c>
      <c r="AD787" s="323" t="e">
        <f t="shared" ca="1" si="374"/>
        <v>#N/A</v>
      </c>
      <c r="AE787" s="324" t="e">
        <f t="shared" ca="1" si="353"/>
        <v>#N/A</v>
      </c>
      <c r="AG787" s="306">
        <f t="shared" ca="1" si="375"/>
        <v>1.9308135004265949</v>
      </c>
      <c r="AH787" s="304">
        <f t="shared" ca="1" si="376"/>
        <v>-7.8387953288307894</v>
      </c>
    </row>
    <row r="788" spans="1:34" x14ac:dyDescent="0.2">
      <c r="A788" s="347">
        <f t="shared" ca="1" si="354"/>
        <v>1E-4</v>
      </c>
      <c r="B788" s="304">
        <f t="shared" ca="1" si="355"/>
        <v>34.52590000000108</v>
      </c>
      <c r="D788" s="306">
        <f t="shared" ca="1" si="356"/>
        <v>-0.71059792445373571</v>
      </c>
      <c r="E788" s="307">
        <f t="shared" ca="1" si="357"/>
        <v>-2.003444791626225</v>
      </c>
      <c r="F788" s="304">
        <f t="shared" ca="1" si="358"/>
        <v>2.1257329190968948</v>
      </c>
      <c r="G788" s="306">
        <f t="shared" ca="1" si="359"/>
        <v>10.918417513910383</v>
      </c>
      <c r="H788" s="307">
        <f t="shared" ca="1" si="360"/>
        <v>-119.94958509413699</v>
      </c>
      <c r="I788" s="304">
        <f t="shared" ca="1" si="361"/>
        <v>120.44548478570576</v>
      </c>
      <c r="J788" s="306">
        <f t="shared" ca="1" si="362"/>
        <v>770.52896740167785</v>
      </c>
      <c r="K788" s="307">
        <f t="shared" ca="1" si="363"/>
        <v>-12.168974161959753</v>
      </c>
      <c r="L788" s="304">
        <f t="shared" ca="1" si="348"/>
        <v>770.62505379545667</v>
      </c>
      <c r="M788" s="306">
        <f t="shared" ca="1" si="364"/>
        <v>-1.4800214277815602</v>
      </c>
      <c r="N788" s="304">
        <f t="shared" ca="1" si="365"/>
        <v>-84.798981400809566</v>
      </c>
      <c r="P788" s="310">
        <f t="shared" ca="1" si="366"/>
        <v>23</v>
      </c>
      <c r="Q788" s="304">
        <f t="shared" ca="1" si="367"/>
        <v>0</v>
      </c>
      <c r="R788" s="306">
        <f t="shared" ca="1" si="368"/>
        <v>0</v>
      </c>
      <c r="S788" s="307">
        <f t="shared" ca="1" si="369"/>
        <v>7.4499999999999984</v>
      </c>
      <c r="T788" s="304">
        <f t="shared" ca="1" si="349"/>
        <v>73.084499999999991</v>
      </c>
      <c r="U788" s="311">
        <f t="shared" ca="1" si="350"/>
        <v>0</v>
      </c>
      <c r="V788" s="306">
        <f t="shared" ca="1" si="351"/>
        <v>1.226491606901132</v>
      </c>
      <c r="W788" s="304">
        <f t="shared" ca="1" si="352"/>
        <v>58.399539766616755</v>
      </c>
      <c r="Y788" s="314" t="str">
        <f t="shared" ca="1" si="370"/>
        <v/>
      </c>
      <c r="Z788" s="315" t="str">
        <f t="shared" ca="1" si="371"/>
        <v/>
      </c>
      <c r="AA788" s="316" t="str">
        <f t="shared" ca="1" si="372"/>
        <v/>
      </c>
      <c r="AC788" s="310" t="e">
        <f t="shared" ca="1" si="373"/>
        <v>#N/A</v>
      </c>
      <c r="AD788" s="323" t="e">
        <f t="shared" ca="1" si="374"/>
        <v>#N/A</v>
      </c>
      <c r="AE788" s="324" t="e">
        <f t="shared" ca="1" si="353"/>
        <v>#N/A</v>
      </c>
      <c r="AG788" s="306">
        <f t="shared" ca="1" si="375"/>
        <v>1.9307796221804452</v>
      </c>
      <c r="AH788" s="304">
        <f t="shared" ca="1" si="376"/>
        <v>-7.8388298636738938</v>
      </c>
    </row>
    <row r="789" spans="1:34" x14ac:dyDescent="0.2">
      <c r="A789" s="347">
        <f t="shared" ca="1" si="354"/>
        <v>1E-4</v>
      </c>
      <c r="B789" s="304">
        <f t="shared" ca="1" si="355"/>
        <v>34.526000000001083</v>
      </c>
      <c r="D789" s="306">
        <f t="shared" ca="1" si="356"/>
        <v>-0.71059529119577403</v>
      </c>
      <c r="E789" s="307">
        <f t="shared" ca="1" si="357"/>
        <v>-2.0034098746280931</v>
      </c>
      <c r="F789" s="304">
        <f t="shared" ca="1" si="358"/>
        <v>2.1256991305513955</v>
      </c>
      <c r="G789" s="306">
        <f t="shared" ca="1" si="359"/>
        <v>10.918346454381263</v>
      </c>
      <c r="H789" s="307">
        <f t="shared" ca="1" si="360"/>
        <v>-119.94978543512445</v>
      </c>
      <c r="I789" s="304">
        <f t="shared" ca="1" si="361"/>
        <v>120.44567786031301</v>
      </c>
      <c r="J789" s="306">
        <f t="shared" ca="1" si="362"/>
        <v>770.52896740167785</v>
      </c>
      <c r="K789" s="307">
        <f t="shared" ca="1" si="363"/>
        <v>-12.180969130486215</v>
      </c>
      <c r="L789" s="304">
        <f t="shared" ca="1" si="348"/>
        <v>770.62524330186193</v>
      </c>
      <c r="M789" s="306">
        <f t="shared" ca="1" si="364"/>
        <v>-1.4800221661055175</v>
      </c>
      <c r="N789" s="304">
        <f t="shared" ca="1" si="365"/>
        <v>-84.799023703656232</v>
      </c>
      <c r="P789" s="310">
        <f t="shared" ca="1" si="366"/>
        <v>23</v>
      </c>
      <c r="Q789" s="304">
        <f t="shared" ca="1" si="367"/>
        <v>0</v>
      </c>
      <c r="R789" s="306">
        <f t="shared" ca="1" si="368"/>
        <v>0</v>
      </c>
      <c r="S789" s="307">
        <f t="shared" ca="1" si="369"/>
        <v>7.4499999999999984</v>
      </c>
      <c r="T789" s="304">
        <f t="shared" ca="1" si="349"/>
        <v>73.084499999999991</v>
      </c>
      <c r="U789" s="311">
        <f t="shared" ca="1" si="350"/>
        <v>0</v>
      </c>
      <c r="V789" s="306">
        <f t="shared" ca="1" si="351"/>
        <v>1.2264930780753822</v>
      </c>
      <c r="W789" s="304">
        <f t="shared" ca="1" si="352"/>
        <v>58.399797046528178</v>
      </c>
      <c r="Y789" s="314" t="str">
        <f t="shared" ca="1" si="370"/>
        <v/>
      </c>
      <c r="Z789" s="315" t="str">
        <f t="shared" ca="1" si="371"/>
        <v/>
      </c>
      <c r="AA789" s="316" t="str">
        <f t="shared" ca="1" si="372"/>
        <v/>
      </c>
      <c r="AC789" s="310" t="e">
        <f t="shared" ca="1" si="373"/>
        <v>#N/A</v>
      </c>
      <c r="AD789" s="323" t="e">
        <f t="shared" ca="1" si="374"/>
        <v>#N/A</v>
      </c>
      <c r="AE789" s="324" t="e">
        <f t="shared" ca="1" si="353"/>
        <v>#N/A</v>
      </c>
      <c r="AG789" s="306">
        <f t="shared" ca="1" si="375"/>
        <v>1.9307457442359963</v>
      </c>
      <c r="AH789" s="304">
        <f t="shared" ca="1" si="376"/>
        <v>-7.8388643982035928</v>
      </c>
    </row>
    <row r="790" spans="1:34" x14ac:dyDescent="0.2">
      <c r="A790" s="347">
        <f t="shared" ca="1" si="354"/>
        <v>1E-4</v>
      </c>
      <c r="B790" s="304">
        <f t="shared" ca="1" si="355"/>
        <v>34.526100000001087</v>
      </c>
      <c r="D790" s="306">
        <f t="shared" ca="1" si="356"/>
        <v>-0.71059265791422055</v>
      </c>
      <c r="E790" s="307">
        <f t="shared" ca="1" si="357"/>
        <v>-2.003374957946801</v>
      </c>
      <c r="F790" s="304">
        <f t="shared" ca="1" si="358"/>
        <v>2.1256653423363572</v>
      </c>
      <c r="G790" s="306">
        <f t="shared" ca="1" si="359"/>
        <v>10.918275395115472</v>
      </c>
      <c r="H790" s="307">
        <f t="shared" ca="1" si="360"/>
        <v>-119.94998577262025</v>
      </c>
      <c r="I790" s="304">
        <f t="shared" ca="1" si="361"/>
        <v>120.4458709315325</v>
      </c>
      <c r="J790" s="306">
        <f t="shared" ca="1" si="362"/>
        <v>770.52896740167785</v>
      </c>
      <c r="K790" s="307">
        <f t="shared" ca="1" si="363"/>
        <v>-12.192964119046602</v>
      </c>
      <c r="L790" s="304">
        <f t="shared" ca="1" si="348"/>
        <v>770.62543299524214</v>
      </c>
      <c r="M790" s="306">
        <f t="shared" ca="1" si="364"/>
        <v>-1.4800229044223026</v>
      </c>
      <c r="N790" s="304">
        <f t="shared" ca="1" si="365"/>
        <v>-84.799066006091962</v>
      </c>
      <c r="P790" s="310">
        <f t="shared" ca="1" si="366"/>
        <v>23</v>
      </c>
      <c r="Q790" s="304">
        <f t="shared" ca="1" si="367"/>
        <v>0</v>
      </c>
      <c r="R790" s="306">
        <f t="shared" ca="1" si="368"/>
        <v>0</v>
      </c>
      <c r="S790" s="307">
        <f t="shared" ca="1" si="369"/>
        <v>7.4499999999999984</v>
      </c>
      <c r="T790" s="304">
        <f t="shared" ca="1" si="349"/>
        <v>73.084499999999991</v>
      </c>
      <c r="U790" s="311">
        <f t="shared" ca="1" si="350"/>
        <v>0</v>
      </c>
      <c r="V790" s="306">
        <f t="shared" ca="1" si="351"/>
        <v>1.2264945492538546</v>
      </c>
      <c r="W790" s="304">
        <f t="shared" ca="1" si="352"/>
        <v>58.400054324104723</v>
      </c>
      <c r="Y790" s="314" t="str">
        <f t="shared" ca="1" si="370"/>
        <v/>
      </c>
      <c r="Z790" s="315" t="str">
        <f t="shared" ca="1" si="371"/>
        <v/>
      </c>
      <c r="AA790" s="316" t="str">
        <f t="shared" ca="1" si="372"/>
        <v/>
      </c>
      <c r="AC790" s="310" t="e">
        <f t="shared" ca="1" si="373"/>
        <v>#N/A</v>
      </c>
      <c r="AD790" s="323" t="e">
        <f t="shared" ca="1" si="374"/>
        <v>#N/A</v>
      </c>
      <c r="AE790" s="324" t="e">
        <f t="shared" ca="1" si="353"/>
        <v>#N/A</v>
      </c>
      <c r="AG790" s="306">
        <f t="shared" ca="1" si="375"/>
        <v>1.9307118665932421</v>
      </c>
      <c r="AH790" s="304">
        <f t="shared" ca="1" si="376"/>
        <v>-7.838898932419891</v>
      </c>
    </row>
    <row r="791" spans="1:34" x14ac:dyDescent="0.2">
      <c r="A791" s="347">
        <f t="shared" ca="1" si="354"/>
        <v>1E-4</v>
      </c>
      <c r="B791" s="304">
        <f t="shared" ca="1" si="355"/>
        <v>34.52620000000109</v>
      </c>
      <c r="D791" s="306">
        <f t="shared" ca="1" si="356"/>
        <v>-0.71059002460907639</v>
      </c>
      <c r="E791" s="307">
        <f t="shared" ca="1" si="357"/>
        <v>-2.003340041582355</v>
      </c>
      <c r="F791" s="304">
        <f t="shared" ca="1" si="358"/>
        <v>2.125631554451787</v>
      </c>
      <c r="G791" s="306">
        <f t="shared" ca="1" si="359"/>
        <v>10.918204336113011</v>
      </c>
      <c r="H791" s="307">
        <f t="shared" ca="1" si="360"/>
        <v>-119.95018610662441</v>
      </c>
      <c r="I791" s="304">
        <f t="shared" ca="1" si="361"/>
        <v>120.44606399936426</v>
      </c>
      <c r="J791" s="306">
        <f t="shared" ca="1" si="362"/>
        <v>770.52896740167785</v>
      </c>
      <c r="K791" s="307">
        <f t="shared" ca="1" si="363"/>
        <v>-12.204959127640564</v>
      </c>
      <c r="L791" s="304">
        <f t="shared" ca="1" si="348"/>
        <v>770.62562287559797</v>
      </c>
      <c r="M791" s="306">
        <f t="shared" ca="1" si="364"/>
        <v>-1.4800236427319156</v>
      </c>
      <c r="N791" s="304">
        <f t="shared" ca="1" si="365"/>
        <v>-84.799108308116757</v>
      </c>
      <c r="P791" s="310">
        <f t="shared" ca="1" si="366"/>
        <v>23</v>
      </c>
      <c r="Q791" s="304">
        <f t="shared" ca="1" si="367"/>
        <v>0</v>
      </c>
      <c r="R791" s="306">
        <f t="shared" ca="1" si="368"/>
        <v>0</v>
      </c>
      <c r="S791" s="307">
        <f t="shared" ca="1" si="369"/>
        <v>7.4499999999999984</v>
      </c>
      <c r="T791" s="304">
        <f t="shared" ca="1" si="349"/>
        <v>73.084499999999991</v>
      </c>
      <c r="U791" s="311">
        <f t="shared" ca="1" si="350"/>
        <v>0</v>
      </c>
      <c r="V791" s="306">
        <f t="shared" ca="1" si="351"/>
        <v>1.2264960204365503</v>
      </c>
      <c r="W791" s="304">
        <f t="shared" ca="1" si="352"/>
        <v>58.400311599346431</v>
      </c>
      <c r="Y791" s="314" t="str">
        <f t="shared" ca="1" si="370"/>
        <v/>
      </c>
      <c r="Z791" s="315" t="str">
        <f t="shared" ca="1" si="371"/>
        <v/>
      </c>
      <c r="AA791" s="316" t="str">
        <f t="shared" ca="1" si="372"/>
        <v/>
      </c>
      <c r="AC791" s="310" t="e">
        <f t="shared" ca="1" si="373"/>
        <v>#N/A</v>
      </c>
      <c r="AD791" s="323" t="e">
        <f t="shared" ca="1" si="374"/>
        <v>#N/A</v>
      </c>
      <c r="AE791" s="324" t="e">
        <f t="shared" ca="1" si="353"/>
        <v>#N/A</v>
      </c>
      <c r="AG791" s="306">
        <f t="shared" ca="1" si="375"/>
        <v>1.9306779892521915</v>
      </c>
      <c r="AH791" s="304">
        <f t="shared" ca="1" si="376"/>
        <v>-7.838933466322783</v>
      </c>
    </row>
    <row r="792" spans="1:34" x14ac:dyDescent="0.2">
      <c r="A792" s="347">
        <f t="shared" ca="1" si="354"/>
        <v>1E-4</v>
      </c>
      <c r="B792" s="304">
        <f t="shared" ca="1" si="355"/>
        <v>34.526300000001093</v>
      </c>
      <c r="D792" s="306">
        <f t="shared" ca="1" si="356"/>
        <v>-0.71058739128034165</v>
      </c>
      <c r="E792" s="307">
        <f t="shared" ca="1" si="357"/>
        <v>-2.0033051255347489</v>
      </c>
      <c r="F792" s="304">
        <f t="shared" ca="1" si="358"/>
        <v>2.1255977668976787</v>
      </c>
      <c r="G792" s="306">
        <f t="shared" ca="1" si="359"/>
        <v>10.918133277373883</v>
      </c>
      <c r="H792" s="307">
        <f t="shared" ca="1" si="360"/>
        <v>-119.95038643713697</v>
      </c>
      <c r="I792" s="304">
        <f t="shared" ca="1" si="361"/>
        <v>120.4462570638083</v>
      </c>
      <c r="J792" s="306">
        <f t="shared" ca="1" si="362"/>
        <v>770.52896740167785</v>
      </c>
      <c r="K792" s="307">
        <f t="shared" ca="1" si="363"/>
        <v>-12.216954156267752</v>
      </c>
      <c r="L792" s="304">
        <f t="shared" ca="1" si="348"/>
        <v>770.62581294293034</v>
      </c>
      <c r="M792" s="306">
        <f t="shared" ca="1" si="364"/>
        <v>-1.4800243810343565</v>
      </c>
      <c r="N792" s="304">
        <f t="shared" ca="1" si="365"/>
        <v>-84.799150609730631</v>
      </c>
      <c r="P792" s="310">
        <f t="shared" ca="1" si="366"/>
        <v>23</v>
      </c>
      <c r="Q792" s="304">
        <f t="shared" ca="1" si="367"/>
        <v>0</v>
      </c>
      <c r="R792" s="306">
        <f t="shared" ca="1" si="368"/>
        <v>0</v>
      </c>
      <c r="S792" s="307">
        <f t="shared" ca="1" si="369"/>
        <v>7.4499999999999984</v>
      </c>
      <c r="T792" s="304">
        <f t="shared" ca="1" si="349"/>
        <v>73.084499999999991</v>
      </c>
      <c r="U792" s="311">
        <f t="shared" ca="1" si="350"/>
        <v>0</v>
      </c>
      <c r="V792" s="306">
        <f t="shared" ca="1" si="351"/>
        <v>1.2264974916234685</v>
      </c>
      <c r="W792" s="304">
        <f t="shared" ca="1" si="352"/>
        <v>58.400568872253288</v>
      </c>
      <c r="Y792" s="314" t="str">
        <f t="shared" ca="1" si="370"/>
        <v/>
      </c>
      <c r="Z792" s="315" t="str">
        <f t="shared" ca="1" si="371"/>
        <v/>
      </c>
      <c r="AA792" s="316" t="str">
        <f t="shared" ca="1" si="372"/>
        <v/>
      </c>
      <c r="AC792" s="310" t="e">
        <f t="shared" ca="1" si="373"/>
        <v>#N/A</v>
      </c>
      <c r="AD792" s="323" t="e">
        <f t="shared" ca="1" si="374"/>
        <v>#N/A</v>
      </c>
      <c r="AE792" s="324" t="e">
        <f t="shared" ca="1" si="353"/>
        <v>#N/A</v>
      </c>
      <c r="AG792" s="306">
        <f t="shared" ca="1" si="375"/>
        <v>1.930644112212839</v>
      </c>
      <c r="AH792" s="304">
        <f t="shared" ca="1" si="376"/>
        <v>-7.8389679999122741</v>
      </c>
    </row>
    <row r="793" spans="1:34" x14ac:dyDescent="0.2">
      <c r="A793" s="347">
        <f t="shared" ca="1" si="354"/>
        <v>1E-4</v>
      </c>
      <c r="B793" s="304">
        <f t="shared" ca="1" si="355"/>
        <v>34.526400000001097</v>
      </c>
      <c r="D793" s="306">
        <f t="shared" ca="1" si="356"/>
        <v>-0.71058475792801756</v>
      </c>
      <c r="E793" s="307">
        <f t="shared" ca="1" si="357"/>
        <v>-2.0032702098039836</v>
      </c>
      <c r="F793" s="304">
        <f t="shared" ca="1" si="358"/>
        <v>2.125563979674034</v>
      </c>
      <c r="G793" s="306">
        <f t="shared" ca="1" si="359"/>
        <v>10.91806221889809</v>
      </c>
      <c r="H793" s="307">
        <f t="shared" ca="1" si="360"/>
        <v>-119.95058676415795</v>
      </c>
      <c r="I793" s="304">
        <f t="shared" ca="1" si="361"/>
        <v>120.44645012486468</v>
      </c>
      <c r="J793" s="306">
        <f t="shared" ca="1" si="362"/>
        <v>770.52896740167785</v>
      </c>
      <c r="K793" s="307">
        <f t="shared" ca="1" si="363"/>
        <v>-12.228949204927817</v>
      </c>
      <c r="L793" s="304">
        <f t="shared" ca="1" si="348"/>
        <v>770.62600319724004</v>
      </c>
      <c r="M793" s="306">
        <f t="shared" ca="1" si="364"/>
        <v>-1.4800251193296254</v>
      </c>
      <c r="N793" s="304">
        <f t="shared" ca="1" si="365"/>
        <v>-84.79919291093357</v>
      </c>
      <c r="P793" s="310">
        <f t="shared" ca="1" si="366"/>
        <v>23</v>
      </c>
      <c r="Q793" s="304">
        <f t="shared" ca="1" si="367"/>
        <v>0</v>
      </c>
      <c r="R793" s="306">
        <f t="shared" ca="1" si="368"/>
        <v>0</v>
      </c>
      <c r="S793" s="307">
        <f t="shared" ca="1" si="369"/>
        <v>7.4499999999999984</v>
      </c>
      <c r="T793" s="304">
        <f t="shared" ca="1" si="349"/>
        <v>73.084499999999991</v>
      </c>
      <c r="U793" s="311">
        <f t="shared" ca="1" si="350"/>
        <v>0</v>
      </c>
      <c r="V793" s="306">
        <f t="shared" ca="1" si="351"/>
        <v>1.2264989628146097</v>
      </c>
      <c r="W793" s="304">
        <f t="shared" ca="1" si="352"/>
        <v>58.400826142825302</v>
      </c>
      <c r="Y793" s="314" t="str">
        <f t="shared" ca="1" si="370"/>
        <v/>
      </c>
      <c r="Z793" s="315" t="str">
        <f t="shared" ca="1" si="371"/>
        <v/>
      </c>
      <c r="AA793" s="316" t="str">
        <f t="shared" ca="1" si="372"/>
        <v/>
      </c>
      <c r="AC793" s="310" t="e">
        <f t="shared" ca="1" si="373"/>
        <v>#N/A</v>
      </c>
      <c r="AD793" s="323" t="e">
        <f t="shared" ca="1" si="374"/>
        <v>#N/A</v>
      </c>
      <c r="AE793" s="324" t="e">
        <f t="shared" ca="1" si="353"/>
        <v>#N/A</v>
      </c>
      <c r="AG793" s="306">
        <f t="shared" ca="1" si="375"/>
        <v>1.9306102354751866</v>
      </c>
      <c r="AH793" s="304">
        <f t="shared" ca="1" si="376"/>
        <v>-7.8390025331883626</v>
      </c>
    </row>
    <row r="794" spans="1:34" x14ac:dyDescent="0.2">
      <c r="A794" s="347">
        <f t="shared" ca="1" si="354"/>
        <v>1E-4</v>
      </c>
      <c r="B794" s="304">
        <f t="shared" ca="1" si="355"/>
        <v>34.5265000000011</v>
      </c>
      <c r="D794" s="306">
        <f t="shared" ca="1" si="356"/>
        <v>-0.71058212455210568</v>
      </c>
      <c r="E794" s="307">
        <f t="shared" ca="1" si="357"/>
        <v>-2.0032352943900591</v>
      </c>
      <c r="F794" s="304">
        <f t="shared" ca="1" si="358"/>
        <v>2.1255301927808534</v>
      </c>
      <c r="G794" s="306">
        <f t="shared" ca="1" si="359"/>
        <v>10.917991160685634</v>
      </c>
      <c r="H794" s="307">
        <f t="shared" ca="1" si="360"/>
        <v>-119.95078708768739</v>
      </c>
      <c r="I794" s="304">
        <f t="shared" ca="1" si="361"/>
        <v>120.44664318253341</v>
      </c>
      <c r="J794" s="306">
        <f t="shared" ca="1" si="362"/>
        <v>770.52896740167785</v>
      </c>
      <c r="K794" s="307">
        <f t="shared" ca="1" si="363"/>
        <v>-12.240944273620409</v>
      </c>
      <c r="L794" s="304">
        <f t="shared" ca="1" si="348"/>
        <v>770.62619363852787</v>
      </c>
      <c r="M794" s="306">
        <f t="shared" ca="1" si="364"/>
        <v>-1.4800258576177228</v>
      </c>
      <c r="N794" s="304">
        <f t="shared" ca="1" si="365"/>
        <v>-84.799235211725616</v>
      </c>
      <c r="P794" s="310">
        <f t="shared" ca="1" si="366"/>
        <v>23</v>
      </c>
      <c r="Q794" s="304">
        <f t="shared" ca="1" si="367"/>
        <v>0</v>
      </c>
      <c r="R794" s="306">
        <f t="shared" ca="1" si="368"/>
        <v>0</v>
      </c>
      <c r="S794" s="307">
        <f t="shared" ca="1" si="369"/>
        <v>7.4499999999999984</v>
      </c>
      <c r="T794" s="304">
        <f t="shared" ca="1" si="349"/>
        <v>73.084499999999991</v>
      </c>
      <c r="U794" s="311">
        <f t="shared" ca="1" si="350"/>
        <v>0</v>
      </c>
      <c r="V794" s="306">
        <f t="shared" ca="1" si="351"/>
        <v>1.2265004340099737</v>
      </c>
      <c r="W794" s="304">
        <f t="shared" ca="1" si="352"/>
        <v>58.401083411062473</v>
      </c>
      <c r="Y794" s="314" t="str">
        <f t="shared" ca="1" si="370"/>
        <v/>
      </c>
      <c r="Z794" s="315" t="str">
        <f t="shared" ca="1" si="371"/>
        <v/>
      </c>
      <c r="AA794" s="316" t="str">
        <f t="shared" ca="1" si="372"/>
        <v/>
      </c>
      <c r="AC794" s="310" t="e">
        <f t="shared" ca="1" si="373"/>
        <v>#N/A</v>
      </c>
      <c r="AD794" s="323" t="e">
        <f t="shared" ca="1" si="374"/>
        <v>#N/A</v>
      </c>
      <c r="AE794" s="324" t="e">
        <f t="shared" ca="1" si="353"/>
        <v>#N/A</v>
      </c>
      <c r="AG794" s="306">
        <f t="shared" ca="1" si="375"/>
        <v>1.9305763590392333</v>
      </c>
      <c r="AH794" s="304">
        <f t="shared" ca="1" si="376"/>
        <v>-7.8390370661510493</v>
      </c>
    </row>
    <row r="795" spans="1:34" x14ac:dyDescent="0.2">
      <c r="A795" s="347">
        <f t="shared" ca="1" si="354"/>
        <v>1E-4</v>
      </c>
      <c r="B795" s="304">
        <f t="shared" ca="1" si="355"/>
        <v>34.526600000001103</v>
      </c>
      <c r="D795" s="306">
        <f t="shared" ca="1" si="356"/>
        <v>-0.71057949115260388</v>
      </c>
      <c r="E795" s="307">
        <f t="shared" ca="1" si="357"/>
        <v>-2.0032003792929771</v>
      </c>
      <c r="F795" s="304">
        <f t="shared" ca="1" si="358"/>
        <v>2.1254964062181383</v>
      </c>
      <c r="G795" s="306">
        <f t="shared" ca="1" si="359"/>
        <v>10.917920102736518</v>
      </c>
      <c r="H795" s="307">
        <f t="shared" ca="1" si="360"/>
        <v>-119.95098740772532</v>
      </c>
      <c r="I795" s="304">
        <f t="shared" ca="1" si="361"/>
        <v>120.44683623681452</v>
      </c>
      <c r="J795" s="306">
        <f t="shared" ca="1" si="362"/>
        <v>770.52896740167785</v>
      </c>
      <c r="K795" s="307">
        <f t="shared" ca="1" si="363"/>
        <v>-12.252939362345179</v>
      </c>
      <c r="L795" s="304">
        <f t="shared" ca="1" si="348"/>
        <v>770.6263842667945</v>
      </c>
      <c r="M795" s="306">
        <f t="shared" ca="1" si="364"/>
        <v>-1.4800265958986483</v>
      </c>
      <c r="N795" s="304">
        <f t="shared" ca="1" si="365"/>
        <v>-84.799277512106741</v>
      </c>
      <c r="P795" s="310">
        <f t="shared" ca="1" si="366"/>
        <v>23</v>
      </c>
      <c r="Q795" s="304">
        <f t="shared" ca="1" si="367"/>
        <v>0</v>
      </c>
      <c r="R795" s="306">
        <f t="shared" ca="1" si="368"/>
        <v>0</v>
      </c>
      <c r="S795" s="307">
        <f t="shared" ca="1" si="369"/>
        <v>7.4499999999999984</v>
      </c>
      <c r="T795" s="304">
        <f t="shared" ca="1" si="349"/>
        <v>73.084499999999991</v>
      </c>
      <c r="U795" s="311">
        <f t="shared" ca="1" si="350"/>
        <v>0</v>
      </c>
      <c r="V795" s="306">
        <f t="shared" ca="1" si="351"/>
        <v>1.2265019052095603</v>
      </c>
      <c r="W795" s="304">
        <f t="shared" ca="1" si="352"/>
        <v>58.4013406769648</v>
      </c>
      <c r="Y795" s="314" t="str">
        <f t="shared" ca="1" si="370"/>
        <v/>
      </c>
      <c r="Z795" s="315" t="str">
        <f t="shared" ca="1" si="371"/>
        <v/>
      </c>
      <c r="AA795" s="316" t="str">
        <f t="shared" ca="1" si="372"/>
        <v/>
      </c>
      <c r="AC795" s="310" t="e">
        <f t="shared" ca="1" si="373"/>
        <v>#N/A</v>
      </c>
      <c r="AD795" s="323" t="e">
        <f t="shared" ca="1" si="374"/>
        <v>#N/A</v>
      </c>
      <c r="AE795" s="324" t="e">
        <f t="shared" ca="1" si="353"/>
        <v>#N/A</v>
      </c>
      <c r="AG795" s="306">
        <f t="shared" ca="1" si="375"/>
        <v>1.9305424829049782</v>
      </c>
      <c r="AH795" s="304">
        <f t="shared" ca="1" si="376"/>
        <v>-7.8390715988003334</v>
      </c>
    </row>
    <row r="796" spans="1:34" x14ac:dyDescent="0.2">
      <c r="A796" s="347">
        <f t="shared" ca="1" si="354"/>
        <v>1E-4</v>
      </c>
      <c r="B796" s="304">
        <f t="shared" ca="1" si="355"/>
        <v>34.526700000001107</v>
      </c>
      <c r="D796" s="306">
        <f t="shared" ca="1" si="356"/>
        <v>-0.71057685772951573</v>
      </c>
      <c r="E796" s="307">
        <f t="shared" ca="1" si="357"/>
        <v>-2.003165464512735</v>
      </c>
      <c r="F796" s="304">
        <f t="shared" ca="1" si="358"/>
        <v>2.1254626199858877</v>
      </c>
      <c r="G796" s="306">
        <f t="shared" ca="1" si="359"/>
        <v>10.917849045050746</v>
      </c>
      <c r="H796" s="307">
        <f t="shared" ca="1" si="360"/>
        <v>-119.95118772427178</v>
      </c>
      <c r="I796" s="304">
        <f t="shared" ca="1" si="361"/>
        <v>120.44702928770806</v>
      </c>
      <c r="J796" s="306">
        <f t="shared" ca="1" si="362"/>
        <v>770.52896740167785</v>
      </c>
      <c r="K796" s="307">
        <f t="shared" ca="1" si="363"/>
        <v>-12.264934471101778</v>
      </c>
      <c r="L796" s="304">
        <f t="shared" ca="1" si="348"/>
        <v>770.62657508204086</v>
      </c>
      <c r="M796" s="306">
        <f t="shared" ca="1" si="364"/>
        <v>-1.4800273341724022</v>
      </c>
      <c r="N796" s="304">
        <f t="shared" ca="1" si="365"/>
        <v>-84.799319812076959</v>
      </c>
      <c r="P796" s="310">
        <f t="shared" ca="1" si="366"/>
        <v>23</v>
      </c>
      <c r="Q796" s="304">
        <f t="shared" ca="1" si="367"/>
        <v>0</v>
      </c>
      <c r="R796" s="306">
        <f t="shared" ca="1" si="368"/>
        <v>0</v>
      </c>
      <c r="S796" s="307">
        <f t="shared" ca="1" si="369"/>
        <v>7.4499999999999984</v>
      </c>
      <c r="T796" s="304">
        <f t="shared" ca="1" si="349"/>
        <v>73.084499999999991</v>
      </c>
      <c r="U796" s="311">
        <f t="shared" ca="1" si="350"/>
        <v>0</v>
      </c>
      <c r="V796" s="306">
        <f t="shared" ca="1" si="351"/>
        <v>1.2265033764133699</v>
      </c>
      <c r="W796" s="304">
        <f t="shared" ca="1" si="352"/>
        <v>58.401597940532341</v>
      </c>
      <c r="Y796" s="314" t="str">
        <f t="shared" ca="1" si="370"/>
        <v/>
      </c>
      <c r="Z796" s="315" t="str">
        <f t="shared" ca="1" si="371"/>
        <v/>
      </c>
      <c r="AA796" s="316" t="str">
        <f t="shared" ca="1" si="372"/>
        <v/>
      </c>
      <c r="AC796" s="310" t="e">
        <f t="shared" ca="1" si="373"/>
        <v>#N/A</v>
      </c>
      <c r="AD796" s="323" t="e">
        <f t="shared" ca="1" si="374"/>
        <v>#N/A</v>
      </c>
      <c r="AE796" s="324" t="e">
        <f t="shared" ca="1" si="353"/>
        <v>#N/A</v>
      </c>
      <c r="AG796" s="306">
        <f t="shared" ca="1" si="375"/>
        <v>1.9305086070724231</v>
      </c>
      <c r="AH796" s="304">
        <f t="shared" ca="1" si="376"/>
        <v>-7.8391061311362167</v>
      </c>
    </row>
    <row r="797" spans="1:34" x14ac:dyDescent="0.2">
      <c r="A797" s="347">
        <f t="shared" ca="1" si="354"/>
        <v>1E-4</v>
      </c>
      <c r="B797" s="304">
        <f t="shared" ca="1" si="355"/>
        <v>34.52680000000111</v>
      </c>
      <c r="D797" s="306">
        <f t="shared" ca="1" si="356"/>
        <v>-0.71057422428284112</v>
      </c>
      <c r="E797" s="307">
        <f t="shared" ca="1" si="357"/>
        <v>-2.0031305500493266</v>
      </c>
      <c r="F797" s="304">
        <f t="shared" ca="1" si="358"/>
        <v>2.1254288340840959</v>
      </c>
      <c r="G797" s="306">
        <f t="shared" ca="1" si="359"/>
        <v>10.917777987628318</v>
      </c>
      <c r="H797" s="307">
        <f t="shared" ca="1" si="360"/>
        <v>-119.95138803732678</v>
      </c>
      <c r="I797" s="304">
        <f t="shared" ca="1" si="361"/>
        <v>120.44722233521404</v>
      </c>
      <c r="J797" s="306">
        <f t="shared" ca="1" si="362"/>
        <v>770.52896740167785</v>
      </c>
      <c r="K797" s="307">
        <f t="shared" ca="1" si="363"/>
        <v>-12.276929599889858</v>
      </c>
      <c r="L797" s="304">
        <f t="shared" ca="1" si="348"/>
        <v>770.62676608426773</v>
      </c>
      <c r="M797" s="306">
        <f t="shared" ca="1" si="364"/>
        <v>-1.4800280724389847</v>
      </c>
      <c r="N797" s="304">
        <f t="shared" ca="1" si="365"/>
        <v>-84.799362111636299</v>
      </c>
      <c r="P797" s="310">
        <f t="shared" ca="1" si="366"/>
        <v>23</v>
      </c>
      <c r="Q797" s="304">
        <f t="shared" ca="1" si="367"/>
        <v>0</v>
      </c>
      <c r="R797" s="306">
        <f t="shared" ca="1" si="368"/>
        <v>0</v>
      </c>
      <c r="S797" s="307">
        <f t="shared" ca="1" si="369"/>
        <v>7.4499999999999984</v>
      </c>
      <c r="T797" s="304">
        <f t="shared" ca="1" si="349"/>
        <v>73.084499999999991</v>
      </c>
      <c r="U797" s="311">
        <f t="shared" ca="1" si="350"/>
        <v>0</v>
      </c>
      <c r="V797" s="306">
        <f t="shared" ca="1" si="351"/>
        <v>1.2265048476214022</v>
      </c>
      <c r="W797" s="304">
        <f t="shared" ca="1" si="352"/>
        <v>58.401855201765002</v>
      </c>
      <c r="Y797" s="314" t="str">
        <f t="shared" ca="1" si="370"/>
        <v/>
      </c>
      <c r="Z797" s="315" t="str">
        <f t="shared" ca="1" si="371"/>
        <v/>
      </c>
      <c r="AA797" s="316" t="str">
        <f t="shared" ca="1" si="372"/>
        <v/>
      </c>
      <c r="AC797" s="310" t="e">
        <f t="shared" ca="1" si="373"/>
        <v>#N/A</v>
      </c>
      <c r="AD797" s="323" t="e">
        <f t="shared" ca="1" si="374"/>
        <v>#N/A</v>
      </c>
      <c r="AE797" s="324" t="e">
        <f t="shared" ca="1" si="353"/>
        <v>#N/A</v>
      </c>
      <c r="AG797" s="306">
        <f t="shared" ca="1" si="375"/>
        <v>1.9304747315415582</v>
      </c>
      <c r="AH797" s="304">
        <f t="shared" ca="1" si="376"/>
        <v>-7.8391406631587053</v>
      </c>
    </row>
    <row r="798" spans="1:34" x14ac:dyDescent="0.2">
      <c r="A798" s="347">
        <f t="shared" ca="1" si="354"/>
        <v>1E-4</v>
      </c>
      <c r="B798" s="304">
        <f t="shared" ca="1" si="355"/>
        <v>34.526900000001113</v>
      </c>
      <c r="D798" s="306">
        <f t="shared" ca="1" si="356"/>
        <v>-0.71057159081257881</v>
      </c>
      <c r="E798" s="307">
        <f t="shared" ca="1" si="357"/>
        <v>-2.0030956359027634</v>
      </c>
      <c r="F798" s="304">
        <f t="shared" ca="1" si="358"/>
        <v>2.1253950485127735</v>
      </c>
      <c r="G798" s="306">
        <f t="shared" ca="1" si="359"/>
        <v>10.917706930469237</v>
      </c>
      <c r="H798" s="307">
        <f t="shared" ca="1" si="360"/>
        <v>-119.95158834689038</v>
      </c>
      <c r="I798" s="304">
        <f t="shared" ca="1" si="361"/>
        <v>120.4474153793325</v>
      </c>
      <c r="J798" s="306">
        <f t="shared" ca="1" si="362"/>
        <v>770.52896740167785</v>
      </c>
      <c r="K798" s="307">
        <f t="shared" ca="1" si="363"/>
        <v>-12.288924748709068</v>
      </c>
      <c r="L798" s="304">
        <f t="shared" ca="1" si="348"/>
        <v>770.62695727347568</v>
      </c>
      <c r="M798" s="306">
        <f t="shared" ca="1" si="364"/>
        <v>-1.4800288106983956</v>
      </c>
      <c r="N798" s="304">
        <f t="shared" ca="1" si="365"/>
        <v>-84.799404410784732</v>
      </c>
      <c r="P798" s="310">
        <f t="shared" ca="1" si="366"/>
        <v>23</v>
      </c>
      <c r="Q798" s="304">
        <f t="shared" ca="1" si="367"/>
        <v>0</v>
      </c>
      <c r="R798" s="306">
        <f t="shared" ca="1" si="368"/>
        <v>0</v>
      </c>
      <c r="S798" s="307">
        <f t="shared" ca="1" si="369"/>
        <v>7.4499999999999984</v>
      </c>
      <c r="T798" s="304">
        <f t="shared" ca="1" si="349"/>
        <v>73.084499999999991</v>
      </c>
      <c r="U798" s="311">
        <f t="shared" ca="1" si="350"/>
        <v>0</v>
      </c>
      <c r="V798" s="306">
        <f t="shared" ca="1" si="351"/>
        <v>1.2265063188336565</v>
      </c>
      <c r="W798" s="304">
        <f t="shared" ca="1" si="352"/>
        <v>58.402112460662828</v>
      </c>
      <c r="Y798" s="314" t="str">
        <f t="shared" ca="1" si="370"/>
        <v/>
      </c>
      <c r="Z798" s="315" t="str">
        <f t="shared" ca="1" si="371"/>
        <v/>
      </c>
      <c r="AA798" s="316" t="str">
        <f t="shared" ca="1" si="372"/>
        <v/>
      </c>
      <c r="AC798" s="310" t="e">
        <f t="shared" ca="1" si="373"/>
        <v>#N/A</v>
      </c>
      <c r="AD798" s="323" t="e">
        <f t="shared" ca="1" si="374"/>
        <v>#N/A</v>
      </c>
      <c r="AE798" s="324" t="e">
        <f t="shared" ca="1" si="353"/>
        <v>#N/A</v>
      </c>
      <c r="AG798" s="306">
        <f t="shared" ca="1" si="375"/>
        <v>1.9304408563123996</v>
      </c>
      <c r="AH798" s="304">
        <f t="shared" ca="1" si="376"/>
        <v>-7.8391751948677868</v>
      </c>
    </row>
    <row r="799" spans="1:34" x14ac:dyDescent="0.2">
      <c r="A799" s="347">
        <f t="shared" ca="1" si="354"/>
        <v>1E-4</v>
      </c>
      <c r="B799" s="304">
        <f t="shared" ca="1" si="355"/>
        <v>34.527000000001117</v>
      </c>
      <c r="D799" s="306">
        <f t="shared" ca="1" si="356"/>
        <v>-0.71056895731873271</v>
      </c>
      <c r="E799" s="307">
        <f t="shared" ca="1" si="357"/>
        <v>-2.0030607220730401</v>
      </c>
      <c r="F799" s="304">
        <f t="shared" ca="1" si="358"/>
        <v>2.125361263271917</v>
      </c>
      <c r="G799" s="306">
        <f t="shared" ca="1" si="359"/>
        <v>10.917635873573504</v>
      </c>
      <c r="H799" s="307">
        <f t="shared" ca="1" si="360"/>
        <v>-119.95178865296258</v>
      </c>
      <c r="I799" s="304">
        <f t="shared" ca="1" si="361"/>
        <v>120.44760842006346</v>
      </c>
      <c r="J799" s="306">
        <f t="shared" ca="1" si="362"/>
        <v>770.52896740167785</v>
      </c>
      <c r="K799" s="307">
        <f t="shared" ca="1" si="363"/>
        <v>-12.30091991755906</v>
      </c>
      <c r="L799" s="304">
        <f t="shared" ca="1" si="348"/>
        <v>770.62714864966586</v>
      </c>
      <c r="M799" s="306">
        <f t="shared" ca="1" si="364"/>
        <v>-1.4800295489506354</v>
      </c>
      <c r="N799" s="304">
        <f t="shared" ca="1" si="365"/>
        <v>-84.799446709522286</v>
      </c>
      <c r="P799" s="310">
        <f t="shared" ca="1" si="366"/>
        <v>23</v>
      </c>
      <c r="Q799" s="304">
        <f t="shared" ca="1" si="367"/>
        <v>0</v>
      </c>
      <c r="R799" s="306">
        <f t="shared" ca="1" si="368"/>
        <v>0</v>
      </c>
      <c r="S799" s="307">
        <f t="shared" ca="1" si="369"/>
        <v>7.4499999999999984</v>
      </c>
      <c r="T799" s="304">
        <f t="shared" ca="1" si="349"/>
        <v>73.084499999999991</v>
      </c>
      <c r="U799" s="311">
        <f t="shared" ca="1" si="350"/>
        <v>0</v>
      </c>
      <c r="V799" s="306">
        <f t="shared" ca="1" si="351"/>
        <v>1.2265077900501338</v>
      </c>
      <c r="W799" s="304">
        <f t="shared" ca="1" si="352"/>
        <v>58.402369717225852</v>
      </c>
      <c r="Y799" s="314" t="str">
        <f t="shared" ca="1" si="370"/>
        <v/>
      </c>
      <c r="Z799" s="315" t="str">
        <f t="shared" ca="1" si="371"/>
        <v/>
      </c>
      <c r="AA799" s="316" t="str">
        <f t="shared" ca="1" si="372"/>
        <v/>
      </c>
      <c r="AC799" s="310" t="e">
        <f t="shared" ca="1" si="373"/>
        <v>#N/A</v>
      </c>
      <c r="AD799" s="323" t="e">
        <f t="shared" ca="1" si="374"/>
        <v>#N/A</v>
      </c>
      <c r="AE799" s="324" t="e">
        <f t="shared" ca="1" si="353"/>
        <v>#N/A</v>
      </c>
      <c r="AG799" s="306">
        <f t="shared" ca="1" si="375"/>
        <v>1.9304069813849418</v>
      </c>
      <c r="AH799" s="304">
        <f t="shared" ca="1" si="376"/>
        <v>-7.8392097262634683</v>
      </c>
    </row>
    <row r="800" spans="1:34" x14ac:dyDescent="0.2">
      <c r="A800" s="347">
        <f t="shared" ca="1" si="354"/>
        <v>1E-4</v>
      </c>
      <c r="B800" s="304">
        <f t="shared" ca="1" si="355"/>
        <v>34.52710000000112</v>
      </c>
      <c r="D800" s="306">
        <f t="shared" ca="1" si="356"/>
        <v>-0.71056632380130091</v>
      </c>
      <c r="E800" s="307">
        <f t="shared" ca="1" si="357"/>
        <v>-2.0030258085601522</v>
      </c>
      <c r="F800" s="304">
        <f t="shared" ca="1" si="358"/>
        <v>2.1253274783615224</v>
      </c>
      <c r="G800" s="306">
        <f t="shared" ca="1" si="359"/>
        <v>10.917564816941123</v>
      </c>
      <c r="H800" s="307">
        <f t="shared" ca="1" si="360"/>
        <v>-119.95198895554343</v>
      </c>
      <c r="I800" s="304">
        <f t="shared" ca="1" si="361"/>
        <v>120.44780145740694</v>
      </c>
      <c r="J800" s="306">
        <f t="shared" ca="1" si="362"/>
        <v>770.52896740167785</v>
      </c>
      <c r="K800" s="307">
        <f t="shared" ca="1" si="363"/>
        <v>-12.312915106439485</v>
      </c>
      <c r="L800" s="304">
        <f t="shared" ca="1" si="348"/>
        <v>770.62734021283882</v>
      </c>
      <c r="M800" s="306">
        <f t="shared" ca="1" si="364"/>
        <v>-1.4800302871957041</v>
      </c>
      <c r="N800" s="304">
        <f t="shared" ca="1" si="365"/>
        <v>-84.799489007848962</v>
      </c>
      <c r="P800" s="310">
        <f t="shared" ca="1" si="366"/>
        <v>23</v>
      </c>
      <c r="Q800" s="304">
        <f t="shared" ca="1" si="367"/>
        <v>0</v>
      </c>
      <c r="R800" s="306">
        <f t="shared" ca="1" si="368"/>
        <v>0</v>
      </c>
      <c r="S800" s="307">
        <f t="shared" ca="1" si="369"/>
        <v>7.4499999999999984</v>
      </c>
      <c r="T800" s="304">
        <f t="shared" ca="1" si="349"/>
        <v>73.084499999999991</v>
      </c>
      <c r="U800" s="311">
        <f t="shared" ca="1" si="350"/>
        <v>0</v>
      </c>
      <c r="V800" s="306">
        <f t="shared" ca="1" si="351"/>
        <v>1.2265092612708339</v>
      </c>
      <c r="W800" s="304">
        <f t="shared" ca="1" si="352"/>
        <v>58.402626971454048</v>
      </c>
      <c r="Y800" s="314" t="str">
        <f t="shared" ca="1" si="370"/>
        <v/>
      </c>
      <c r="Z800" s="315" t="str">
        <f t="shared" ca="1" si="371"/>
        <v/>
      </c>
      <c r="AA800" s="316" t="str">
        <f t="shared" ca="1" si="372"/>
        <v/>
      </c>
      <c r="AC800" s="310" t="e">
        <f t="shared" ca="1" si="373"/>
        <v>#N/A</v>
      </c>
      <c r="AD800" s="323" t="e">
        <f t="shared" ca="1" si="374"/>
        <v>#N/A</v>
      </c>
      <c r="AE800" s="324" t="e">
        <f t="shared" ca="1" si="353"/>
        <v>#N/A</v>
      </c>
      <c r="AG800" s="306">
        <f t="shared" ca="1" si="375"/>
        <v>1.9303731067591743</v>
      </c>
      <c r="AH800" s="304">
        <f t="shared" ca="1" si="376"/>
        <v>-7.8392442573457535</v>
      </c>
    </row>
    <row r="801" spans="1:34" x14ac:dyDescent="0.2">
      <c r="A801" s="347">
        <f t="shared" ca="1" si="354"/>
        <v>1E-4</v>
      </c>
      <c r="B801" s="304">
        <f t="shared" ca="1" si="355"/>
        <v>34.527200000001123</v>
      </c>
      <c r="D801" s="306">
        <f t="shared" ca="1" si="356"/>
        <v>-0.71056369026028476</v>
      </c>
      <c r="E801" s="307">
        <f t="shared" ca="1" si="357"/>
        <v>-2.0029908953641025</v>
      </c>
      <c r="F801" s="304">
        <f t="shared" ca="1" si="358"/>
        <v>2.1252936937815918</v>
      </c>
      <c r="G801" s="306">
        <f t="shared" ca="1" si="359"/>
        <v>10.917493760572098</v>
      </c>
      <c r="H801" s="307">
        <f t="shared" ca="1" si="360"/>
        <v>-119.95218925463297</v>
      </c>
      <c r="I801" s="304">
        <f t="shared" ca="1" si="361"/>
        <v>120.44799449136302</v>
      </c>
      <c r="J801" s="306">
        <f t="shared" ca="1" si="362"/>
        <v>770.52896740167785</v>
      </c>
      <c r="K801" s="307">
        <f t="shared" ca="1" si="363"/>
        <v>-12.324910315349994</v>
      </c>
      <c r="L801" s="304">
        <f t="shared" ca="1" si="348"/>
        <v>770.62753196299536</v>
      </c>
      <c r="M801" s="306">
        <f t="shared" ca="1" si="364"/>
        <v>-1.4800310254336015</v>
      </c>
      <c r="N801" s="304">
        <f t="shared" ca="1" si="365"/>
        <v>-84.799531305764773</v>
      </c>
      <c r="P801" s="310">
        <f t="shared" ca="1" si="366"/>
        <v>23</v>
      </c>
      <c r="Q801" s="304">
        <f t="shared" ca="1" si="367"/>
        <v>0</v>
      </c>
      <c r="R801" s="306">
        <f t="shared" ca="1" si="368"/>
        <v>0</v>
      </c>
      <c r="S801" s="307">
        <f t="shared" ca="1" si="369"/>
        <v>7.4499999999999984</v>
      </c>
      <c r="T801" s="304">
        <f t="shared" ca="1" si="349"/>
        <v>73.084499999999991</v>
      </c>
      <c r="U801" s="311">
        <f t="shared" ca="1" si="350"/>
        <v>0</v>
      </c>
      <c r="V801" s="306">
        <f t="shared" ca="1" si="351"/>
        <v>1.2265107324957567</v>
      </c>
      <c r="W801" s="304">
        <f t="shared" ca="1" si="352"/>
        <v>58.402884223347456</v>
      </c>
      <c r="Y801" s="314" t="str">
        <f t="shared" ca="1" si="370"/>
        <v/>
      </c>
      <c r="Z801" s="315" t="str">
        <f t="shared" ca="1" si="371"/>
        <v/>
      </c>
      <c r="AA801" s="316" t="str">
        <f t="shared" ca="1" si="372"/>
        <v/>
      </c>
      <c r="AC801" s="310" t="e">
        <f t="shared" ca="1" si="373"/>
        <v>#N/A</v>
      </c>
      <c r="AD801" s="323" t="e">
        <f t="shared" ca="1" si="374"/>
        <v>#N/A</v>
      </c>
      <c r="AE801" s="324" t="e">
        <f t="shared" ca="1" si="353"/>
        <v>#N/A</v>
      </c>
      <c r="AG801" s="306">
        <f t="shared" ca="1" si="375"/>
        <v>1.9303392324351094</v>
      </c>
      <c r="AH801" s="304">
        <f t="shared" ca="1" si="376"/>
        <v>-7.8392787881146386</v>
      </c>
    </row>
    <row r="802" spans="1:34" x14ac:dyDescent="0.2">
      <c r="A802" s="347">
        <f t="shared" ca="1" si="354"/>
        <v>1E-4</v>
      </c>
      <c r="B802" s="304">
        <f t="shared" ca="1" si="355"/>
        <v>34.527300000001127</v>
      </c>
      <c r="D802" s="306">
        <f t="shared" ca="1" si="356"/>
        <v>-0.71056105669568603</v>
      </c>
      <c r="E802" s="307">
        <f t="shared" ca="1" si="357"/>
        <v>-2.0029559824848864</v>
      </c>
      <c r="F802" s="304">
        <f t="shared" ca="1" si="358"/>
        <v>2.1252599095321227</v>
      </c>
      <c r="G802" s="306">
        <f t="shared" ca="1" si="359"/>
        <v>10.917422704466428</v>
      </c>
      <c r="H802" s="307">
        <f t="shared" ca="1" si="360"/>
        <v>-119.95238955023122</v>
      </c>
      <c r="I802" s="304">
        <f t="shared" ca="1" si="361"/>
        <v>120.44818752193167</v>
      </c>
      <c r="J802" s="306">
        <f t="shared" ca="1" si="362"/>
        <v>770.52896740167785</v>
      </c>
      <c r="K802" s="307">
        <f t="shared" ca="1" si="363"/>
        <v>-12.336905544290238</v>
      </c>
      <c r="L802" s="304">
        <f t="shared" ca="1" si="348"/>
        <v>770.62772390013629</v>
      </c>
      <c r="M802" s="306">
        <f t="shared" ca="1" si="364"/>
        <v>-1.4800317636643279</v>
      </c>
      <c r="N802" s="304">
        <f t="shared" ca="1" si="365"/>
        <v>-84.799573603269693</v>
      </c>
      <c r="P802" s="310">
        <f t="shared" ca="1" si="366"/>
        <v>23</v>
      </c>
      <c r="Q802" s="304">
        <f t="shared" ca="1" si="367"/>
        <v>0</v>
      </c>
      <c r="R802" s="306">
        <f t="shared" ca="1" si="368"/>
        <v>0</v>
      </c>
      <c r="S802" s="307">
        <f t="shared" ca="1" si="369"/>
        <v>7.4499999999999984</v>
      </c>
      <c r="T802" s="304">
        <f t="shared" ca="1" si="349"/>
        <v>73.084499999999991</v>
      </c>
      <c r="U802" s="311">
        <f t="shared" ca="1" si="350"/>
        <v>0</v>
      </c>
      <c r="V802" s="306">
        <f t="shared" ca="1" si="351"/>
        <v>1.2265122037249014</v>
      </c>
      <c r="W802" s="304">
        <f t="shared" ca="1" si="352"/>
        <v>58.403141472906</v>
      </c>
      <c r="Y802" s="314" t="str">
        <f t="shared" ca="1" si="370"/>
        <v/>
      </c>
      <c r="Z802" s="315" t="str">
        <f t="shared" ca="1" si="371"/>
        <v/>
      </c>
      <c r="AA802" s="316" t="str">
        <f t="shared" ca="1" si="372"/>
        <v/>
      </c>
      <c r="AC802" s="310" t="e">
        <f t="shared" ca="1" si="373"/>
        <v>#N/A</v>
      </c>
      <c r="AD802" s="323" t="e">
        <f t="shared" ca="1" si="374"/>
        <v>#N/A</v>
      </c>
      <c r="AE802" s="324" t="e">
        <f t="shared" ca="1" si="353"/>
        <v>#N/A</v>
      </c>
      <c r="AG802" s="306">
        <f t="shared" ca="1" si="375"/>
        <v>1.9303053584127374</v>
      </c>
      <c r="AH802" s="304">
        <f t="shared" ca="1" si="376"/>
        <v>-7.83931331857013</v>
      </c>
    </row>
    <row r="803" spans="1:34" x14ac:dyDescent="0.2">
      <c r="A803" s="347">
        <f t="shared" ca="1" si="354"/>
        <v>1E-4</v>
      </c>
      <c r="B803" s="304">
        <f t="shared" ca="1" si="355"/>
        <v>34.52740000000113</v>
      </c>
      <c r="D803" s="306">
        <f t="shared" ca="1" si="356"/>
        <v>-0.71055842310750528</v>
      </c>
      <c r="E803" s="307">
        <f t="shared" ca="1" si="357"/>
        <v>-2.0029210699225137</v>
      </c>
      <c r="F803" s="304">
        <f t="shared" ca="1" si="358"/>
        <v>2.1252261256131244</v>
      </c>
      <c r="G803" s="306">
        <f t="shared" ca="1" si="359"/>
        <v>10.917351648624118</v>
      </c>
      <c r="H803" s="307">
        <f t="shared" ca="1" si="360"/>
        <v>-119.95258984233821</v>
      </c>
      <c r="I803" s="304">
        <f t="shared" ca="1" si="361"/>
        <v>120.44838054911297</v>
      </c>
      <c r="J803" s="306">
        <f t="shared" ca="1" si="362"/>
        <v>770.52896740167785</v>
      </c>
      <c r="K803" s="307">
        <f t="shared" ca="1" si="363"/>
        <v>-12.348900793259865</v>
      </c>
      <c r="L803" s="304">
        <f t="shared" ca="1" si="348"/>
        <v>770.6279160242625</v>
      </c>
      <c r="M803" s="306">
        <f t="shared" ca="1" si="364"/>
        <v>-1.4800325018878835</v>
      </c>
      <c r="N803" s="304">
        <f t="shared" ca="1" si="365"/>
        <v>-84.799615900363776</v>
      </c>
      <c r="P803" s="310">
        <f t="shared" ca="1" si="366"/>
        <v>23</v>
      </c>
      <c r="Q803" s="304">
        <f t="shared" ca="1" si="367"/>
        <v>0</v>
      </c>
      <c r="R803" s="306">
        <f t="shared" ca="1" si="368"/>
        <v>0</v>
      </c>
      <c r="S803" s="307">
        <f t="shared" ca="1" si="369"/>
        <v>7.4499999999999984</v>
      </c>
      <c r="T803" s="304">
        <f t="shared" ca="1" si="349"/>
        <v>73.084499999999991</v>
      </c>
      <c r="U803" s="311">
        <f t="shared" ca="1" si="350"/>
        <v>0</v>
      </c>
      <c r="V803" s="306">
        <f t="shared" ca="1" si="351"/>
        <v>1.2265136749582688</v>
      </c>
      <c r="W803" s="304">
        <f t="shared" ca="1" si="352"/>
        <v>58.403398720129751</v>
      </c>
      <c r="Y803" s="314" t="str">
        <f t="shared" ca="1" si="370"/>
        <v/>
      </c>
      <c r="Z803" s="315" t="str">
        <f t="shared" ca="1" si="371"/>
        <v/>
      </c>
      <c r="AA803" s="316" t="str">
        <f t="shared" ca="1" si="372"/>
        <v/>
      </c>
      <c r="AC803" s="310" t="e">
        <f t="shared" ca="1" si="373"/>
        <v>#N/A</v>
      </c>
      <c r="AD803" s="323" t="e">
        <f t="shared" ca="1" si="374"/>
        <v>#N/A</v>
      </c>
      <c r="AE803" s="324" t="e">
        <f t="shared" ca="1" si="353"/>
        <v>#N/A</v>
      </c>
      <c r="AG803" s="306">
        <f t="shared" ca="1" si="375"/>
        <v>1.9302714846920681</v>
      </c>
      <c r="AH803" s="304">
        <f t="shared" ca="1" si="376"/>
        <v>-7.8393478487122161</v>
      </c>
    </row>
    <row r="804" spans="1:34" x14ac:dyDescent="0.2">
      <c r="A804" s="347">
        <f t="shared" ca="1" si="354"/>
        <v>1E-4</v>
      </c>
      <c r="B804" s="304">
        <f t="shared" ca="1" si="355"/>
        <v>34.527500000001133</v>
      </c>
      <c r="D804" s="306">
        <f t="shared" ca="1" si="356"/>
        <v>-0.7105557894957415</v>
      </c>
      <c r="E804" s="307">
        <f t="shared" ca="1" si="357"/>
        <v>-2.0028861576769756</v>
      </c>
      <c r="F804" s="304">
        <f t="shared" ca="1" si="358"/>
        <v>2.1251923420245884</v>
      </c>
      <c r="G804" s="306">
        <f t="shared" ca="1" si="359"/>
        <v>10.917280593045168</v>
      </c>
      <c r="H804" s="307">
        <f t="shared" ca="1" si="360"/>
        <v>-119.95279013095399</v>
      </c>
      <c r="I804" s="304">
        <f t="shared" ca="1" si="361"/>
        <v>120.44857357290692</v>
      </c>
      <c r="J804" s="306">
        <f t="shared" ca="1" si="362"/>
        <v>770.52896740167785</v>
      </c>
      <c r="K804" s="307">
        <f t="shared" ca="1" si="363"/>
        <v>-12.360896062258529</v>
      </c>
      <c r="L804" s="304">
        <f t="shared" ca="1" si="348"/>
        <v>770.62810833537458</v>
      </c>
      <c r="M804" s="306">
        <f t="shared" ca="1" si="364"/>
        <v>-1.4800332401042684</v>
      </c>
      <c r="N804" s="304">
        <f t="shared" ca="1" si="365"/>
        <v>-84.799658197046995</v>
      </c>
      <c r="P804" s="310">
        <f t="shared" ca="1" si="366"/>
        <v>23</v>
      </c>
      <c r="Q804" s="304">
        <f t="shared" ca="1" si="367"/>
        <v>0</v>
      </c>
      <c r="R804" s="306">
        <f t="shared" ca="1" si="368"/>
        <v>0</v>
      </c>
      <c r="S804" s="307">
        <f t="shared" ca="1" si="369"/>
        <v>7.4499999999999984</v>
      </c>
      <c r="T804" s="304">
        <f t="shared" ca="1" si="349"/>
        <v>73.084499999999991</v>
      </c>
      <c r="U804" s="311">
        <f t="shared" ca="1" si="350"/>
        <v>0</v>
      </c>
      <c r="V804" s="306">
        <f t="shared" ca="1" si="351"/>
        <v>1.226515146195859</v>
      </c>
      <c r="W804" s="304">
        <f t="shared" ca="1" si="352"/>
        <v>58.403655965018721</v>
      </c>
      <c r="Y804" s="314" t="str">
        <f t="shared" ca="1" si="370"/>
        <v/>
      </c>
      <c r="Z804" s="315" t="str">
        <f t="shared" ca="1" si="371"/>
        <v/>
      </c>
      <c r="AA804" s="316" t="str">
        <f t="shared" ca="1" si="372"/>
        <v/>
      </c>
      <c r="AC804" s="310" t="e">
        <f t="shared" ca="1" si="373"/>
        <v>#N/A</v>
      </c>
      <c r="AD804" s="323" t="e">
        <f t="shared" ca="1" si="374"/>
        <v>#N/A</v>
      </c>
      <c r="AE804" s="324" t="e">
        <f t="shared" ca="1" si="353"/>
        <v>#N/A</v>
      </c>
      <c r="AG804" s="306">
        <f t="shared" ca="1" si="375"/>
        <v>1.9302376112730943</v>
      </c>
      <c r="AH804" s="304">
        <f t="shared" ca="1" si="376"/>
        <v>-7.8393823785409076</v>
      </c>
    </row>
    <row r="805" spans="1:34" x14ac:dyDescent="0.2">
      <c r="A805" s="347">
        <f t="shared" ca="1" si="354"/>
        <v>1E-4</v>
      </c>
      <c r="B805" s="304">
        <f t="shared" ca="1" si="355"/>
        <v>34.527600000001136</v>
      </c>
      <c r="D805" s="306">
        <f t="shared" ca="1" si="356"/>
        <v>-0.71055315586039614</v>
      </c>
      <c r="E805" s="307">
        <f t="shared" ca="1" si="357"/>
        <v>-2.0028512457482686</v>
      </c>
      <c r="F805" s="304">
        <f t="shared" ca="1" si="358"/>
        <v>2.1251585587665121</v>
      </c>
      <c r="G805" s="306">
        <f t="shared" ca="1" si="359"/>
        <v>10.917209537729583</v>
      </c>
      <c r="H805" s="307">
        <f t="shared" ca="1" si="360"/>
        <v>-119.95299041607856</v>
      </c>
      <c r="I805" s="304">
        <f t="shared" ca="1" si="361"/>
        <v>120.44876659331356</v>
      </c>
      <c r="J805" s="306">
        <f t="shared" ca="1" si="362"/>
        <v>770.52896740167785</v>
      </c>
      <c r="K805" s="307">
        <f t="shared" ca="1" si="363"/>
        <v>-12.372891351285881</v>
      </c>
      <c r="L805" s="304">
        <f t="shared" ca="1" si="348"/>
        <v>770.62830083347365</v>
      </c>
      <c r="M805" s="306">
        <f t="shared" ca="1" si="364"/>
        <v>-1.4800339783134824</v>
      </c>
      <c r="N805" s="304">
        <f t="shared" ca="1" si="365"/>
        <v>-84.799700493319349</v>
      </c>
      <c r="P805" s="310">
        <f t="shared" ca="1" si="366"/>
        <v>23</v>
      </c>
      <c r="Q805" s="304">
        <f t="shared" ca="1" si="367"/>
        <v>0</v>
      </c>
      <c r="R805" s="306">
        <f t="shared" ca="1" si="368"/>
        <v>0</v>
      </c>
      <c r="S805" s="307">
        <f t="shared" ca="1" si="369"/>
        <v>7.4499999999999984</v>
      </c>
      <c r="T805" s="304">
        <f t="shared" ca="1" si="349"/>
        <v>73.084499999999991</v>
      </c>
      <c r="U805" s="311">
        <f t="shared" ca="1" si="350"/>
        <v>0</v>
      </c>
      <c r="V805" s="306">
        <f t="shared" ca="1" si="351"/>
        <v>1.2265166174376716</v>
      </c>
      <c r="W805" s="304">
        <f t="shared" ca="1" si="352"/>
        <v>58.403913207572884</v>
      </c>
      <c r="Y805" s="314" t="str">
        <f t="shared" ca="1" si="370"/>
        <v/>
      </c>
      <c r="Z805" s="315" t="str">
        <f t="shared" ca="1" si="371"/>
        <v/>
      </c>
      <c r="AA805" s="316" t="str">
        <f t="shared" ca="1" si="372"/>
        <v/>
      </c>
      <c r="AC805" s="310" t="e">
        <f t="shared" ca="1" si="373"/>
        <v>#N/A</v>
      </c>
      <c r="AD805" s="323" t="e">
        <f t="shared" ca="1" si="374"/>
        <v>#N/A</v>
      </c>
      <c r="AE805" s="324" t="e">
        <f t="shared" ca="1" si="353"/>
        <v>#N/A</v>
      </c>
      <c r="AG805" s="306">
        <f t="shared" ca="1" si="375"/>
        <v>1.9302037381558126</v>
      </c>
      <c r="AH805" s="304">
        <f t="shared" ca="1" si="376"/>
        <v>-7.8394169080562062</v>
      </c>
    </row>
    <row r="806" spans="1:34" x14ac:dyDescent="0.2">
      <c r="A806" s="347">
        <f t="shared" ca="1" si="354"/>
        <v>1E-4</v>
      </c>
      <c r="B806" s="304">
        <f t="shared" ca="1" si="355"/>
        <v>34.52770000000114</v>
      </c>
      <c r="D806" s="306">
        <f t="shared" ca="1" si="356"/>
        <v>-0.71055052220147186</v>
      </c>
      <c r="E806" s="307">
        <f t="shared" ca="1" si="357"/>
        <v>-2.0028163341363996</v>
      </c>
      <c r="F806" s="304">
        <f t="shared" ca="1" si="358"/>
        <v>2.1251247758389038</v>
      </c>
      <c r="G806" s="306">
        <f t="shared" ca="1" si="359"/>
        <v>10.917138482677363</v>
      </c>
      <c r="H806" s="307">
        <f t="shared" ca="1" si="360"/>
        <v>-119.95319069771197</v>
      </c>
      <c r="I806" s="304">
        <f t="shared" ca="1" si="361"/>
        <v>120.44895961033292</v>
      </c>
      <c r="J806" s="306">
        <f t="shared" ca="1" si="362"/>
        <v>770.52896740167785</v>
      </c>
      <c r="K806" s="307">
        <f t="shared" ca="1" si="363"/>
        <v>-12.384886660341571</v>
      </c>
      <c r="L806" s="304">
        <f t="shared" ca="1" si="348"/>
        <v>770.62849351856005</v>
      </c>
      <c r="M806" s="306">
        <f t="shared" ca="1" si="364"/>
        <v>-1.4800347165155261</v>
      </c>
      <c r="N806" s="304">
        <f t="shared" ca="1" si="365"/>
        <v>-84.799742789180883</v>
      </c>
      <c r="P806" s="310">
        <f t="shared" ca="1" si="366"/>
        <v>23</v>
      </c>
      <c r="Q806" s="304">
        <f t="shared" ca="1" si="367"/>
        <v>0</v>
      </c>
      <c r="R806" s="306">
        <f t="shared" ca="1" si="368"/>
        <v>0</v>
      </c>
      <c r="S806" s="307">
        <f t="shared" ca="1" si="369"/>
        <v>7.4499999999999984</v>
      </c>
      <c r="T806" s="304">
        <f t="shared" ca="1" si="349"/>
        <v>73.084499999999991</v>
      </c>
      <c r="U806" s="311">
        <f t="shared" ca="1" si="350"/>
        <v>0</v>
      </c>
      <c r="V806" s="306">
        <f t="shared" ca="1" si="351"/>
        <v>1.2265180886837062</v>
      </c>
      <c r="W806" s="304">
        <f t="shared" ca="1" si="352"/>
        <v>58.404170447792218</v>
      </c>
      <c r="Y806" s="314" t="str">
        <f t="shared" ca="1" si="370"/>
        <v/>
      </c>
      <c r="Z806" s="315" t="str">
        <f t="shared" ca="1" si="371"/>
        <v/>
      </c>
      <c r="AA806" s="316" t="str">
        <f t="shared" ca="1" si="372"/>
        <v/>
      </c>
      <c r="AC806" s="310" t="e">
        <f t="shared" ca="1" si="373"/>
        <v>#N/A</v>
      </c>
      <c r="AD806" s="323" t="e">
        <f t="shared" ca="1" si="374"/>
        <v>#N/A</v>
      </c>
      <c r="AE806" s="324" t="e">
        <f t="shared" ca="1" si="353"/>
        <v>#N/A</v>
      </c>
      <c r="AG806" s="306">
        <f t="shared" ca="1" si="375"/>
        <v>1.9301698653402282</v>
      </c>
      <c r="AH806" s="304">
        <f t="shared" ca="1" si="376"/>
        <v>-7.8394514372581066</v>
      </c>
    </row>
    <row r="807" spans="1:34" x14ac:dyDescent="0.2">
      <c r="A807" s="347">
        <f t="shared" ca="1" si="354"/>
        <v>1E-4</v>
      </c>
      <c r="B807" s="304">
        <f t="shared" ca="1" si="355"/>
        <v>34.527800000001143</v>
      </c>
      <c r="D807" s="306">
        <f t="shared" ca="1" si="356"/>
        <v>-0.710547888518965</v>
      </c>
      <c r="E807" s="307">
        <f t="shared" ca="1" si="357"/>
        <v>-2.0027814228413678</v>
      </c>
      <c r="F807" s="304">
        <f t="shared" ca="1" si="358"/>
        <v>2.1250909932417605</v>
      </c>
      <c r="G807" s="306">
        <f t="shared" ca="1" si="359"/>
        <v>10.91706742788851</v>
      </c>
      <c r="H807" s="307">
        <f t="shared" ca="1" si="360"/>
        <v>-119.95339097585426</v>
      </c>
      <c r="I807" s="304">
        <f t="shared" ca="1" si="361"/>
        <v>120.44915262396502</v>
      </c>
      <c r="J807" s="306">
        <f t="shared" ca="1" si="362"/>
        <v>770.52896740167785</v>
      </c>
      <c r="K807" s="307">
        <f t="shared" ca="1" si="363"/>
        <v>-12.39688198942525</v>
      </c>
      <c r="L807" s="304">
        <f t="shared" ca="1" si="348"/>
        <v>770.62868639063504</v>
      </c>
      <c r="M807" s="306">
        <f t="shared" ca="1" si="364"/>
        <v>-1.4800354547103991</v>
      </c>
      <c r="N807" s="304">
        <f t="shared" ca="1" si="365"/>
        <v>-84.799785084631566</v>
      </c>
      <c r="P807" s="310">
        <f t="shared" ca="1" si="366"/>
        <v>23</v>
      </c>
      <c r="Q807" s="304">
        <f t="shared" ca="1" si="367"/>
        <v>0</v>
      </c>
      <c r="R807" s="306">
        <f t="shared" ca="1" si="368"/>
        <v>0</v>
      </c>
      <c r="S807" s="307">
        <f t="shared" ca="1" si="369"/>
        <v>7.4499999999999984</v>
      </c>
      <c r="T807" s="304">
        <f t="shared" ca="1" si="349"/>
        <v>73.084499999999991</v>
      </c>
      <c r="U807" s="311">
        <f t="shared" ca="1" si="350"/>
        <v>0</v>
      </c>
      <c r="V807" s="306">
        <f t="shared" ca="1" si="351"/>
        <v>1.2265195599339636</v>
      </c>
      <c r="W807" s="304">
        <f t="shared" ca="1" si="352"/>
        <v>58.404427685676758</v>
      </c>
      <c r="Y807" s="314" t="str">
        <f t="shared" ca="1" si="370"/>
        <v/>
      </c>
      <c r="Z807" s="315" t="str">
        <f t="shared" ca="1" si="371"/>
        <v/>
      </c>
      <c r="AA807" s="316" t="str">
        <f t="shared" ca="1" si="372"/>
        <v/>
      </c>
      <c r="AC807" s="310" t="e">
        <f t="shared" ca="1" si="373"/>
        <v>#N/A</v>
      </c>
      <c r="AD807" s="323" t="e">
        <f t="shared" ca="1" si="374"/>
        <v>#N/A</v>
      </c>
      <c r="AE807" s="324" t="e">
        <f t="shared" ca="1" si="353"/>
        <v>#N/A</v>
      </c>
      <c r="AG807" s="306">
        <f t="shared" ca="1" si="375"/>
        <v>1.9301359928263437</v>
      </c>
      <c r="AH807" s="304">
        <f t="shared" ca="1" si="376"/>
        <v>-7.8394859661466079</v>
      </c>
    </row>
    <row r="808" spans="1:34" x14ac:dyDescent="0.2">
      <c r="A808" s="347">
        <f t="shared" ca="1" si="354"/>
        <v>1E-4</v>
      </c>
      <c r="B808" s="304">
        <f t="shared" ca="1" si="355"/>
        <v>34.527900000001146</v>
      </c>
      <c r="D808" s="306">
        <f t="shared" ca="1" si="356"/>
        <v>-0.71054525481288067</v>
      </c>
      <c r="E808" s="307">
        <f t="shared" ca="1" si="357"/>
        <v>-2.0027465118631715</v>
      </c>
      <c r="F808" s="304">
        <f t="shared" ca="1" si="358"/>
        <v>2.1250572109750836</v>
      </c>
      <c r="G808" s="306">
        <f t="shared" ca="1" si="359"/>
        <v>10.916996373363029</v>
      </c>
      <c r="H808" s="307">
        <f t="shared" ca="1" si="360"/>
        <v>-119.95359125050545</v>
      </c>
      <c r="I808" s="304">
        <f t="shared" ca="1" si="361"/>
        <v>120.44934563420991</v>
      </c>
      <c r="J808" s="306">
        <f t="shared" ca="1" si="362"/>
        <v>770.52896740167785</v>
      </c>
      <c r="K808" s="307">
        <f t="shared" ca="1" si="363"/>
        <v>-12.408877338536568</v>
      </c>
      <c r="L808" s="304">
        <f t="shared" ca="1" si="348"/>
        <v>770.62887944969907</v>
      </c>
      <c r="M808" s="306">
        <f t="shared" ca="1" si="364"/>
        <v>-1.4800361928981016</v>
      </c>
      <c r="N808" s="304">
        <f t="shared" ca="1" si="365"/>
        <v>-84.799827379671413</v>
      </c>
      <c r="P808" s="310">
        <f t="shared" ca="1" si="366"/>
        <v>23</v>
      </c>
      <c r="Q808" s="304">
        <f t="shared" ca="1" si="367"/>
        <v>0</v>
      </c>
      <c r="R808" s="306">
        <f t="shared" ca="1" si="368"/>
        <v>0</v>
      </c>
      <c r="S808" s="307">
        <f t="shared" ca="1" si="369"/>
        <v>7.4499999999999984</v>
      </c>
      <c r="T808" s="304">
        <f t="shared" ca="1" si="349"/>
        <v>73.084499999999991</v>
      </c>
      <c r="U808" s="311">
        <f t="shared" ca="1" si="350"/>
        <v>0</v>
      </c>
      <c r="V808" s="306">
        <f t="shared" ca="1" si="351"/>
        <v>1.2265210311884431</v>
      </c>
      <c r="W808" s="304">
        <f t="shared" ca="1" si="352"/>
        <v>58.404684921226519</v>
      </c>
      <c r="Y808" s="314" t="str">
        <f t="shared" ca="1" si="370"/>
        <v/>
      </c>
      <c r="Z808" s="315" t="str">
        <f t="shared" ca="1" si="371"/>
        <v/>
      </c>
      <c r="AA808" s="316" t="str">
        <f t="shared" ca="1" si="372"/>
        <v/>
      </c>
      <c r="AC808" s="310" t="e">
        <f t="shared" ca="1" si="373"/>
        <v>#N/A</v>
      </c>
      <c r="AD808" s="323" t="e">
        <f t="shared" ca="1" si="374"/>
        <v>#N/A</v>
      </c>
      <c r="AE808" s="324" t="e">
        <f t="shared" ca="1" si="353"/>
        <v>#N/A</v>
      </c>
      <c r="AG808" s="306">
        <f t="shared" ca="1" si="375"/>
        <v>1.9301021206141549</v>
      </c>
      <c r="AH808" s="304">
        <f t="shared" ca="1" si="376"/>
        <v>-7.8395204947217145</v>
      </c>
    </row>
    <row r="809" spans="1:34" x14ac:dyDescent="0.2">
      <c r="A809" s="347">
        <f t="shared" ca="1" si="354"/>
        <v>1E-4</v>
      </c>
      <c r="B809" s="304">
        <f t="shared" ca="1" si="355"/>
        <v>34.52800000000115</v>
      </c>
      <c r="D809" s="306">
        <f t="shared" ca="1" si="356"/>
        <v>-0.71054262108321886</v>
      </c>
      <c r="E809" s="307">
        <f t="shared" ca="1" si="357"/>
        <v>-2.0027116012018062</v>
      </c>
      <c r="F809" s="304">
        <f t="shared" ca="1" si="358"/>
        <v>2.125023429038869</v>
      </c>
      <c r="G809" s="306">
        <f t="shared" ca="1" si="359"/>
        <v>10.916925319100921</v>
      </c>
      <c r="H809" s="307">
        <f t="shared" ca="1" si="360"/>
        <v>-119.95379152166558</v>
      </c>
      <c r="I809" s="304">
        <f t="shared" ca="1" si="361"/>
        <v>120.44953864106759</v>
      </c>
      <c r="J809" s="306">
        <f t="shared" ca="1" si="362"/>
        <v>770.52896740167785</v>
      </c>
      <c r="K809" s="307">
        <f t="shared" ca="1" si="363"/>
        <v>-12.420872707675176</v>
      </c>
      <c r="L809" s="304">
        <f t="shared" ca="1" si="348"/>
        <v>770.62907269575305</v>
      </c>
      <c r="M809" s="306">
        <f t="shared" ca="1" si="364"/>
        <v>-1.4800369310786341</v>
      </c>
      <c r="N809" s="304">
        <f t="shared" ca="1" si="365"/>
        <v>-84.799869674300439</v>
      </c>
      <c r="P809" s="310">
        <f t="shared" ca="1" si="366"/>
        <v>23</v>
      </c>
      <c r="Q809" s="304">
        <f t="shared" ca="1" si="367"/>
        <v>0</v>
      </c>
      <c r="R809" s="306">
        <f t="shared" ca="1" si="368"/>
        <v>0</v>
      </c>
      <c r="S809" s="307">
        <f t="shared" ca="1" si="369"/>
        <v>7.4499999999999984</v>
      </c>
      <c r="T809" s="304">
        <f t="shared" ca="1" si="349"/>
        <v>73.084499999999991</v>
      </c>
      <c r="U809" s="311">
        <f t="shared" ca="1" si="350"/>
        <v>0</v>
      </c>
      <c r="V809" s="306">
        <f t="shared" ca="1" si="351"/>
        <v>1.2265225024471451</v>
      </c>
      <c r="W809" s="304">
        <f t="shared" ca="1" si="352"/>
        <v>58.404942154441478</v>
      </c>
      <c r="Y809" s="314" t="str">
        <f t="shared" ca="1" si="370"/>
        <v/>
      </c>
      <c r="Z809" s="315" t="str">
        <f t="shared" ca="1" si="371"/>
        <v/>
      </c>
      <c r="AA809" s="316" t="str">
        <f t="shared" ca="1" si="372"/>
        <v/>
      </c>
      <c r="AC809" s="310" t="e">
        <f t="shared" ca="1" si="373"/>
        <v>#N/A</v>
      </c>
      <c r="AD809" s="323" t="e">
        <f t="shared" ca="1" si="374"/>
        <v>#N/A</v>
      </c>
      <c r="AE809" s="324" t="e">
        <f t="shared" ca="1" si="353"/>
        <v>#N/A</v>
      </c>
      <c r="AG809" s="306">
        <f t="shared" ca="1" si="375"/>
        <v>1.9300682487036607</v>
      </c>
      <c r="AH809" s="304">
        <f t="shared" ca="1" si="376"/>
        <v>-7.8395550229834274</v>
      </c>
    </row>
    <row r="810" spans="1:34" x14ac:dyDescent="0.2">
      <c r="A810" s="347">
        <f t="shared" ca="1" si="354"/>
        <v>1E-4</v>
      </c>
      <c r="B810" s="304">
        <f t="shared" ca="1" si="355"/>
        <v>34.528100000001153</v>
      </c>
      <c r="D810" s="306">
        <f t="shared" ca="1" si="356"/>
        <v>-0.71053998732997714</v>
      </c>
      <c r="E810" s="307">
        <f t="shared" ca="1" si="357"/>
        <v>-2.0026766908572764</v>
      </c>
      <c r="F810" s="304">
        <f t="shared" ca="1" si="358"/>
        <v>2.1249896474331198</v>
      </c>
      <c r="G810" s="306">
        <f t="shared" ca="1" si="359"/>
        <v>10.916854265102188</v>
      </c>
      <c r="H810" s="307">
        <f t="shared" ca="1" si="360"/>
        <v>-119.95399178933467</v>
      </c>
      <c r="I810" s="304">
        <f t="shared" ca="1" si="361"/>
        <v>120.44973164453812</v>
      </c>
      <c r="J810" s="306">
        <f t="shared" ca="1" si="362"/>
        <v>770.52896740167785</v>
      </c>
      <c r="K810" s="307">
        <f t="shared" ca="1" si="363"/>
        <v>-12.432868096840727</v>
      </c>
      <c r="L810" s="304">
        <f t="shared" ca="1" si="348"/>
        <v>770.62926612879778</v>
      </c>
      <c r="M810" s="306">
        <f t="shared" ca="1" si="364"/>
        <v>-1.4800376692519963</v>
      </c>
      <c r="N810" s="304">
        <f t="shared" ca="1" si="365"/>
        <v>-84.799911968518643</v>
      </c>
      <c r="P810" s="310">
        <f t="shared" ca="1" si="366"/>
        <v>23</v>
      </c>
      <c r="Q810" s="304">
        <f t="shared" ca="1" si="367"/>
        <v>0</v>
      </c>
      <c r="R810" s="306">
        <f t="shared" ca="1" si="368"/>
        <v>0</v>
      </c>
      <c r="S810" s="307">
        <f t="shared" ca="1" si="369"/>
        <v>7.4499999999999984</v>
      </c>
      <c r="T810" s="304">
        <f t="shared" ca="1" si="349"/>
        <v>73.084499999999991</v>
      </c>
      <c r="U810" s="311">
        <f t="shared" ca="1" si="350"/>
        <v>0</v>
      </c>
      <c r="V810" s="306">
        <f t="shared" ca="1" si="351"/>
        <v>1.226523973710069</v>
      </c>
      <c r="W810" s="304">
        <f t="shared" ca="1" si="352"/>
        <v>58.40519938532163</v>
      </c>
      <c r="Y810" s="314" t="str">
        <f t="shared" ca="1" si="370"/>
        <v/>
      </c>
      <c r="Z810" s="315" t="str">
        <f t="shared" ca="1" si="371"/>
        <v/>
      </c>
      <c r="AA810" s="316" t="str">
        <f t="shared" ca="1" si="372"/>
        <v/>
      </c>
      <c r="AC810" s="310" t="e">
        <f t="shared" ca="1" si="373"/>
        <v>#N/A</v>
      </c>
      <c r="AD810" s="323" t="e">
        <f t="shared" ca="1" si="374"/>
        <v>#N/A</v>
      </c>
      <c r="AE810" s="324" t="e">
        <f t="shared" ca="1" si="353"/>
        <v>#N/A</v>
      </c>
      <c r="AG810" s="306">
        <f t="shared" ca="1" si="375"/>
        <v>1.9300343770948638</v>
      </c>
      <c r="AH810" s="304">
        <f t="shared" ca="1" si="376"/>
        <v>-7.8395895509317439</v>
      </c>
    </row>
    <row r="811" spans="1:34" x14ac:dyDescent="0.2">
      <c r="A811" s="347">
        <f t="shared" ca="1" si="354"/>
        <v>1E-4</v>
      </c>
      <c r="B811" s="304">
        <f t="shared" ca="1" si="355"/>
        <v>34.528200000001156</v>
      </c>
      <c r="D811" s="306">
        <f t="shared" ca="1" si="356"/>
        <v>-0.71053735355315872</v>
      </c>
      <c r="E811" s="307">
        <f t="shared" ca="1" si="357"/>
        <v>-2.0026417808295829</v>
      </c>
      <c r="F811" s="304">
        <f t="shared" ca="1" si="358"/>
        <v>2.1249558661578387</v>
      </c>
      <c r="G811" s="306">
        <f t="shared" ca="1" si="359"/>
        <v>10.916783211366832</v>
      </c>
      <c r="H811" s="307">
        <f t="shared" ca="1" si="360"/>
        <v>-119.95419205351274</v>
      </c>
      <c r="I811" s="304">
        <f t="shared" ca="1" si="361"/>
        <v>120.44992464462152</v>
      </c>
      <c r="J811" s="306">
        <f t="shared" ca="1" si="362"/>
        <v>770.52896740167785</v>
      </c>
      <c r="K811" s="307">
        <f t="shared" ca="1" si="363"/>
        <v>-12.444863506032869</v>
      </c>
      <c r="L811" s="304">
        <f t="shared" ca="1" si="348"/>
        <v>770.62945974883394</v>
      </c>
      <c r="M811" s="306">
        <f t="shared" ca="1" si="364"/>
        <v>-1.4800384074181885</v>
      </c>
      <c r="N811" s="304">
        <f t="shared" ca="1" si="365"/>
        <v>-84.799954262326025</v>
      </c>
      <c r="P811" s="310">
        <f t="shared" ca="1" si="366"/>
        <v>23</v>
      </c>
      <c r="Q811" s="304">
        <f t="shared" ca="1" si="367"/>
        <v>0</v>
      </c>
      <c r="R811" s="306">
        <f t="shared" ca="1" si="368"/>
        <v>0</v>
      </c>
      <c r="S811" s="307">
        <f t="shared" ca="1" si="369"/>
        <v>7.4499999999999984</v>
      </c>
      <c r="T811" s="304">
        <f t="shared" ca="1" si="349"/>
        <v>73.084499999999991</v>
      </c>
      <c r="U811" s="311">
        <f t="shared" ca="1" si="350"/>
        <v>0</v>
      </c>
      <c r="V811" s="306">
        <f t="shared" ca="1" si="351"/>
        <v>1.2265254449772154</v>
      </c>
      <c r="W811" s="304">
        <f t="shared" ca="1" si="352"/>
        <v>58.405456613867017</v>
      </c>
      <c r="Y811" s="314" t="str">
        <f t="shared" ca="1" si="370"/>
        <v/>
      </c>
      <c r="Z811" s="315" t="str">
        <f t="shared" ca="1" si="371"/>
        <v/>
      </c>
      <c r="AA811" s="316" t="str">
        <f t="shared" ca="1" si="372"/>
        <v/>
      </c>
      <c r="AC811" s="310" t="e">
        <f t="shared" ca="1" si="373"/>
        <v>#N/A</v>
      </c>
      <c r="AD811" s="323" t="e">
        <f t="shared" ca="1" si="374"/>
        <v>#N/A</v>
      </c>
      <c r="AE811" s="324" t="e">
        <f t="shared" ca="1" si="353"/>
        <v>#N/A</v>
      </c>
      <c r="AG811" s="306">
        <f t="shared" ca="1" si="375"/>
        <v>1.9300005057877669</v>
      </c>
      <c r="AH811" s="304">
        <f t="shared" ca="1" si="376"/>
        <v>-7.8396240785666631</v>
      </c>
    </row>
    <row r="812" spans="1:34" x14ac:dyDescent="0.2">
      <c r="A812" s="347">
        <f t="shared" ca="1" si="354"/>
        <v>1E-4</v>
      </c>
      <c r="B812" s="304">
        <f t="shared" ca="1" si="355"/>
        <v>34.52830000000116</v>
      </c>
      <c r="D812" s="306">
        <f t="shared" ca="1" si="356"/>
        <v>-0.71053471975276383</v>
      </c>
      <c r="E812" s="307">
        <f t="shared" ca="1" si="357"/>
        <v>-2.0026068711187186</v>
      </c>
      <c r="F812" s="304">
        <f t="shared" ca="1" si="358"/>
        <v>2.1249220852130186</v>
      </c>
      <c r="G812" s="306">
        <f t="shared" ca="1" si="359"/>
        <v>10.916712157894857</v>
      </c>
      <c r="H812" s="307">
        <f t="shared" ca="1" si="360"/>
        <v>-119.95439231419985</v>
      </c>
      <c r="I812" s="304">
        <f t="shared" ca="1" si="361"/>
        <v>120.4501176413178</v>
      </c>
      <c r="J812" s="306">
        <f t="shared" ca="1" si="362"/>
        <v>770.52896740167785</v>
      </c>
      <c r="K812" s="307">
        <f t="shared" ca="1" si="363"/>
        <v>-12.456858935251255</v>
      </c>
      <c r="L812" s="304">
        <f t="shared" ca="1" si="348"/>
        <v>770.62965355586255</v>
      </c>
      <c r="M812" s="306">
        <f t="shared" ca="1" si="364"/>
        <v>-1.4800391455772106</v>
      </c>
      <c r="N812" s="304">
        <f t="shared" ca="1" si="365"/>
        <v>-84.799996555722615</v>
      </c>
      <c r="P812" s="310">
        <f t="shared" ca="1" si="366"/>
        <v>23</v>
      </c>
      <c r="Q812" s="304">
        <f t="shared" ca="1" si="367"/>
        <v>0</v>
      </c>
      <c r="R812" s="306">
        <f t="shared" ca="1" si="368"/>
        <v>0</v>
      </c>
      <c r="S812" s="307">
        <f t="shared" ca="1" si="369"/>
        <v>7.4499999999999984</v>
      </c>
      <c r="T812" s="304">
        <f t="shared" ca="1" si="349"/>
        <v>73.084499999999991</v>
      </c>
      <c r="U812" s="311">
        <f t="shared" ca="1" si="350"/>
        <v>0</v>
      </c>
      <c r="V812" s="306">
        <f t="shared" ca="1" si="351"/>
        <v>1.2265269162485843</v>
      </c>
      <c r="W812" s="304">
        <f t="shared" ca="1" si="352"/>
        <v>58.405713840077617</v>
      </c>
      <c r="Y812" s="314" t="str">
        <f t="shared" ca="1" si="370"/>
        <v/>
      </c>
      <c r="Z812" s="315" t="str">
        <f t="shared" ca="1" si="371"/>
        <v/>
      </c>
      <c r="AA812" s="316" t="str">
        <f t="shared" ca="1" si="372"/>
        <v/>
      </c>
      <c r="AC812" s="310" t="e">
        <f t="shared" ca="1" si="373"/>
        <v>#N/A</v>
      </c>
      <c r="AD812" s="323" t="e">
        <f t="shared" ca="1" si="374"/>
        <v>#N/A</v>
      </c>
      <c r="AE812" s="324" t="e">
        <f t="shared" ca="1" si="353"/>
        <v>#N/A</v>
      </c>
      <c r="AG812" s="306">
        <f t="shared" ca="1" si="375"/>
        <v>1.9299666347823576</v>
      </c>
      <c r="AH812" s="304">
        <f t="shared" ca="1" si="376"/>
        <v>-7.8396586058881921</v>
      </c>
    </row>
    <row r="813" spans="1:34" x14ac:dyDescent="0.2">
      <c r="A813" s="347">
        <f t="shared" ca="1" si="354"/>
        <v>1E-4</v>
      </c>
      <c r="B813" s="304">
        <f t="shared" ca="1" si="355"/>
        <v>34.528400000001163</v>
      </c>
      <c r="D813" s="306">
        <f t="shared" ca="1" si="356"/>
        <v>-0.71053208592879369</v>
      </c>
      <c r="E813" s="307">
        <f t="shared" ca="1" si="357"/>
        <v>-2.002571961724688</v>
      </c>
      <c r="F813" s="304">
        <f t="shared" ca="1" si="358"/>
        <v>2.1248883045986648</v>
      </c>
      <c r="G813" s="306">
        <f t="shared" ca="1" si="359"/>
        <v>10.916641104686263</v>
      </c>
      <c r="H813" s="307">
        <f t="shared" ca="1" si="360"/>
        <v>-119.95459257139602</v>
      </c>
      <c r="I813" s="304">
        <f t="shared" ca="1" si="361"/>
        <v>120.45031063462702</v>
      </c>
      <c r="J813" s="306">
        <f t="shared" ca="1" si="362"/>
        <v>770.52896740167785</v>
      </c>
      <c r="K813" s="307">
        <f t="shared" ca="1" si="363"/>
        <v>-12.468854384495534</v>
      </c>
      <c r="L813" s="304">
        <f t="shared" ca="1" si="348"/>
        <v>770.62984754988418</v>
      </c>
      <c r="M813" s="306">
        <f t="shared" ca="1" si="364"/>
        <v>-1.4800398837290629</v>
      </c>
      <c r="N813" s="304">
        <f t="shared" ca="1" si="365"/>
        <v>-84.800038848708382</v>
      </c>
      <c r="P813" s="310">
        <f t="shared" ca="1" si="366"/>
        <v>23</v>
      </c>
      <c r="Q813" s="304">
        <f t="shared" ca="1" si="367"/>
        <v>0</v>
      </c>
      <c r="R813" s="306">
        <f t="shared" ca="1" si="368"/>
        <v>0</v>
      </c>
      <c r="S813" s="307">
        <f t="shared" ca="1" si="369"/>
        <v>7.4499999999999984</v>
      </c>
      <c r="T813" s="304">
        <f t="shared" ca="1" si="349"/>
        <v>73.084499999999991</v>
      </c>
      <c r="U813" s="311">
        <f t="shared" ca="1" si="350"/>
        <v>0</v>
      </c>
      <c r="V813" s="306">
        <f t="shared" ca="1" si="351"/>
        <v>1.226528387524175</v>
      </c>
      <c r="W813" s="304">
        <f t="shared" ca="1" si="352"/>
        <v>58.40597106395343</v>
      </c>
      <c r="Y813" s="314" t="str">
        <f t="shared" ca="1" si="370"/>
        <v/>
      </c>
      <c r="Z813" s="315" t="str">
        <f t="shared" ca="1" si="371"/>
        <v/>
      </c>
      <c r="AA813" s="316" t="str">
        <f t="shared" ca="1" si="372"/>
        <v/>
      </c>
      <c r="AC813" s="310" t="e">
        <f t="shared" ca="1" si="373"/>
        <v>#N/A</v>
      </c>
      <c r="AD813" s="323" t="e">
        <f t="shared" ca="1" si="374"/>
        <v>#N/A</v>
      </c>
      <c r="AE813" s="324" t="e">
        <f t="shared" ca="1" si="353"/>
        <v>#N/A</v>
      </c>
      <c r="AG813" s="306">
        <f t="shared" ca="1" si="375"/>
        <v>1.9299327640786474</v>
      </c>
      <c r="AH813" s="304">
        <f t="shared" ca="1" si="376"/>
        <v>-7.8396931328963264</v>
      </c>
    </row>
    <row r="814" spans="1:34" x14ac:dyDescent="0.2">
      <c r="A814" s="347">
        <f t="shared" ca="1" si="354"/>
        <v>1E-4</v>
      </c>
      <c r="B814" s="304">
        <f t="shared" ca="1" si="355"/>
        <v>34.528500000001166</v>
      </c>
      <c r="D814" s="306">
        <f t="shared" ca="1" si="356"/>
        <v>-0.71052945208124774</v>
      </c>
      <c r="E814" s="307">
        <f t="shared" ca="1" si="357"/>
        <v>-2.002537052647491</v>
      </c>
      <c r="F814" s="304">
        <f t="shared" ca="1" si="358"/>
        <v>2.1248545243147774</v>
      </c>
      <c r="G814" s="306">
        <f t="shared" ca="1" si="359"/>
        <v>10.916570051741056</v>
      </c>
      <c r="H814" s="307">
        <f t="shared" ca="1" si="360"/>
        <v>-119.95479282510128</v>
      </c>
      <c r="I814" s="304">
        <f t="shared" ca="1" si="361"/>
        <v>120.45050362454919</v>
      </c>
      <c r="J814" s="306">
        <f t="shared" ca="1" si="362"/>
        <v>770.52896740167785</v>
      </c>
      <c r="K814" s="307">
        <f t="shared" ca="1" si="363"/>
        <v>-12.48084985376536</v>
      </c>
      <c r="L814" s="304">
        <f t="shared" ca="1" si="348"/>
        <v>770.63004173089973</v>
      </c>
      <c r="M814" s="306">
        <f t="shared" ca="1" si="364"/>
        <v>-1.4800406218737454</v>
      </c>
      <c r="N814" s="304">
        <f t="shared" ca="1" si="365"/>
        <v>-84.800081141283357</v>
      </c>
      <c r="P814" s="310">
        <f t="shared" ca="1" si="366"/>
        <v>23</v>
      </c>
      <c r="Q814" s="304">
        <f t="shared" ca="1" si="367"/>
        <v>0</v>
      </c>
      <c r="R814" s="306">
        <f t="shared" ca="1" si="368"/>
        <v>0</v>
      </c>
      <c r="S814" s="307">
        <f t="shared" ca="1" si="369"/>
        <v>7.4499999999999984</v>
      </c>
      <c r="T814" s="304">
        <f t="shared" ca="1" si="349"/>
        <v>73.084499999999991</v>
      </c>
      <c r="U814" s="311">
        <f t="shared" ca="1" si="350"/>
        <v>0</v>
      </c>
      <c r="V814" s="306">
        <f t="shared" ca="1" si="351"/>
        <v>1.2265298588039877</v>
      </c>
      <c r="W814" s="304">
        <f t="shared" ca="1" si="352"/>
        <v>58.406228285494429</v>
      </c>
      <c r="Y814" s="314" t="str">
        <f t="shared" ca="1" si="370"/>
        <v/>
      </c>
      <c r="Z814" s="315" t="str">
        <f t="shared" ca="1" si="371"/>
        <v/>
      </c>
      <c r="AA814" s="316" t="str">
        <f t="shared" ca="1" si="372"/>
        <v/>
      </c>
      <c r="AC814" s="310" t="e">
        <f t="shared" ca="1" si="373"/>
        <v>#N/A</v>
      </c>
      <c r="AD814" s="323" t="e">
        <f t="shared" ca="1" si="374"/>
        <v>#N/A</v>
      </c>
      <c r="AE814" s="324" t="e">
        <f t="shared" ca="1" si="353"/>
        <v>#N/A</v>
      </c>
      <c r="AG814" s="306">
        <f t="shared" ca="1" si="375"/>
        <v>1.9298988936766364</v>
      </c>
      <c r="AH814" s="304">
        <f t="shared" ca="1" si="376"/>
        <v>-7.8397276595910661</v>
      </c>
    </row>
    <row r="815" spans="1:34" x14ac:dyDescent="0.2">
      <c r="A815" s="347">
        <f t="shared" ca="1" si="354"/>
        <v>1E-4</v>
      </c>
      <c r="B815" s="304">
        <f t="shared" ca="1" si="355"/>
        <v>34.52860000000117</v>
      </c>
      <c r="D815" s="306">
        <f t="shared" ca="1" si="356"/>
        <v>-0.71052681821012742</v>
      </c>
      <c r="E815" s="307">
        <f t="shared" ca="1" si="357"/>
        <v>-2.0025021438871295</v>
      </c>
      <c r="F815" s="304">
        <f t="shared" ca="1" si="358"/>
        <v>2.1248207443613585</v>
      </c>
      <c r="G815" s="306">
        <f t="shared" ca="1" si="359"/>
        <v>10.916498999059234</v>
      </c>
      <c r="H815" s="307">
        <f t="shared" ca="1" si="360"/>
        <v>-119.95499307531567</v>
      </c>
      <c r="I815" s="304">
        <f t="shared" ca="1" si="361"/>
        <v>120.45069661108437</v>
      </c>
      <c r="J815" s="306">
        <f t="shared" ca="1" si="362"/>
        <v>770.52896740167785</v>
      </c>
      <c r="K815" s="307">
        <f t="shared" ca="1" si="363"/>
        <v>-12.492845343060381</v>
      </c>
      <c r="L815" s="304">
        <f t="shared" ca="1" si="348"/>
        <v>770.6302360989099</v>
      </c>
      <c r="M815" s="306">
        <f t="shared" ca="1" si="364"/>
        <v>-1.4800413600112583</v>
      </c>
      <c r="N815" s="304">
        <f t="shared" ca="1" si="365"/>
        <v>-84.800123433447553</v>
      </c>
      <c r="P815" s="310">
        <f t="shared" ca="1" si="366"/>
        <v>23</v>
      </c>
      <c r="Q815" s="304">
        <f t="shared" ca="1" si="367"/>
        <v>0</v>
      </c>
      <c r="R815" s="306">
        <f t="shared" ca="1" si="368"/>
        <v>0</v>
      </c>
      <c r="S815" s="307">
        <f t="shared" ca="1" si="369"/>
        <v>7.4499999999999984</v>
      </c>
      <c r="T815" s="304">
        <f t="shared" ca="1" si="349"/>
        <v>73.084499999999991</v>
      </c>
      <c r="U815" s="311">
        <f t="shared" ca="1" si="350"/>
        <v>0</v>
      </c>
      <c r="V815" s="306">
        <f t="shared" ca="1" si="351"/>
        <v>1.2265313300880232</v>
      </c>
      <c r="W815" s="304">
        <f t="shared" ca="1" si="352"/>
        <v>58.40648550470074</v>
      </c>
      <c r="Y815" s="314" t="str">
        <f t="shared" ca="1" si="370"/>
        <v/>
      </c>
      <c r="Z815" s="315" t="str">
        <f t="shared" ca="1" si="371"/>
        <v/>
      </c>
      <c r="AA815" s="316" t="str">
        <f t="shared" ca="1" si="372"/>
        <v/>
      </c>
      <c r="AC815" s="310" t="e">
        <f t="shared" ca="1" si="373"/>
        <v>#N/A</v>
      </c>
      <c r="AD815" s="323" t="e">
        <f t="shared" ca="1" si="374"/>
        <v>#N/A</v>
      </c>
      <c r="AE815" s="324" t="e">
        <f t="shared" ca="1" si="353"/>
        <v>#N/A</v>
      </c>
      <c r="AG815" s="306">
        <f t="shared" ca="1" si="375"/>
        <v>1.9298650235763199</v>
      </c>
      <c r="AH815" s="304">
        <f t="shared" ca="1" si="376"/>
        <v>-7.8397621859724085</v>
      </c>
    </row>
    <row r="816" spans="1:34" x14ac:dyDescent="0.2">
      <c r="A816" s="347">
        <f t="shared" ca="1" si="354"/>
        <v>1E-4</v>
      </c>
      <c r="B816" s="304">
        <f t="shared" ca="1" si="355"/>
        <v>34.528700000001173</v>
      </c>
      <c r="D816" s="306">
        <f t="shared" ca="1" si="356"/>
        <v>-0.71052418431543374</v>
      </c>
      <c r="E816" s="307">
        <f t="shared" ca="1" si="357"/>
        <v>-2.0024672354435893</v>
      </c>
      <c r="F816" s="304">
        <f t="shared" ca="1" si="358"/>
        <v>2.1247869647383952</v>
      </c>
      <c r="G816" s="306">
        <f t="shared" ca="1" si="359"/>
        <v>10.916427946640802</v>
      </c>
      <c r="H816" s="307">
        <f t="shared" ca="1" si="360"/>
        <v>-119.95519332203922</v>
      </c>
      <c r="I816" s="304">
        <f t="shared" ca="1" si="361"/>
        <v>120.45088959423256</v>
      </c>
      <c r="J816" s="306">
        <f t="shared" ca="1" si="362"/>
        <v>770.52896740167785</v>
      </c>
      <c r="K816" s="307">
        <f t="shared" ca="1" si="363"/>
        <v>-12.504840852380248</v>
      </c>
      <c r="L816" s="304">
        <f t="shared" ca="1" si="348"/>
        <v>770.63043065391548</v>
      </c>
      <c r="M816" s="306">
        <f t="shared" ca="1" si="364"/>
        <v>-1.4800420981416016</v>
      </c>
      <c r="N816" s="304">
        <f t="shared" ca="1" si="365"/>
        <v>-84.800165725200955</v>
      </c>
      <c r="P816" s="310">
        <f t="shared" ca="1" si="366"/>
        <v>23</v>
      </c>
      <c r="Q816" s="304">
        <f t="shared" ca="1" si="367"/>
        <v>0</v>
      </c>
      <c r="R816" s="306">
        <f t="shared" ca="1" si="368"/>
        <v>0</v>
      </c>
      <c r="S816" s="307">
        <f t="shared" ca="1" si="369"/>
        <v>7.4499999999999984</v>
      </c>
      <c r="T816" s="304">
        <f t="shared" ca="1" si="349"/>
        <v>73.084499999999991</v>
      </c>
      <c r="U816" s="311">
        <f t="shared" ca="1" si="350"/>
        <v>0</v>
      </c>
      <c r="V816" s="306">
        <f t="shared" ca="1" si="351"/>
        <v>1.2265328013762802</v>
      </c>
      <c r="W816" s="304">
        <f t="shared" ca="1" si="352"/>
        <v>58.406742721572229</v>
      </c>
      <c r="Y816" s="314" t="str">
        <f t="shared" ca="1" si="370"/>
        <v/>
      </c>
      <c r="Z816" s="315" t="str">
        <f t="shared" ca="1" si="371"/>
        <v/>
      </c>
      <c r="AA816" s="316" t="str">
        <f t="shared" ca="1" si="372"/>
        <v/>
      </c>
      <c r="AC816" s="310" t="e">
        <f t="shared" ca="1" si="373"/>
        <v>#N/A</v>
      </c>
      <c r="AD816" s="323" t="e">
        <f t="shared" ca="1" si="374"/>
        <v>#N/A</v>
      </c>
      <c r="AE816" s="324" t="e">
        <f t="shared" ca="1" si="353"/>
        <v>#N/A</v>
      </c>
      <c r="AG816" s="306">
        <f t="shared" ca="1" si="375"/>
        <v>1.9298311537776911</v>
      </c>
      <c r="AH816" s="304">
        <f t="shared" ca="1" si="376"/>
        <v>-7.8397967120403695</v>
      </c>
    </row>
    <row r="817" spans="1:34" x14ac:dyDescent="0.2">
      <c r="A817" s="347">
        <f t="shared" ca="1" si="354"/>
        <v>1E-4</v>
      </c>
      <c r="B817" s="304">
        <f t="shared" ca="1" si="355"/>
        <v>34.528800000001176</v>
      </c>
      <c r="D817" s="306">
        <f t="shared" ca="1" si="356"/>
        <v>-0.71052155039716658</v>
      </c>
      <c r="E817" s="307">
        <f t="shared" ca="1" si="357"/>
        <v>-2.0024323273168871</v>
      </c>
      <c r="F817" s="304">
        <f t="shared" ca="1" si="358"/>
        <v>2.1247531854459045</v>
      </c>
      <c r="G817" s="306">
        <f t="shared" ca="1" si="359"/>
        <v>10.916356894485762</v>
      </c>
      <c r="H817" s="307">
        <f t="shared" ca="1" si="360"/>
        <v>-119.95539356527195</v>
      </c>
      <c r="I817" s="304">
        <f t="shared" ca="1" si="361"/>
        <v>120.4510825739938</v>
      </c>
      <c r="J817" s="306">
        <f t="shared" ca="1" si="362"/>
        <v>770.52896740167785</v>
      </c>
      <c r="K817" s="307">
        <f t="shared" ca="1" si="363"/>
        <v>-12.516836381724614</v>
      </c>
      <c r="L817" s="304">
        <f t="shared" ca="1" si="348"/>
        <v>770.63062539591749</v>
      </c>
      <c r="M817" s="306">
        <f t="shared" ca="1" si="364"/>
        <v>-1.4800428362647753</v>
      </c>
      <c r="N817" s="304">
        <f t="shared" ca="1" si="365"/>
        <v>-84.800208016543564</v>
      </c>
      <c r="P817" s="310">
        <f t="shared" ca="1" si="366"/>
        <v>23</v>
      </c>
      <c r="Q817" s="304">
        <f t="shared" ca="1" si="367"/>
        <v>0</v>
      </c>
      <c r="R817" s="306">
        <f t="shared" ca="1" si="368"/>
        <v>0</v>
      </c>
      <c r="S817" s="307">
        <f t="shared" ca="1" si="369"/>
        <v>7.4499999999999984</v>
      </c>
      <c r="T817" s="304">
        <f t="shared" ca="1" si="349"/>
        <v>73.084499999999991</v>
      </c>
      <c r="U817" s="311">
        <f t="shared" ca="1" si="350"/>
        <v>0</v>
      </c>
      <c r="V817" s="306">
        <f t="shared" ca="1" si="351"/>
        <v>1.2265342726687594</v>
      </c>
      <c r="W817" s="304">
        <f t="shared" ca="1" si="352"/>
        <v>58.406999936108953</v>
      </c>
      <c r="Y817" s="314" t="str">
        <f t="shared" ca="1" si="370"/>
        <v/>
      </c>
      <c r="Z817" s="315" t="str">
        <f t="shared" ca="1" si="371"/>
        <v/>
      </c>
      <c r="AA817" s="316" t="str">
        <f t="shared" ca="1" si="372"/>
        <v/>
      </c>
      <c r="AC817" s="310" t="e">
        <f t="shared" ca="1" si="373"/>
        <v>#N/A</v>
      </c>
      <c r="AD817" s="323" t="e">
        <f t="shared" ca="1" si="374"/>
        <v>#N/A</v>
      </c>
      <c r="AE817" s="324" t="e">
        <f t="shared" ca="1" si="353"/>
        <v>#N/A</v>
      </c>
      <c r="AG817" s="306">
        <f t="shared" ca="1" si="375"/>
        <v>1.9297972842807622</v>
      </c>
      <c r="AH817" s="304">
        <f t="shared" ca="1" si="376"/>
        <v>-7.8398312377949315</v>
      </c>
    </row>
    <row r="818" spans="1:34" x14ac:dyDescent="0.2">
      <c r="A818" s="347">
        <f t="shared" ca="1" si="354"/>
        <v>1E-4</v>
      </c>
      <c r="B818" s="304">
        <f t="shared" ca="1" si="355"/>
        <v>34.52890000000118</v>
      </c>
      <c r="D818" s="306">
        <f t="shared" ca="1" si="356"/>
        <v>-0.71051891645532816</v>
      </c>
      <c r="E818" s="307">
        <f t="shared" ca="1" si="357"/>
        <v>-2.0023974195070142</v>
      </c>
      <c r="F818" s="304">
        <f t="shared" ca="1" si="358"/>
        <v>2.1247194064838779</v>
      </c>
      <c r="G818" s="306">
        <f t="shared" ca="1" si="359"/>
        <v>10.916285842594117</v>
      </c>
      <c r="H818" s="307">
        <f t="shared" ca="1" si="360"/>
        <v>-119.9555938050139</v>
      </c>
      <c r="I818" s="304">
        <f t="shared" ca="1" si="361"/>
        <v>120.45127555036812</v>
      </c>
      <c r="J818" s="306">
        <f t="shared" ca="1" si="362"/>
        <v>770.52896740167785</v>
      </c>
      <c r="K818" s="307">
        <f t="shared" ca="1" si="363"/>
        <v>-12.528831931093128</v>
      </c>
      <c r="L818" s="304">
        <f t="shared" ca="1" si="348"/>
        <v>770.63082032491639</v>
      </c>
      <c r="M818" s="306">
        <f t="shared" ca="1" si="364"/>
        <v>-1.4800435743807798</v>
      </c>
      <c r="N818" s="304">
        <f t="shared" ca="1" si="365"/>
        <v>-84.800250307475423</v>
      </c>
      <c r="P818" s="310">
        <f t="shared" ca="1" si="366"/>
        <v>23</v>
      </c>
      <c r="Q818" s="304">
        <f t="shared" ca="1" si="367"/>
        <v>0</v>
      </c>
      <c r="R818" s="306">
        <f t="shared" ca="1" si="368"/>
        <v>0</v>
      </c>
      <c r="S818" s="307">
        <f t="shared" ca="1" si="369"/>
        <v>7.4499999999999984</v>
      </c>
      <c r="T818" s="304">
        <f t="shared" ca="1" si="349"/>
        <v>73.084499999999991</v>
      </c>
      <c r="U818" s="311">
        <f t="shared" ca="1" si="350"/>
        <v>0</v>
      </c>
      <c r="V818" s="306">
        <f t="shared" ca="1" si="351"/>
        <v>1.2265357439654607</v>
      </c>
      <c r="W818" s="304">
        <f t="shared" ca="1" si="352"/>
        <v>58.407257148310926</v>
      </c>
      <c r="Y818" s="314" t="str">
        <f t="shared" ca="1" si="370"/>
        <v/>
      </c>
      <c r="Z818" s="315" t="str">
        <f t="shared" ca="1" si="371"/>
        <v/>
      </c>
      <c r="AA818" s="316" t="str">
        <f t="shared" ca="1" si="372"/>
        <v/>
      </c>
      <c r="AC818" s="310" t="e">
        <f t="shared" ca="1" si="373"/>
        <v>#N/A</v>
      </c>
      <c r="AD818" s="323" t="e">
        <f t="shared" ca="1" si="374"/>
        <v>#N/A</v>
      </c>
      <c r="AE818" s="324" t="e">
        <f t="shared" ca="1" si="353"/>
        <v>#N/A</v>
      </c>
      <c r="AG818" s="306">
        <f t="shared" ca="1" si="375"/>
        <v>1.9297634150855272</v>
      </c>
      <c r="AH818" s="304">
        <f t="shared" ca="1" si="376"/>
        <v>-7.8398657632361024</v>
      </c>
    </row>
    <row r="819" spans="1:34" x14ac:dyDescent="0.2">
      <c r="A819" s="347">
        <f t="shared" ca="1" si="354"/>
        <v>1E-4</v>
      </c>
      <c r="B819" s="304">
        <f t="shared" ca="1" si="355"/>
        <v>34.529000000001183</v>
      </c>
      <c r="D819" s="306">
        <f t="shared" ca="1" si="356"/>
        <v>-0.7105162824899165</v>
      </c>
      <c r="E819" s="307">
        <f t="shared" ca="1" si="357"/>
        <v>-2.0023625120139696</v>
      </c>
      <c r="F819" s="304">
        <f t="shared" ca="1" si="358"/>
        <v>2.124685627852315</v>
      </c>
      <c r="G819" s="306">
        <f t="shared" ca="1" si="359"/>
        <v>10.916214790965869</v>
      </c>
      <c r="H819" s="307">
        <f t="shared" ca="1" si="360"/>
        <v>-119.95579404126511</v>
      </c>
      <c r="I819" s="304">
        <f t="shared" ca="1" si="361"/>
        <v>120.45146852335556</v>
      </c>
      <c r="J819" s="306">
        <f t="shared" ca="1" si="362"/>
        <v>770.52896740167785</v>
      </c>
      <c r="K819" s="307">
        <f t="shared" ca="1" si="363"/>
        <v>-12.540827500485442</v>
      </c>
      <c r="L819" s="304">
        <f t="shared" ca="1" si="348"/>
        <v>770.63101544091307</v>
      </c>
      <c r="M819" s="306">
        <f t="shared" ca="1" si="364"/>
        <v>-1.480044312489615</v>
      </c>
      <c r="N819" s="304">
        <f t="shared" ca="1" si="365"/>
        <v>-84.800292597996489</v>
      </c>
      <c r="P819" s="310">
        <f t="shared" ca="1" si="366"/>
        <v>23</v>
      </c>
      <c r="Q819" s="304">
        <f t="shared" ca="1" si="367"/>
        <v>0</v>
      </c>
      <c r="R819" s="306">
        <f t="shared" ca="1" si="368"/>
        <v>0</v>
      </c>
      <c r="S819" s="307">
        <f t="shared" ca="1" si="369"/>
        <v>7.4499999999999984</v>
      </c>
      <c r="T819" s="304">
        <f t="shared" ca="1" si="349"/>
        <v>73.084499999999991</v>
      </c>
      <c r="U819" s="311">
        <f t="shared" ca="1" si="350"/>
        <v>0</v>
      </c>
      <c r="V819" s="306">
        <f t="shared" ca="1" si="351"/>
        <v>1.2265372152663838</v>
      </c>
      <c r="W819" s="304">
        <f t="shared" ca="1" si="352"/>
        <v>58.407514358178133</v>
      </c>
      <c r="Y819" s="314" t="str">
        <f t="shared" ca="1" si="370"/>
        <v/>
      </c>
      <c r="Z819" s="315" t="str">
        <f t="shared" ca="1" si="371"/>
        <v/>
      </c>
      <c r="AA819" s="316" t="str">
        <f t="shared" ca="1" si="372"/>
        <v/>
      </c>
      <c r="AC819" s="310" t="e">
        <f t="shared" ca="1" si="373"/>
        <v>#N/A</v>
      </c>
      <c r="AD819" s="323" t="e">
        <f t="shared" ca="1" si="374"/>
        <v>#N/A</v>
      </c>
      <c r="AE819" s="324" t="e">
        <f t="shared" ca="1" si="353"/>
        <v>#N/A</v>
      </c>
      <c r="AG819" s="306">
        <f t="shared" ca="1" si="375"/>
        <v>1.9297295461919859</v>
      </c>
      <c r="AH819" s="304">
        <f t="shared" ca="1" si="376"/>
        <v>-7.839900288363884</v>
      </c>
    </row>
    <row r="820" spans="1:34" x14ac:dyDescent="0.2">
      <c r="A820" s="347">
        <f t="shared" ca="1" si="354"/>
        <v>1E-4</v>
      </c>
      <c r="B820" s="304">
        <f t="shared" ca="1" si="355"/>
        <v>34.529100000001186</v>
      </c>
      <c r="D820" s="306">
        <f t="shared" ca="1" si="356"/>
        <v>-0.71051364850093468</v>
      </c>
      <c r="E820" s="307">
        <f t="shared" ca="1" si="357"/>
        <v>-2.0023276048377552</v>
      </c>
      <c r="F820" s="304">
        <f t="shared" ca="1" si="358"/>
        <v>2.1246518495512179</v>
      </c>
      <c r="G820" s="306">
        <f t="shared" ca="1" si="359"/>
        <v>10.916143739601019</v>
      </c>
      <c r="H820" s="307">
        <f t="shared" ca="1" si="360"/>
        <v>-119.95599427402558</v>
      </c>
      <c r="I820" s="304">
        <f t="shared" ca="1" si="361"/>
        <v>120.45166149295612</v>
      </c>
      <c r="J820" s="306">
        <f t="shared" ca="1" si="362"/>
        <v>770.52896740167785</v>
      </c>
      <c r="K820" s="307">
        <f t="shared" ca="1" si="363"/>
        <v>-12.552823089901207</v>
      </c>
      <c r="L820" s="304">
        <f t="shared" ca="1" si="348"/>
        <v>770.63121074390858</v>
      </c>
      <c r="M820" s="306">
        <f t="shared" ca="1" si="364"/>
        <v>-1.480045050591281</v>
      </c>
      <c r="N820" s="304">
        <f t="shared" ca="1" si="365"/>
        <v>-84.800334888106804</v>
      </c>
      <c r="P820" s="310">
        <f t="shared" ca="1" si="366"/>
        <v>23</v>
      </c>
      <c r="Q820" s="304">
        <f t="shared" ca="1" si="367"/>
        <v>0</v>
      </c>
      <c r="R820" s="306">
        <f t="shared" ca="1" si="368"/>
        <v>0</v>
      </c>
      <c r="S820" s="307">
        <f t="shared" ca="1" si="369"/>
        <v>7.4499999999999984</v>
      </c>
      <c r="T820" s="304">
        <f t="shared" ca="1" si="349"/>
        <v>73.084499999999991</v>
      </c>
      <c r="U820" s="311">
        <f t="shared" ca="1" si="350"/>
        <v>0</v>
      </c>
      <c r="V820" s="306">
        <f t="shared" ca="1" si="351"/>
        <v>1.2265386865715289</v>
      </c>
      <c r="W820" s="304">
        <f t="shared" ca="1" si="352"/>
        <v>58.407771565710576</v>
      </c>
      <c r="Y820" s="314" t="str">
        <f t="shared" ca="1" si="370"/>
        <v/>
      </c>
      <c r="Z820" s="315" t="str">
        <f t="shared" ca="1" si="371"/>
        <v/>
      </c>
      <c r="AA820" s="316" t="str">
        <f t="shared" ca="1" si="372"/>
        <v/>
      </c>
      <c r="AC820" s="310" t="e">
        <f t="shared" ca="1" si="373"/>
        <v>#N/A</v>
      </c>
      <c r="AD820" s="323" t="e">
        <f t="shared" ca="1" si="374"/>
        <v>#N/A</v>
      </c>
      <c r="AE820" s="324" t="e">
        <f t="shared" ca="1" si="353"/>
        <v>#N/A</v>
      </c>
      <c r="AG820" s="306">
        <f t="shared" ca="1" si="375"/>
        <v>1.9296956776001384</v>
      </c>
      <c r="AH820" s="304">
        <f t="shared" ca="1" si="376"/>
        <v>-7.8399348131782745</v>
      </c>
    </row>
    <row r="821" spans="1:34" x14ac:dyDescent="0.2">
      <c r="A821" s="347">
        <f t="shared" ca="1" si="354"/>
        <v>1E-4</v>
      </c>
      <c r="B821" s="304">
        <f t="shared" ca="1" si="355"/>
        <v>34.52920000000119</v>
      </c>
      <c r="D821" s="306">
        <f t="shared" ca="1" si="356"/>
        <v>-0.7105110144883825</v>
      </c>
      <c r="E821" s="307">
        <f t="shared" ca="1" si="357"/>
        <v>-2.0022926979783708</v>
      </c>
      <c r="F821" s="304">
        <f t="shared" ca="1" si="358"/>
        <v>2.1246180715805871</v>
      </c>
      <c r="G821" s="306">
        <f t="shared" ca="1" si="359"/>
        <v>10.91607268849957</v>
      </c>
      <c r="H821" s="307">
        <f t="shared" ca="1" si="360"/>
        <v>-119.95619450329538</v>
      </c>
      <c r="I821" s="304">
        <f t="shared" ca="1" si="361"/>
        <v>120.45185445916987</v>
      </c>
      <c r="J821" s="306">
        <f t="shared" ca="1" si="362"/>
        <v>770.52896740167785</v>
      </c>
      <c r="K821" s="307">
        <f t="shared" ca="1" si="363"/>
        <v>-12.564818699340073</v>
      </c>
      <c r="L821" s="304">
        <f t="shared" ca="1" si="348"/>
        <v>770.63140623390325</v>
      </c>
      <c r="M821" s="306">
        <f t="shared" ca="1" si="364"/>
        <v>-1.4800457886857779</v>
      </c>
      <c r="N821" s="304">
        <f t="shared" ca="1" si="365"/>
        <v>-84.800377177806354</v>
      </c>
      <c r="P821" s="310">
        <f t="shared" ca="1" si="366"/>
        <v>23</v>
      </c>
      <c r="Q821" s="304">
        <f t="shared" ca="1" si="367"/>
        <v>0</v>
      </c>
      <c r="R821" s="306">
        <f t="shared" ca="1" si="368"/>
        <v>0</v>
      </c>
      <c r="S821" s="307">
        <f t="shared" ca="1" si="369"/>
        <v>7.4499999999999984</v>
      </c>
      <c r="T821" s="304">
        <f t="shared" ca="1" si="349"/>
        <v>73.084499999999991</v>
      </c>
      <c r="U821" s="311">
        <f t="shared" ca="1" si="350"/>
        <v>0</v>
      </c>
      <c r="V821" s="306">
        <f t="shared" ca="1" si="351"/>
        <v>1.2265401578808963</v>
      </c>
      <c r="W821" s="304">
        <f t="shared" ca="1" si="352"/>
        <v>58.408028770908288</v>
      </c>
      <c r="Y821" s="314" t="str">
        <f t="shared" ca="1" si="370"/>
        <v/>
      </c>
      <c r="Z821" s="315" t="str">
        <f t="shared" ca="1" si="371"/>
        <v/>
      </c>
      <c r="AA821" s="316" t="str">
        <f t="shared" ca="1" si="372"/>
        <v/>
      </c>
      <c r="AC821" s="310" t="e">
        <f t="shared" ca="1" si="373"/>
        <v>#N/A</v>
      </c>
      <c r="AD821" s="323" t="e">
        <f t="shared" ca="1" si="374"/>
        <v>#N/A</v>
      </c>
      <c r="AE821" s="324" t="e">
        <f t="shared" ca="1" si="353"/>
        <v>#N/A</v>
      </c>
      <c r="AG821" s="306">
        <f t="shared" ca="1" si="375"/>
        <v>1.9296618093099864</v>
      </c>
      <c r="AH821" s="304">
        <f t="shared" ca="1" si="376"/>
        <v>-7.8399693376792738</v>
      </c>
    </row>
    <row r="822" spans="1:34" x14ac:dyDescent="0.2">
      <c r="A822" s="347">
        <f t="shared" ca="1" si="354"/>
        <v>1E-4</v>
      </c>
      <c r="B822" s="304">
        <f t="shared" ca="1" si="355"/>
        <v>34.529300000001193</v>
      </c>
      <c r="D822" s="306">
        <f t="shared" ca="1" si="356"/>
        <v>-0.7105083804522615</v>
      </c>
      <c r="E822" s="307">
        <f t="shared" ca="1" si="357"/>
        <v>-2.0022577914358122</v>
      </c>
      <c r="F822" s="304">
        <f t="shared" ca="1" si="358"/>
        <v>2.12458429394042</v>
      </c>
      <c r="G822" s="306">
        <f t="shared" ca="1" si="359"/>
        <v>10.916001637661525</v>
      </c>
      <c r="H822" s="307">
        <f t="shared" ca="1" si="360"/>
        <v>-119.95639472907452</v>
      </c>
      <c r="I822" s="304">
        <f t="shared" ca="1" si="361"/>
        <v>120.4520474219968</v>
      </c>
      <c r="J822" s="306">
        <f t="shared" ca="1" si="362"/>
        <v>770.52896740167785</v>
      </c>
      <c r="K822" s="307">
        <f t="shared" ca="1" si="363"/>
        <v>-12.57681432880169</v>
      </c>
      <c r="L822" s="304">
        <f t="shared" ca="1" si="348"/>
        <v>770.63160191089821</v>
      </c>
      <c r="M822" s="306">
        <f t="shared" ca="1" si="364"/>
        <v>-1.4800465267731058</v>
      </c>
      <c r="N822" s="304">
        <f t="shared" ca="1" si="365"/>
        <v>-84.800419467095168</v>
      </c>
      <c r="P822" s="310">
        <f t="shared" ca="1" si="366"/>
        <v>23</v>
      </c>
      <c r="Q822" s="304">
        <f t="shared" ca="1" si="367"/>
        <v>0</v>
      </c>
      <c r="R822" s="306">
        <f t="shared" ca="1" si="368"/>
        <v>0</v>
      </c>
      <c r="S822" s="307">
        <f t="shared" ca="1" si="369"/>
        <v>7.4499999999999984</v>
      </c>
      <c r="T822" s="304">
        <f t="shared" ca="1" si="349"/>
        <v>73.084499999999991</v>
      </c>
      <c r="U822" s="311">
        <f t="shared" ca="1" si="350"/>
        <v>0</v>
      </c>
      <c r="V822" s="306">
        <f t="shared" ca="1" si="351"/>
        <v>1.2265416291944853</v>
      </c>
      <c r="W822" s="304">
        <f t="shared" ca="1" si="352"/>
        <v>58.408285973771207</v>
      </c>
      <c r="Y822" s="314" t="str">
        <f t="shared" ca="1" si="370"/>
        <v/>
      </c>
      <c r="Z822" s="315" t="str">
        <f t="shared" ca="1" si="371"/>
        <v/>
      </c>
      <c r="AA822" s="316" t="str">
        <f t="shared" ca="1" si="372"/>
        <v/>
      </c>
      <c r="AC822" s="310" t="e">
        <f t="shared" ca="1" si="373"/>
        <v>#N/A</v>
      </c>
      <c r="AD822" s="323" t="e">
        <f t="shared" ca="1" si="374"/>
        <v>#N/A</v>
      </c>
      <c r="AE822" s="324" t="e">
        <f t="shared" ca="1" si="353"/>
        <v>#N/A</v>
      </c>
      <c r="AG822" s="306">
        <f t="shared" ca="1" si="375"/>
        <v>1.9296279413215265</v>
      </c>
      <c r="AH822" s="304">
        <f t="shared" ca="1" si="376"/>
        <v>-7.8400038618668857</v>
      </c>
    </row>
    <row r="823" spans="1:34" x14ac:dyDescent="0.2">
      <c r="A823" s="347">
        <f t="shared" ca="1" si="354"/>
        <v>1E-4</v>
      </c>
      <c r="B823" s="304">
        <f t="shared" ca="1" si="355"/>
        <v>34.529400000001196</v>
      </c>
      <c r="D823" s="306">
        <f t="shared" ca="1" si="356"/>
        <v>-0.71050574639257091</v>
      </c>
      <c r="E823" s="307">
        <f t="shared" ca="1" si="357"/>
        <v>-2.0022228852100881</v>
      </c>
      <c r="F823" s="304">
        <f t="shared" ca="1" si="358"/>
        <v>2.1245505166307233</v>
      </c>
      <c r="G823" s="306">
        <f t="shared" ca="1" si="359"/>
        <v>10.915930587086885</v>
      </c>
      <c r="H823" s="307">
        <f t="shared" ca="1" si="360"/>
        <v>-119.95659495136304</v>
      </c>
      <c r="I823" s="304">
        <f t="shared" ca="1" si="361"/>
        <v>120.45224038143698</v>
      </c>
      <c r="J823" s="306">
        <f t="shared" ca="1" si="362"/>
        <v>770.52896740167785</v>
      </c>
      <c r="K823" s="307">
        <f t="shared" ca="1" si="363"/>
        <v>-12.588809978285713</v>
      </c>
      <c r="L823" s="304">
        <f t="shared" ca="1" si="348"/>
        <v>770.63179777489415</v>
      </c>
      <c r="M823" s="306">
        <f t="shared" ca="1" si="364"/>
        <v>-1.480047264853265</v>
      </c>
      <c r="N823" s="304">
        <f t="shared" ca="1" si="365"/>
        <v>-84.800461755973231</v>
      </c>
      <c r="P823" s="310">
        <f t="shared" ca="1" si="366"/>
        <v>23</v>
      </c>
      <c r="Q823" s="304">
        <f t="shared" ca="1" si="367"/>
        <v>0</v>
      </c>
      <c r="R823" s="306">
        <f t="shared" ca="1" si="368"/>
        <v>0</v>
      </c>
      <c r="S823" s="307">
        <f t="shared" ca="1" si="369"/>
        <v>7.4499999999999984</v>
      </c>
      <c r="T823" s="304">
        <f t="shared" ca="1" si="349"/>
        <v>73.084499999999991</v>
      </c>
      <c r="U823" s="311">
        <f t="shared" ca="1" si="350"/>
        <v>0</v>
      </c>
      <c r="V823" s="306">
        <f t="shared" ca="1" si="351"/>
        <v>1.2265431005122966</v>
      </c>
      <c r="W823" s="304">
        <f t="shared" ca="1" si="352"/>
        <v>58.408543174299439</v>
      </c>
      <c r="Y823" s="314" t="str">
        <f t="shared" ca="1" si="370"/>
        <v/>
      </c>
      <c r="Z823" s="315" t="str">
        <f t="shared" ca="1" si="371"/>
        <v/>
      </c>
      <c r="AA823" s="316" t="str">
        <f t="shared" ca="1" si="372"/>
        <v/>
      </c>
      <c r="AC823" s="310" t="e">
        <f t="shared" ca="1" si="373"/>
        <v>#N/A</v>
      </c>
      <c r="AD823" s="323" t="e">
        <f t="shared" ca="1" si="374"/>
        <v>#N/A</v>
      </c>
      <c r="AE823" s="324" t="e">
        <f t="shared" ca="1" si="353"/>
        <v>#N/A</v>
      </c>
      <c r="AG823" s="306">
        <f t="shared" ca="1" si="375"/>
        <v>1.9295940736347639</v>
      </c>
      <c r="AH823" s="304">
        <f t="shared" ca="1" si="376"/>
        <v>-7.8400383857411029</v>
      </c>
    </row>
    <row r="824" spans="1:34" x14ac:dyDescent="0.2">
      <c r="A824" s="347">
        <f t="shared" ca="1" si="354"/>
        <v>1E-4</v>
      </c>
      <c r="B824" s="304">
        <f t="shared" ca="1" si="355"/>
        <v>34.5295000000012</v>
      </c>
      <c r="D824" s="306">
        <f t="shared" ca="1" si="356"/>
        <v>-0.71050311230931162</v>
      </c>
      <c r="E824" s="307">
        <f t="shared" ca="1" si="357"/>
        <v>-2.0021879793011825</v>
      </c>
      <c r="F824" s="304">
        <f t="shared" ca="1" si="358"/>
        <v>2.1245167396514839</v>
      </c>
      <c r="G824" s="306">
        <f t="shared" ca="1" si="359"/>
        <v>10.915859536775654</v>
      </c>
      <c r="H824" s="307">
        <f t="shared" ca="1" si="360"/>
        <v>-119.95679517016097</v>
      </c>
      <c r="I824" s="304">
        <f t="shared" ca="1" si="361"/>
        <v>120.4524333374904</v>
      </c>
      <c r="J824" s="306">
        <f t="shared" ca="1" si="362"/>
        <v>770.52896740167785</v>
      </c>
      <c r="K824" s="307">
        <f t="shared" ca="1" si="363"/>
        <v>-12.600805647791789</v>
      </c>
      <c r="L824" s="304">
        <f t="shared" ca="1" si="348"/>
        <v>770.63199382589187</v>
      </c>
      <c r="M824" s="306">
        <f t="shared" ca="1" si="364"/>
        <v>-1.4800480029262553</v>
      </c>
      <c r="N824" s="304">
        <f t="shared" ca="1" si="365"/>
        <v>-84.800504044440544</v>
      </c>
      <c r="P824" s="310">
        <f t="shared" ca="1" si="366"/>
        <v>23</v>
      </c>
      <c r="Q824" s="304">
        <f t="shared" ca="1" si="367"/>
        <v>0</v>
      </c>
      <c r="R824" s="306">
        <f t="shared" ca="1" si="368"/>
        <v>0</v>
      </c>
      <c r="S824" s="307">
        <f t="shared" ca="1" si="369"/>
        <v>7.4499999999999984</v>
      </c>
      <c r="T824" s="304">
        <f t="shared" ca="1" si="349"/>
        <v>73.084499999999991</v>
      </c>
      <c r="U824" s="311">
        <f t="shared" ca="1" si="350"/>
        <v>0</v>
      </c>
      <c r="V824" s="306">
        <f t="shared" ca="1" si="351"/>
        <v>1.2265445718343293</v>
      </c>
      <c r="W824" s="304">
        <f t="shared" ca="1" si="352"/>
        <v>58.408800372492877</v>
      </c>
      <c r="Y824" s="314" t="str">
        <f t="shared" ca="1" si="370"/>
        <v/>
      </c>
      <c r="Z824" s="315" t="str">
        <f t="shared" ca="1" si="371"/>
        <v/>
      </c>
      <c r="AA824" s="316" t="str">
        <f t="shared" ca="1" si="372"/>
        <v/>
      </c>
      <c r="AC824" s="310" t="e">
        <f t="shared" ca="1" si="373"/>
        <v>#N/A</v>
      </c>
      <c r="AD824" s="323" t="e">
        <f t="shared" ca="1" si="374"/>
        <v>#N/A</v>
      </c>
      <c r="AE824" s="324" t="e">
        <f t="shared" ca="1" si="353"/>
        <v>#N/A</v>
      </c>
      <c r="AG824" s="306">
        <f t="shared" ca="1" si="375"/>
        <v>1.9295602062496862</v>
      </c>
      <c r="AH824" s="304">
        <f t="shared" ca="1" si="376"/>
        <v>-7.8400729093019397</v>
      </c>
    </row>
    <row r="825" spans="1:34" x14ac:dyDescent="0.2">
      <c r="A825" s="347">
        <f t="shared" ca="1" si="354"/>
        <v>1E-4</v>
      </c>
      <c r="B825" s="304">
        <f t="shared" ca="1" si="355"/>
        <v>34.529600000001203</v>
      </c>
      <c r="D825" s="306">
        <f t="shared" ca="1" si="356"/>
        <v>-0.71050047820248552</v>
      </c>
      <c r="E825" s="307">
        <f t="shared" ca="1" si="357"/>
        <v>-2.0021530737091116</v>
      </c>
      <c r="F825" s="304">
        <f t="shared" ca="1" si="358"/>
        <v>2.1244829630027171</v>
      </c>
      <c r="G825" s="306">
        <f t="shared" ca="1" si="359"/>
        <v>10.915788486727834</v>
      </c>
      <c r="H825" s="307">
        <f t="shared" ca="1" si="360"/>
        <v>-119.95699538546835</v>
      </c>
      <c r="I825" s="304">
        <f t="shared" ca="1" si="361"/>
        <v>120.45262629015714</v>
      </c>
      <c r="J825" s="306">
        <f t="shared" ca="1" si="362"/>
        <v>770.52896740167785</v>
      </c>
      <c r="K825" s="307">
        <f t="shared" ca="1" si="363"/>
        <v>-12.612801337319571</v>
      </c>
      <c r="L825" s="304">
        <f t="shared" ca="1" si="348"/>
        <v>770.63219006389204</v>
      </c>
      <c r="M825" s="306">
        <f t="shared" ca="1" si="364"/>
        <v>-1.4800487409920771</v>
      </c>
      <c r="N825" s="304">
        <f t="shared" ca="1" si="365"/>
        <v>-84.800546332497134</v>
      </c>
      <c r="P825" s="310">
        <f t="shared" ca="1" si="366"/>
        <v>23</v>
      </c>
      <c r="Q825" s="304">
        <f t="shared" ca="1" si="367"/>
        <v>0</v>
      </c>
      <c r="R825" s="306">
        <f t="shared" ca="1" si="368"/>
        <v>0</v>
      </c>
      <c r="S825" s="307">
        <f t="shared" ca="1" si="369"/>
        <v>7.4499999999999984</v>
      </c>
      <c r="T825" s="304">
        <f t="shared" ca="1" si="349"/>
        <v>73.084499999999991</v>
      </c>
      <c r="U825" s="311">
        <f t="shared" ca="1" si="350"/>
        <v>0</v>
      </c>
      <c r="V825" s="306">
        <f t="shared" ca="1" si="351"/>
        <v>1.2265460431605839</v>
      </c>
      <c r="W825" s="304">
        <f t="shared" ca="1" si="352"/>
        <v>58.409057568351599</v>
      </c>
      <c r="Y825" s="314" t="str">
        <f t="shared" ca="1" si="370"/>
        <v/>
      </c>
      <c r="Z825" s="315" t="str">
        <f t="shared" ca="1" si="371"/>
        <v/>
      </c>
      <c r="AA825" s="316" t="str">
        <f t="shared" ca="1" si="372"/>
        <v/>
      </c>
      <c r="AC825" s="310" t="e">
        <f t="shared" ca="1" si="373"/>
        <v>#N/A</v>
      </c>
      <c r="AD825" s="323" t="e">
        <f t="shared" ca="1" si="374"/>
        <v>#N/A</v>
      </c>
      <c r="AE825" s="324" t="e">
        <f t="shared" ca="1" si="353"/>
        <v>#N/A</v>
      </c>
      <c r="AG825" s="306">
        <f t="shared" ca="1" si="375"/>
        <v>1.9295263391663102</v>
      </c>
      <c r="AH825" s="304">
        <f t="shared" ca="1" si="376"/>
        <v>-7.8401074325493809</v>
      </c>
    </row>
    <row r="826" spans="1:34" x14ac:dyDescent="0.2">
      <c r="A826" s="347">
        <f t="shared" ca="1" si="354"/>
        <v>1E-4</v>
      </c>
      <c r="B826" s="304">
        <f t="shared" ca="1" si="355"/>
        <v>34.529700000001206</v>
      </c>
      <c r="D826" s="306">
        <f t="shared" ca="1" si="356"/>
        <v>-0.7104978440720916</v>
      </c>
      <c r="E826" s="307">
        <f t="shared" ca="1" si="357"/>
        <v>-2.0021181684338636</v>
      </c>
      <c r="F826" s="304">
        <f t="shared" ca="1" si="358"/>
        <v>2.1244491866844117</v>
      </c>
      <c r="G826" s="306">
        <f t="shared" ca="1" si="359"/>
        <v>10.915717436943426</v>
      </c>
      <c r="H826" s="307">
        <f t="shared" ca="1" si="360"/>
        <v>-119.95719559728519</v>
      </c>
      <c r="I826" s="304">
        <f t="shared" ca="1" si="361"/>
        <v>120.45281923943719</v>
      </c>
      <c r="J826" s="306">
        <f t="shared" ca="1" si="362"/>
        <v>770.52896740167785</v>
      </c>
      <c r="K826" s="307">
        <f t="shared" ca="1" si="363"/>
        <v>-12.624797046868709</v>
      </c>
      <c r="L826" s="304">
        <f t="shared" ca="1" si="348"/>
        <v>770.63238648889558</v>
      </c>
      <c r="M826" s="306">
        <f t="shared" ca="1" si="364"/>
        <v>-1.4800494790507304</v>
      </c>
      <c r="N826" s="304">
        <f t="shared" ca="1" si="365"/>
        <v>-84.800588620143003</v>
      </c>
      <c r="P826" s="310">
        <f t="shared" ca="1" si="366"/>
        <v>23</v>
      </c>
      <c r="Q826" s="304">
        <f t="shared" ca="1" si="367"/>
        <v>0</v>
      </c>
      <c r="R826" s="306">
        <f t="shared" ca="1" si="368"/>
        <v>0</v>
      </c>
      <c r="S826" s="307">
        <f t="shared" ca="1" si="369"/>
        <v>7.4499999999999984</v>
      </c>
      <c r="T826" s="304">
        <f t="shared" ca="1" si="349"/>
        <v>73.084499999999991</v>
      </c>
      <c r="U826" s="311">
        <f t="shared" ca="1" si="350"/>
        <v>0</v>
      </c>
      <c r="V826" s="306">
        <f t="shared" ca="1" si="351"/>
        <v>1.2265475144910605</v>
      </c>
      <c r="W826" s="304">
        <f t="shared" ca="1" si="352"/>
        <v>58.409314761875592</v>
      </c>
      <c r="Y826" s="314" t="str">
        <f t="shared" ca="1" si="370"/>
        <v/>
      </c>
      <c r="Z826" s="315" t="str">
        <f t="shared" ca="1" si="371"/>
        <v/>
      </c>
      <c r="AA826" s="316" t="str">
        <f t="shared" ca="1" si="372"/>
        <v/>
      </c>
      <c r="AC826" s="310" t="e">
        <f t="shared" ca="1" si="373"/>
        <v>#N/A</v>
      </c>
      <c r="AD826" s="323" t="e">
        <f t="shared" ca="1" si="374"/>
        <v>#N/A</v>
      </c>
      <c r="AE826" s="324" t="e">
        <f t="shared" ca="1" si="353"/>
        <v>#N/A</v>
      </c>
      <c r="AG826" s="306">
        <f t="shared" ca="1" si="375"/>
        <v>1.9294924723846227</v>
      </c>
      <c r="AH826" s="304">
        <f t="shared" ca="1" si="376"/>
        <v>-7.8401419554834382</v>
      </c>
    </row>
    <row r="827" spans="1:34" x14ac:dyDescent="0.2">
      <c r="A827" s="347">
        <f t="shared" ca="1" si="354"/>
        <v>1E-4</v>
      </c>
      <c r="B827" s="304">
        <f t="shared" ca="1" si="355"/>
        <v>34.52980000000121</v>
      </c>
      <c r="D827" s="306">
        <f t="shared" ca="1" si="356"/>
        <v>-0.71049520991813109</v>
      </c>
      <c r="E827" s="307">
        <f t="shared" ca="1" si="357"/>
        <v>-2.0020832634754413</v>
      </c>
      <c r="F827" s="304">
        <f t="shared" ca="1" si="358"/>
        <v>2.1244154106965714</v>
      </c>
      <c r="G827" s="306">
        <f t="shared" ca="1" si="359"/>
        <v>10.915646387422434</v>
      </c>
      <c r="H827" s="307">
        <f t="shared" ca="1" si="360"/>
        <v>-119.95739580561154</v>
      </c>
      <c r="I827" s="304">
        <f t="shared" ca="1" si="361"/>
        <v>120.45301218533058</v>
      </c>
      <c r="J827" s="306">
        <f t="shared" ca="1" si="362"/>
        <v>770.52896740167785</v>
      </c>
      <c r="K827" s="307">
        <f t="shared" ca="1" si="363"/>
        <v>-12.636792776438854</v>
      </c>
      <c r="L827" s="304">
        <f t="shared" ca="1" si="348"/>
        <v>770.63258310090328</v>
      </c>
      <c r="M827" s="306">
        <f t="shared" ca="1" si="364"/>
        <v>-1.480050217102215</v>
      </c>
      <c r="N827" s="304">
        <f t="shared" ca="1" si="365"/>
        <v>-84.800630907378135</v>
      </c>
      <c r="P827" s="310">
        <f t="shared" ca="1" si="366"/>
        <v>23</v>
      </c>
      <c r="Q827" s="304">
        <f t="shared" ca="1" si="367"/>
        <v>0</v>
      </c>
      <c r="R827" s="306">
        <f t="shared" ca="1" si="368"/>
        <v>0</v>
      </c>
      <c r="S827" s="307">
        <f t="shared" ca="1" si="369"/>
        <v>7.4499999999999984</v>
      </c>
      <c r="T827" s="304">
        <f t="shared" ca="1" si="349"/>
        <v>73.084499999999991</v>
      </c>
      <c r="U827" s="311">
        <f t="shared" ca="1" si="350"/>
        <v>0</v>
      </c>
      <c r="V827" s="306">
        <f t="shared" ca="1" si="351"/>
        <v>1.2265489858257588</v>
      </c>
      <c r="W827" s="304">
        <f t="shared" ca="1" si="352"/>
        <v>58.409571953064827</v>
      </c>
      <c r="Y827" s="314" t="str">
        <f t="shared" ca="1" si="370"/>
        <v/>
      </c>
      <c r="Z827" s="315" t="str">
        <f t="shared" ca="1" si="371"/>
        <v/>
      </c>
      <c r="AA827" s="316" t="str">
        <f t="shared" ca="1" si="372"/>
        <v/>
      </c>
      <c r="AC827" s="310" t="e">
        <f t="shared" ca="1" si="373"/>
        <v>#N/A</v>
      </c>
      <c r="AD827" s="323" t="e">
        <f t="shared" ca="1" si="374"/>
        <v>#N/A</v>
      </c>
      <c r="AE827" s="324" t="e">
        <f t="shared" ca="1" si="353"/>
        <v>#N/A</v>
      </c>
      <c r="AG827" s="306">
        <f t="shared" ca="1" si="375"/>
        <v>1.9294586059046273</v>
      </c>
      <c r="AH827" s="304">
        <f t="shared" ca="1" si="376"/>
        <v>-7.8401764781041079</v>
      </c>
    </row>
    <row r="828" spans="1:34" x14ac:dyDescent="0.2">
      <c r="A828" s="347">
        <f t="shared" ca="1" si="354"/>
        <v>1E-4</v>
      </c>
      <c r="B828" s="304">
        <f t="shared" ca="1" si="355"/>
        <v>34.529900000001213</v>
      </c>
      <c r="D828" s="306">
        <f t="shared" ca="1" si="356"/>
        <v>-0.71049257574060665</v>
      </c>
      <c r="E828" s="307">
        <f t="shared" ca="1" si="357"/>
        <v>-2.0020483588338482</v>
      </c>
      <c r="F828" s="304">
        <f t="shared" ca="1" si="358"/>
        <v>2.1243816350392004</v>
      </c>
      <c r="G828" s="306">
        <f t="shared" ca="1" si="359"/>
        <v>10.91557533816486</v>
      </c>
      <c r="H828" s="307">
        <f t="shared" ca="1" si="360"/>
        <v>-119.95759601044742</v>
      </c>
      <c r="I828" s="304">
        <f t="shared" ca="1" si="361"/>
        <v>120.45320512783735</v>
      </c>
      <c r="J828" s="306">
        <f t="shared" ca="1" si="362"/>
        <v>770.52896740167785</v>
      </c>
      <c r="K828" s="307">
        <f t="shared" ca="1" si="363"/>
        <v>-12.648788526029657</v>
      </c>
      <c r="L828" s="304">
        <f t="shared" ca="1" si="348"/>
        <v>770.63277989991593</v>
      </c>
      <c r="M828" s="306">
        <f t="shared" ca="1" si="364"/>
        <v>-1.4800509551465313</v>
      </c>
      <c r="N828" s="304">
        <f t="shared" ca="1" si="365"/>
        <v>-84.800673194202545</v>
      </c>
      <c r="P828" s="310">
        <f t="shared" ca="1" si="366"/>
        <v>23</v>
      </c>
      <c r="Q828" s="304">
        <f t="shared" ca="1" si="367"/>
        <v>0</v>
      </c>
      <c r="R828" s="306">
        <f t="shared" ca="1" si="368"/>
        <v>0</v>
      </c>
      <c r="S828" s="307">
        <f t="shared" ca="1" si="369"/>
        <v>7.4499999999999984</v>
      </c>
      <c r="T828" s="304">
        <f t="shared" ca="1" si="349"/>
        <v>73.084499999999991</v>
      </c>
      <c r="U828" s="311">
        <f t="shared" ca="1" si="350"/>
        <v>0</v>
      </c>
      <c r="V828" s="306">
        <f t="shared" ca="1" si="351"/>
        <v>1.2265504571646784</v>
      </c>
      <c r="W828" s="304">
        <f t="shared" ca="1" si="352"/>
        <v>58.40982914191931</v>
      </c>
      <c r="Y828" s="314" t="str">
        <f t="shared" ca="1" si="370"/>
        <v/>
      </c>
      <c r="Z828" s="315" t="str">
        <f t="shared" ca="1" si="371"/>
        <v/>
      </c>
      <c r="AA828" s="316" t="str">
        <f t="shared" ca="1" si="372"/>
        <v/>
      </c>
      <c r="AC828" s="310" t="e">
        <f t="shared" ca="1" si="373"/>
        <v>#N/A</v>
      </c>
      <c r="AD828" s="323" t="e">
        <f t="shared" ca="1" si="374"/>
        <v>#N/A</v>
      </c>
      <c r="AE828" s="324" t="e">
        <f t="shared" ca="1" si="353"/>
        <v>#N/A</v>
      </c>
      <c r="AG828" s="306">
        <f t="shared" ca="1" si="375"/>
        <v>1.9294247397263282</v>
      </c>
      <c r="AH828" s="304">
        <f t="shared" ca="1" si="376"/>
        <v>-7.8402110004113874</v>
      </c>
    </row>
    <row r="829" spans="1:34" x14ac:dyDescent="0.2">
      <c r="A829" s="347">
        <f t="shared" ca="1" si="354"/>
        <v>1E-4</v>
      </c>
      <c r="B829" s="304">
        <f t="shared" ca="1" si="355"/>
        <v>34.530000000001216</v>
      </c>
      <c r="D829" s="306">
        <f t="shared" ca="1" si="356"/>
        <v>-0.71048994153951661</v>
      </c>
      <c r="E829" s="307">
        <f t="shared" ca="1" si="357"/>
        <v>-2.0020134545090826</v>
      </c>
      <c r="F829" s="304">
        <f t="shared" ca="1" si="358"/>
        <v>2.1243478597122967</v>
      </c>
      <c r="G829" s="306">
        <f t="shared" ca="1" si="359"/>
        <v>10.915504289170705</v>
      </c>
      <c r="H829" s="307">
        <f t="shared" ca="1" si="360"/>
        <v>-119.95779621179287</v>
      </c>
      <c r="I829" s="304">
        <f t="shared" ca="1" si="361"/>
        <v>120.45339806695755</v>
      </c>
      <c r="J829" s="306">
        <f t="shared" ca="1" si="362"/>
        <v>770.52896740167785</v>
      </c>
      <c r="K829" s="307">
        <f t="shared" ca="1" si="363"/>
        <v>-12.660784295640768</v>
      </c>
      <c r="L829" s="304">
        <f t="shared" ca="1" si="348"/>
        <v>770.63297688593411</v>
      </c>
      <c r="M829" s="306">
        <f t="shared" ca="1" si="364"/>
        <v>-1.4800516931836794</v>
      </c>
      <c r="N829" s="304">
        <f t="shared" ca="1" si="365"/>
        <v>-84.800715480616262</v>
      </c>
      <c r="P829" s="310">
        <f t="shared" ca="1" si="366"/>
        <v>23</v>
      </c>
      <c r="Q829" s="304">
        <f t="shared" ca="1" si="367"/>
        <v>0</v>
      </c>
      <c r="R829" s="306">
        <f t="shared" ca="1" si="368"/>
        <v>0</v>
      </c>
      <c r="S829" s="307">
        <f t="shared" ca="1" si="369"/>
        <v>7.4499999999999984</v>
      </c>
      <c r="T829" s="304">
        <f t="shared" ca="1" si="349"/>
        <v>73.084499999999991</v>
      </c>
      <c r="U829" s="311">
        <f t="shared" ca="1" si="350"/>
        <v>0</v>
      </c>
      <c r="V829" s="306">
        <f t="shared" ca="1" si="351"/>
        <v>1.2265519285078199</v>
      </c>
      <c r="W829" s="304">
        <f t="shared" ca="1" si="352"/>
        <v>58.410086328439093</v>
      </c>
      <c r="Y829" s="314" t="str">
        <f t="shared" ca="1" si="370"/>
        <v/>
      </c>
      <c r="Z829" s="315" t="str">
        <f t="shared" ca="1" si="371"/>
        <v/>
      </c>
      <c r="AA829" s="316" t="str">
        <f t="shared" ca="1" si="372"/>
        <v/>
      </c>
      <c r="AC829" s="310" t="e">
        <f t="shared" ca="1" si="373"/>
        <v>#N/A</v>
      </c>
      <c r="AD829" s="323" t="e">
        <f t="shared" ca="1" si="374"/>
        <v>#N/A</v>
      </c>
      <c r="AE829" s="324" t="e">
        <f t="shared" ca="1" si="353"/>
        <v>#N/A</v>
      </c>
      <c r="AG829" s="306">
        <f t="shared" ca="1" si="375"/>
        <v>1.9293908738497221</v>
      </c>
      <c r="AH829" s="304">
        <f t="shared" ca="1" si="376"/>
        <v>-7.8402455224052785</v>
      </c>
    </row>
    <row r="830" spans="1:34" x14ac:dyDescent="0.2">
      <c r="A830" s="347">
        <f t="shared" ca="1" si="354"/>
        <v>1E-4</v>
      </c>
      <c r="B830" s="304">
        <f t="shared" ca="1" si="355"/>
        <v>34.530100000001219</v>
      </c>
      <c r="D830" s="306">
        <f t="shared" ca="1" si="356"/>
        <v>-0.71048730731486287</v>
      </c>
      <c r="E830" s="307">
        <f t="shared" ca="1" si="357"/>
        <v>-2.00197855050114</v>
      </c>
      <c r="F830" s="304">
        <f t="shared" ca="1" si="358"/>
        <v>2.124314084715857</v>
      </c>
      <c r="G830" s="306">
        <f t="shared" ca="1" si="359"/>
        <v>10.915433240439974</v>
      </c>
      <c r="H830" s="307">
        <f t="shared" ca="1" si="360"/>
        <v>-119.95799640964792</v>
      </c>
      <c r="I830" s="304">
        <f t="shared" ca="1" si="361"/>
        <v>120.45359100269118</v>
      </c>
      <c r="J830" s="306">
        <f t="shared" ca="1" si="362"/>
        <v>770.52896740167785</v>
      </c>
      <c r="K830" s="307">
        <f t="shared" ca="1" si="363"/>
        <v>-12.672780085271841</v>
      </c>
      <c r="L830" s="304">
        <f t="shared" ca="1" si="348"/>
        <v>770.63317405895896</v>
      </c>
      <c r="M830" s="306">
        <f t="shared" ca="1" si="364"/>
        <v>-1.4800524312136594</v>
      </c>
      <c r="N830" s="304">
        <f t="shared" ca="1" si="365"/>
        <v>-84.80075776661927</v>
      </c>
      <c r="P830" s="310">
        <f t="shared" ca="1" si="366"/>
        <v>23</v>
      </c>
      <c r="Q830" s="304">
        <f t="shared" ca="1" si="367"/>
        <v>0</v>
      </c>
      <c r="R830" s="306">
        <f t="shared" ca="1" si="368"/>
        <v>0</v>
      </c>
      <c r="S830" s="307">
        <f t="shared" ca="1" si="369"/>
        <v>7.4499999999999984</v>
      </c>
      <c r="T830" s="304">
        <f t="shared" ca="1" si="349"/>
        <v>73.084499999999991</v>
      </c>
      <c r="U830" s="311">
        <f t="shared" ca="1" si="350"/>
        <v>0</v>
      </c>
      <c r="V830" s="306">
        <f t="shared" ca="1" si="351"/>
        <v>1.2265533998551834</v>
      </c>
      <c r="W830" s="304">
        <f t="shared" ca="1" si="352"/>
        <v>58.410343512624166</v>
      </c>
      <c r="Y830" s="314" t="str">
        <f t="shared" ca="1" si="370"/>
        <v/>
      </c>
      <c r="Z830" s="315" t="str">
        <f t="shared" ca="1" si="371"/>
        <v/>
      </c>
      <c r="AA830" s="316" t="str">
        <f t="shared" ca="1" si="372"/>
        <v/>
      </c>
      <c r="AC830" s="310" t="e">
        <f t="shared" ca="1" si="373"/>
        <v>#N/A</v>
      </c>
      <c r="AD830" s="323" t="e">
        <f t="shared" ca="1" si="374"/>
        <v>#N/A</v>
      </c>
      <c r="AE830" s="324" t="e">
        <f t="shared" ca="1" si="353"/>
        <v>#N/A</v>
      </c>
      <c r="AG830" s="306">
        <f t="shared" ca="1" si="375"/>
        <v>1.9293570082748079</v>
      </c>
      <c r="AH830" s="304">
        <f t="shared" ca="1" si="376"/>
        <v>-7.8402800440857856</v>
      </c>
    </row>
    <row r="831" spans="1:34" x14ac:dyDescent="0.2">
      <c r="A831" s="347">
        <f t="shared" ca="1" si="354"/>
        <v>1E-4</v>
      </c>
      <c r="B831" s="304">
        <f t="shared" ca="1" si="355"/>
        <v>34.530200000001223</v>
      </c>
      <c r="D831" s="306">
        <f t="shared" ca="1" si="356"/>
        <v>-0.71048467306664498</v>
      </c>
      <c r="E831" s="307">
        <f t="shared" ca="1" si="357"/>
        <v>-2.0019436468100187</v>
      </c>
      <c r="F831" s="304">
        <f t="shared" ca="1" si="358"/>
        <v>2.1242803100498802</v>
      </c>
      <c r="G831" s="306">
        <f t="shared" ca="1" si="359"/>
        <v>10.915362191972667</v>
      </c>
      <c r="H831" s="307">
        <f t="shared" ca="1" si="360"/>
        <v>-119.9581966040126</v>
      </c>
      <c r="I831" s="304">
        <f t="shared" ca="1" si="361"/>
        <v>120.45378393503827</v>
      </c>
      <c r="J831" s="306">
        <f t="shared" ca="1" si="362"/>
        <v>770.52896740167785</v>
      </c>
      <c r="K831" s="307">
        <f t="shared" ca="1" si="363"/>
        <v>-12.684775894922524</v>
      </c>
      <c r="L831" s="304">
        <f t="shared" ca="1" si="348"/>
        <v>770.63337141899092</v>
      </c>
      <c r="M831" s="306">
        <f t="shared" ca="1" si="364"/>
        <v>-1.4800531692364713</v>
      </c>
      <c r="N831" s="304">
        <f t="shared" ca="1" si="365"/>
        <v>-84.800800052211585</v>
      </c>
      <c r="P831" s="310">
        <f t="shared" ca="1" si="366"/>
        <v>23</v>
      </c>
      <c r="Q831" s="304">
        <f t="shared" ca="1" si="367"/>
        <v>0</v>
      </c>
      <c r="R831" s="306">
        <f t="shared" ca="1" si="368"/>
        <v>0</v>
      </c>
      <c r="S831" s="307">
        <f t="shared" ca="1" si="369"/>
        <v>7.4499999999999984</v>
      </c>
      <c r="T831" s="304">
        <f t="shared" ca="1" si="349"/>
        <v>73.084499999999991</v>
      </c>
      <c r="U831" s="311">
        <f t="shared" ca="1" si="350"/>
        <v>0</v>
      </c>
      <c r="V831" s="306">
        <f t="shared" ca="1" si="351"/>
        <v>1.2265548712067682</v>
      </c>
      <c r="W831" s="304">
        <f t="shared" ca="1" si="352"/>
        <v>58.410600694474475</v>
      </c>
      <c r="Y831" s="314" t="str">
        <f t="shared" ca="1" si="370"/>
        <v/>
      </c>
      <c r="Z831" s="315" t="str">
        <f t="shared" ca="1" si="371"/>
        <v/>
      </c>
      <c r="AA831" s="316" t="str">
        <f t="shared" ca="1" si="372"/>
        <v/>
      </c>
      <c r="AC831" s="310" t="e">
        <f t="shared" ca="1" si="373"/>
        <v>#N/A</v>
      </c>
      <c r="AD831" s="323" t="e">
        <f t="shared" ca="1" si="374"/>
        <v>#N/A</v>
      </c>
      <c r="AE831" s="324" t="e">
        <f t="shared" ca="1" si="353"/>
        <v>#N/A</v>
      </c>
      <c r="AG831" s="306">
        <f t="shared" ca="1" si="375"/>
        <v>1.9293231430015814</v>
      </c>
      <c r="AH831" s="304">
        <f t="shared" ca="1" si="376"/>
        <v>-7.8403145654529096</v>
      </c>
    </row>
    <row r="832" spans="1:34" x14ac:dyDescent="0.2">
      <c r="A832" s="347">
        <f t="shared" ca="1" si="354"/>
        <v>1E-4</v>
      </c>
      <c r="B832" s="304">
        <f t="shared" ca="1" si="355"/>
        <v>34.530300000001226</v>
      </c>
      <c r="D832" s="306">
        <f t="shared" ca="1" si="356"/>
        <v>-0.71048203879486393</v>
      </c>
      <c r="E832" s="307">
        <f t="shared" ca="1" si="357"/>
        <v>-2.0019087434357283</v>
      </c>
      <c r="F832" s="304">
        <f t="shared" ca="1" si="358"/>
        <v>2.1242465357143749</v>
      </c>
      <c r="G832" s="306">
        <f t="shared" ca="1" si="359"/>
        <v>10.915291143768787</v>
      </c>
      <c r="H832" s="307">
        <f t="shared" ca="1" si="360"/>
        <v>-119.95839679488694</v>
      </c>
      <c r="I832" s="304">
        <f t="shared" ca="1" si="361"/>
        <v>120.45397686399889</v>
      </c>
      <c r="J832" s="306">
        <f t="shared" ca="1" si="362"/>
        <v>770.52896740167785</v>
      </c>
      <c r="K832" s="307">
        <f t="shared" ca="1" si="363"/>
        <v>-12.69677172459247</v>
      </c>
      <c r="L832" s="304">
        <f t="shared" ca="1" si="348"/>
        <v>770.63356896603091</v>
      </c>
      <c r="M832" s="306">
        <f t="shared" ca="1" si="364"/>
        <v>-1.4800539072521153</v>
      </c>
      <c r="N832" s="304">
        <f t="shared" ca="1" si="365"/>
        <v>-84.800842337393192</v>
      </c>
      <c r="P832" s="310">
        <f t="shared" ca="1" si="366"/>
        <v>23</v>
      </c>
      <c r="Q832" s="304">
        <f t="shared" ca="1" si="367"/>
        <v>0</v>
      </c>
      <c r="R832" s="306">
        <f t="shared" ca="1" si="368"/>
        <v>0</v>
      </c>
      <c r="S832" s="307">
        <f t="shared" ca="1" si="369"/>
        <v>7.4499999999999984</v>
      </c>
      <c r="T832" s="304">
        <f t="shared" ca="1" si="349"/>
        <v>73.084499999999991</v>
      </c>
      <c r="U832" s="311">
        <f t="shared" ca="1" si="350"/>
        <v>0</v>
      </c>
      <c r="V832" s="306">
        <f t="shared" ca="1" si="351"/>
        <v>1.226556342562575</v>
      </c>
      <c r="W832" s="304">
        <f t="shared" ca="1" si="352"/>
        <v>58.410857873990118</v>
      </c>
      <c r="Y832" s="314" t="str">
        <f t="shared" ca="1" si="370"/>
        <v/>
      </c>
      <c r="Z832" s="315" t="str">
        <f t="shared" ca="1" si="371"/>
        <v/>
      </c>
      <c r="AA832" s="316" t="str">
        <f t="shared" ca="1" si="372"/>
        <v/>
      </c>
      <c r="AC832" s="310" t="e">
        <f t="shared" ca="1" si="373"/>
        <v>#N/A</v>
      </c>
      <c r="AD832" s="323" t="e">
        <f t="shared" ca="1" si="374"/>
        <v>#N/A</v>
      </c>
      <c r="AE832" s="324" t="e">
        <f t="shared" ca="1" si="353"/>
        <v>#N/A</v>
      </c>
      <c r="AG832" s="306">
        <f t="shared" ca="1" si="375"/>
        <v>1.9292892780300521</v>
      </c>
      <c r="AH832" s="304">
        <f t="shared" ca="1" si="376"/>
        <v>-7.8403490865066425</v>
      </c>
    </row>
    <row r="833" spans="1:34" x14ac:dyDescent="0.2">
      <c r="A833" s="347">
        <f t="shared" ca="1" si="354"/>
        <v>1E-4</v>
      </c>
      <c r="B833" s="304">
        <f t="shared" ca="1" si="355"/>
        <v>34.530400000001229</v>
      </c>
      <c r="D833" s="306">
        <f t="shared" ca="1" si="356"/>
        <v>-0.71047940449952218</v>
      </c>
      <c r="E833" s="307">
        <f t="shared" ca="1" si="357"/>
        <v>-2.0018738403782539</v>
      </c>
      <c r="F833" s="304">
        <f t="shared" ca="1" si="358"/>
        <v>2.1242127617093289</v>
      </c>
      <c r="G833" s="306">
        <f t="shared" ca="1" si="359"/>
        <v>10.915220095828337</v>
      </c>
      <c r="H833" s="307">
        <f t="shared" ca="1" si="360"/>
        <v>-119.95859698227098</v>
      </c>
      <c r="I833" s="304">
        <f t="shared" ca="1" si="361"/>
        <v>120.45416978957303</v>
      </c>
      <c r="J833" s="306">
        <f t="shared" ca="1" si="362"/>
        <v>770.52896740167785</v>
      </c>
      <c r="K833" s="307">
        <f t="shared" ca="1" si="363"/>
        <v>-12.708767574281328</v>
      </c>
      <c r="L833" s="304">
        <f t="shared" ca="1" si="348"/>
        <v>770.63376670007983</v>
      </c>
      <c r="M833" s="306">
        <f t="shared" ca="1" si="364"/>
        <v>-1.4800546452605914</v>
      </c>
      <c r="N833" s="304">
        <f t="shared" ca="1" si="365"/>
        <v>-84.800884622164119</v>
      </c>
      <c r="P833" s="310">
        <f t="shared" ca="1" si="366"/>
        <v>23</v>
      </c>
      <c r="Q833" s="304">
        <f t="shared" ca="1" si="367"/>
        <v>0</v>
      </c>
      <c r="R833" s="306">
        <f t="shared" ca="1" si="368"/>
        <v>0</v>
      </c>
      <c r="S833" s="307">
        <f t="shared" ca="1" si="369"/>
        <v>7.4499999999999984</v>
      </c>
      <c r="T833" s="304">
        <f t="shared" ca="1" si="349"/>
        <v>73.084499999999991</v>
      </c>
      <c r="U833" s="311">
        <f t="shared" ca="1" si="350"/>
        <v>0</v>
      </c>
      <c r="V833" s="306">
        <f t="shared" ca="1" si="351"/>
        <v>1.2265578139226028</v>
      </c>
      <c r="W833" s="304">
        <f t="shared" ca="1" si="352"/>
        <v>58.411115051170995</v>
      </c>
      <c r="Y833" s="314" t="str">
        <f t="shared" ca="1" si="370"/>
        <v/>
      </c>
      <c r="Z833" s="315" t="str">
        <f t="shared" ca="1" si="371"/>
        <v/>
      </c>
      <c r="AA833" s="316" t="str">
        <f t="shared" ca="1" si="372"/>
        <v/>
      </c>
      <c r="AC833" s="310" t="e">
        <f t="shared" ca="1" si="373"/>
        <v>#N/A</v>
      </c>
      <c r="AD833" s="323" t="e">
        <f t="shared" ca="1" si="374"/>
        <v>#N/A</v>
      </c>
      <c r="AE833" s="324" t="e">
        <f t="shared" ca="1" si="353"/>
        <v>#N/A</v>
      </c>
      <c r="AG833" s="306">
        <f t="shared" ca="1" si="375"/>
        <v>1.9292554133602069</v>
      </c>
      <c r="AH833" s="304">
        <f t="shared" ca="1" si="376"/>
        <v>-7.8403836072469977</v>
      </c>
    </row>
    <row r="834" spans="1:34" x14ac:dyDescent="0.2">
      <c r="A834" s="347">
        <f t="shared" ca="1" si="354"/>
        <v>1E-4</v>
      </c>
      <c r="B834" s="304">
        <f t="shared" ca="1" si="355"/>
        <v>34.530500000001233</v>
      </c>
      <c r="D834" s="306">
        <f t="shared" ca="1" si="356"/>
        <v>-0.71047677018061817</v>
      </c>
      <c r="E834" s="307">
        <f t="shared" ca="1" si="357"/>
        <v>-2.0018389376376104</v>
      </c>
      <c r="F834" s="304">
        <f t="shared" ca="1" si="358"/>
        <v>2.1241789880347559</v>
      </c>
      <c r="G834" s="306">
        <f t="shared" ca="1" si="359"/>
        <v>10.915149048151319</v>
      </c>
      <c r="H834" s="307">
        <f t="shared" ca="1" si="360"/>
        <v>-119.95879716616474</v>
      </c>
      <c r="I834" s="304">
        <f t="shared" ca="1" si="361"/>
        <v>120.45436271176072</v>
      </c>
      <c r="J834" s="306">
        <f t="shared" ca="1" si="362"/>
        <v>770.52896740167785</v>
      </c>
      <c r="K834" s="307">
        <f t="shared" ca="1" si="363"/>
        <v>-12.72076344398875</v>
      </c>
      <c r="L834" s="304">
        <f t="shared" ca="1" si="348"/>
        <v>770.63396462113838</v>
      </c>
      <c r="M834" s="306">
        <f t="shared" ca="1" si="364"/>
        <v>-1.4800553832618999</v>
      </c>
      <c r="N834" s="304">
        <f t="shared" ca="1" si="365"/>
        <v>-84.800926906524367</v>
      </c>
      <c r="P834" s="310">
        <f t="shared" ca="1" si="366"/>
        <v>23</v>
      </c>
      <c r="Q834" s="304">
        <f t="shared" ca="1" si="367"/>
        <v>0</v>
      </c>
      <c r="R834" s="306">
        <f t="shared" ca="1" si="368"/>
        <v>0</v>
      </c>
      <c r="S834" s="307">
        <f t="shared" ca="1" si="369"/>
        <v>7.4499999999999984</v>
      </c>
      <c r="T834" s="304">
        <f t="shared" ca="1" si="349"/>
        <v>73.084499999999991</v>
      </c>
      <c r="U834" s="311">
        <f t="shared" ca="1" si="350"/>
        <v>0</v>
      </c>
      <c r="V834" s="306">
        <f t="shared" ca="1" si="351"/>
        <v>1.2265592852868523</v>
      </c>
      <c r="W834" s="304">
        <f t="shared" ca="1" si="352"/>
        <v>58.411372226017185</v>
      </c>
      <c r="Y834" s="314" t="str">
        <f t="shared" ca="1" si="370"/>
        <v/>
      </c>
      <c r="Z834" s="315" t="str">
        <f t="shared" ca="1" si="371"/>
        <v/>
      </c>
      <c r="AA834" s="316" t="str">
        <f t="shared" ca="1" si="372"/>
        <v/>
      </c>
      <c r="AC834" s="310" t="e">
        <f t="shared" ca="1" si="373"/>
        <v>#N/A</v>
      </c>
      <c r="AD834" s="323" t="e">
        <f t="shared" ca="1" si="374"/>
        <v>#N/A</v>
      </c>
      <c r="AE834" s="324" t="e">
        <f t="shared" ca="1" si="353"/>
        <v>#N/A</v>
      </c>
      <c r="AG834" s="306">
        <f t="shared" ca="1" si="375"/>
        <v>1.9292215489920617</v>
      </c>
      <c r="AH834" s="304">
        <f t="shared" ca="1" si="376"/>
        <v>-7.8404181276739608</v>
      </c>
    </row>
    <row r="835" spans="1:34" x14ac:dyDescent="0.2">
      <c r="A835" s="347">
        <f t="shared" ca="1" si="354"/>
        <v>1E-4</v>
      </c>
      <c r="B835" s="304">
        <f t="shared" ca="1" si="355"/>
        <v>34.530600000001236</v>
      </c>
      <c r="D835" s="306">
        <f t="shared" ca="1" si="356"/>
        <v>-0.71047413583815267</v>
      </c>
      <c r="E835" s="307">
        <f t="shared" ca="1" si="357"/>
        <v>-2.0018040352137856</v>
      </c>
      <c r="F835" s="304">
        <f t="shared" ca="1" si="358"/>
        <v>2.1241452146906448</v>
      </c>
      <c r="G835" s="306">
        <f t="shared" ca="1" si="359"/>
        <v>10.915078000737735</v>
      </c>
      <c r="H835" s="307">
        <f t="shared" ca="1" si="360"/>
        <v>-119.95899734656827</v>
      </c>
      <c r="I835" s="304">
        <f t="shared" ca="1" si="361"/>
        <v>120.45455563056203</v>
      </c>
      <c r="J835" s="306">
        <f t="shared" ca="1" si="362"/>
        <v>770.52896740167785</v>
      </c>
      <c r="K835" s="307">
        <f t="shared" ca="1" si="363"/>
        <v>-12.732759333714386</v>
      </c>
      <c r="L835" s="304">
        <f t="shared" ca="1" si="348"/>
        <v>770.63416272920722</v>
      </c>
      <c r="M835" s="306">
        <f t="shared" ca="1" si="364"/>
        <v>-1.4800561212560406</v>
      </c>
      <c r="N835" s="304">
        <f t="shared" ca="1" si="365"/>
        <v>-84.800969190473936</v>
      </c>
      <c r="P835" s="310">
        <f t="shared" ca="1" si="366"/>
        <v>23</v>
      </c>
      <c r="Q835" s="304">
        <f t="shared" ca="1" si="367"/>
        <v>0</v>
      </c>
      <c r="R835" s="306">
        <f t="shared" ca="1" si="368"/>
        <v>0</v>
      </c>
      <c r="S835" s="307">
        <f t="shared" ca="1" si="369"/>
        <v>7.4499999999999984</v>
      </c>
      <c r="T835" s="304">
        <f t="shared" ca="1" si="349"/>
        <v>73.084499999999991</v>
      </c>
      <c r="U835" s="311">
        <f t="shared" ca="1" si="350"/>
        <v>0</v>
      </c>
      <c r="V835" s="306">
        <f t="shared" ca="1" si="351"/>
        <v>1.2265607566553236</v>
      </c>
      <c r="W835" s="304">
        <f t="shared" ca="1" si="352"/>
        <v>58.411629398528667</v>
      </c>
      <c r="Y835" s="314" t="str">
        <f t="shared" ca="1" si="370"/>
        <v/>
      </c>
      <c r="Z835" s="315" t="str">
        <f t="shared" ca="1" si="371"/>
        <v/>
      </c>
      <c r="AA835" s="316" t="str">
        <f t="shared" ca="1" si="372"/>
        <v/>
      </c>
      <c r="AC835" s="310" t="e">
        <f t="shared" ca="1" si="373"/>
        <v>#N/A</v>
      </c>
      <c r="AD835" s="323" t="e">
        <f t="shared" ca="1" si="374"/>
        <v>#N/A</v>
      </c>
      <c r="AE835" s="324" t="e">
        <f t="shared" ca="1" si="353"/>
        <v>#N/A</v>
      </c>
      <c r="AG835" s="306">
        <f t="shared" ca="1" si="375"/>
        <v>1.9291876849256049</v>
      </c>
      <c r="AH835" s="304">
        <f t="shared" ca="1" si="376"/>
        <v>-7.8404526477875436</v>
      </c>
    </row>
    <row r="836" spans="1:34" x14ac:dyDescent="0.2">
      <c r="A836" s="347">
        <f t="shared" ca="1" si="354"/>
        <v>1E-4</v>
      </c>
      <c r="B836" s="304">
        <f t="shared" ca="1" si="355"/>
        <v>34.530700000001239</v>
      </c>
      <c r="D836" s="306">
        <f t="shared" ca="1" si="356"/>
        <v>-0.71047150147212867</v>
      </c>
      <c r="E836" s="307">
        <f t="shared" ca="1" si="357"/>
        <v>-2.0017691331067837</v>
      </c>
      <c r="F836" s="304">
        <f t="shared" ca="1" si="358"/>
        <v>2.1241114416770004</v>
      </c>
      <c r="G836" s="306">
        <f t="shared" ca="1" si="359"/>
        <v>10.915006953587588</v>
      </c>
      <c r="H836" s="307">
        <f t="shared" ca="1" si="360"/>
        <v>-119.95919752348158</v>
      </c>
      <c r="I836" s="304">
        <f t="shared" ca="1" si="361"/>
        <v>120.45474854597694</v>
      </c>
      <c r="J836" s="306">
        <f t="shared" ca="1" si="362"/>
        <v>770.52896740167785</v>
      </c>
      <c r="K836" s="307">
        <f t="shared" ca="1" si="363"/>
        <v>-12.744755243457888</v>
      </c>
      <c r="L836" s="304">
        <f t="shared" ref="L836:L899" ca="1" si="377">SQRT(pos_x^2+pos_z^2)</f>
        <v>770.63436102428727</v>
      </c>
      <c r="M836" s="306">
        <f t="shared" ca="1" si="364"/>
        <v>-1.4800568592430137</v>
      </c>
      <c r="N836" s="304">
        <f t="shared" ca="1" si="365"/>
        <v>-84.801011474012824</v>
      </c>
      <c r="P836" s="310">
        <f t="shared" ca="1" si="366"/>
        <v>23</v>
      </c>
      <c r="Q836" s="304">
        <f t="shared" ca="1" si="367"/>
        <v>0</v>
      </c>
      <c r="R836" s="306">
        <f t="shared" ca="1" si="368"/>
        <v>0</v>
      </c>
      <c r="S836" s="307">
        <f t="shared" ca="1" si="369"/>
        <v>7.4499999999999984</v>
      </c>
      <c r="T836" s="304">
        <f t="shared" ref="T836:T899" ca="1" si="378">m*g</f>
        <v>73.084499999999991</v>
      </c>
      <c r="U836" s="311">
        <f t="shared" ref="U836:U899" ca="1" si="379">IF(pos_xz&lt;L_rampe,Poids*COS(Beta),0)</f>
        <v>0</v>
      </c>
      <c r="V836" s="306">
        <f t="shared" ref="V836:V899" ca="1" si="380">Rho_moyen*(20000-Alt_rampe-pos_z)/(20000+Alt_rampe+pos_z)</f>
        <v>1.2265622280280162</v>
      </c>
      <c r="W836" s="304">
        <f t="shared" ref="W836:W899" ca="1" si="381">1/2*Rho*Sref*Cx*vit_xz^2</f>
        <v>58.411886568705441</v>
      </c>
      <c r="Y836" s="314" t="str">
        <f t="shared" ca="1" si="370"/>
        <v/>
      </c>
      <c r="Z836" s="315" t="str">
        <f t="shared" ca="1" si="371"/>
        <v/>
      </c>
      <c r="AA836" s="316" t="str">
        <f t="shared" ca="1" si="372"/>
        <v/>
      </c>
      <c r="AC836" s="310" t="e">
        <f t="shared" ca="1" si="373"/>
        <v>#N/A</v>
      </c>
      <c r="AD836" s="323" t="e">
        <f t="shared" ca="1" si="374"/>
        <v>#N/A</v>
      </c>
      <c r="AE836" s="324" t="e">
        <f t="shared" ref="AE836:AE899" ca="1" si="382">IF(t&lt;T_para, pos_z, NA())</f>
        <v>#N/A</v>
      </c>
      <c r="AG836" s="306">
        <f t="shared" ca="1" si="375"/>
        <v>1.9291538211608366</v>
      </c>
      <c r="AH836" s="304">
        <f t="shared" ca="1" si="376"/>
        <v>-7.8404871675877423</v>
      </c>
    </row>
    <row r="837" spans="1:34" x14ac:dyDescent="0.2">
      <c r="A837" s="347">
        <f t="shared" ref="A837:A900" ca="1" si="383">IF(B836+0.01&lt;=T_ini+ROUNDUP(Temps_fin_propu,0), 0.01, IF(K836&gt;0, 0.1, 0.0001))</f>
        <v>1E-4</v>
      </c>
      <c r="B837" s="304">
        <f t="shared" ref="B837:B900" ca="1" si="384">B836+pas</f>
        <v>34.530800000001243</v>
      </c>
      <c r="D837" s="306">
        <f t="shared" ref="D837:D900" ca="1" si="385">IF(AND(L836&lt;L_rampe,Poussee&lt;Poids*SIN(M836)),0,(-W836+Poussee)/m*COS(M836)-U836/m*SIN(M836))</f>
        <v>-0.71046886708254564</v>
      </c>
      <c r="E837" s="307">
        <f t="shared" ref="E837:E900" ca="1" si="386">IF(AND(L836&lt;L_rampe,Poussee&lt;Poids*SIN(M836)),0,(-W836+Poussee)/m*SIN(M836)+U836/m*COS(M836)-Poids/m)</f>
        <v>-2.0017342313166049</v>
      </c>
      <c r="F837" s="304">
        <f t="shared" ref="F837:F900" ca="1" si="387">SQRT(acc_x^2+acc_z^2)</f>
        <v>2.1240776689938237</v>
      </c>
      <c r="G837" s="306">
        <f t="shared" ref="G837:G900" ca="1" si="388">G836+acc_x*pas</f>
        <v>10.91493590670088</v>
      </c>
      <c r="H837" s="307">
        <f t="shared" ref="H837:H900" ca="1" si="389">H836+acc_z*pas</f>
        <v>-119.95939769690472</v>
      </c>
      <c r="I837" s="304">
        <f t="shared" ref="I837:I900" ca="1" si="390">SQRT(vit_x^2+vit_z^2)</f>
        <v>120.45494145800552</v>
      </c>
      <c r="J837" s="306">
        <f t="shared" ref="J837:J900" ca="1" si="391">J836+0.5*(vit_x+G836)*pas*(K836&gt;=0)</f>
        <v>770.52896740167785</v>
      </c>
      <c r="K837" s="307">
        <f t="shared" ref="K837:K900" ca="1" si="392">K836+0.5*(vit_z+H836)*pas</f>
        <v>-12.756751173218907</v>
      </c>
      <c r="L837" s="304">
        <f t="shared" ca="1" si="377"/>
        <v>770.63455950637933</v>
      </c>
      <c r="M837" s="306">
        <f t="shared" ref="M837:M900" ca="1" si="393">IF(AND(L836&gt;L_rampe,G837&gt;0),ATAN2(G837,H837),$M$4)</f>
        <v>-1.4800575972228196</v>
      </c>
      <c r="N837" s="304">
        <f t="shared" ref="N837:N900" ca="1" si="394">DEGREES(Beta)</f>
        <v>-84.801053757141077</v>
      </c>
      <c r="P837" s="310">
        <f t="shared" ref="P837:P900" ca="1" si="395">MATCH(t-pas/2-T_ini,CdP_t)</f>
        <v>23</v>
      </c>
      <c r="Q837" s="304">
        <f t="shared" ref="Q837:Q900" ca="1" si="396">(INDEX(CdP,2,i_P+1)-INDEX(CdP,2,i_P+0))/(INDEX(CdP,1,i_P+1)-INDEX(CdP,1,i_P+0))*(t-pas/2-T_ini-INDEX(CdP,1,i_P+0))+INDEX(CdP,2,i_P+0)</f>
        <v>0</v>
      </c>
      <c r="R837" s="306">
        <f t="shared" ref="R837:R900" ca="1" si="397">Poussee/(g*ISP)</f>
        <v>0</v>
      </c>
      <c r="S837" s="307">
        <f t="shared" ref="S837:S900" ca="1" si="398">S836-Débit*pas</f>
        <v>7.4499999999999984</v>
      </c>
      <c r="T837" s="304">
        <f t="shared" ca="1" si="378"/>
        <v>73.084499999999991</v>
      </c>
      <c r="U837" s="311">
        <f t="shared" ca="1" si="379"/>
        <v>0</v>
      </c>
      <c r="V837" s="306">
        <f t="shared" ca="1" si="380"/>
        <v>1.2265636994049305</v>
      </c>
      <c r="W837" s="304">
        <f t="shared" ca="1" si="381"/>
        <v>58.412143736547527</v>
      </c>
      <c r="Y837" s="314" t="str">
        <f t="shared" ref="Y837:Y900" ca="1" si="399">IF(AND(pos_z&lt;=0,K836&gt;0),"Impact balistique","") &amp; IF(AND(H838&lt;0,vit_z&gt;=0),"Apogée","") &amp; IF(AND(Poussee=0,Q836&gt;0),"Fin de propulsion","") &amp; IF(AND(L838&gt;L_rampe,pos_xz&lt;=L_rampe),"Sortie de rampe","")</f>
        <v/>
      </c>
      <c r="Z837" s="315" t="str">
        <f t="shared" ref="Z837:Z900" ca="1" si="400">IF(ABS(t-T_para)&lt;pas/2,"Para","")</f>
        <v/>
      </c>
      <c r="AA837" s="316" t="str">
        <f t="shared" ref="AA837:AA900" ca="1" si="401">IF(ABS(t-T_satellite)&lt;pas/2,"Satellite","")</f>
        <v/>
      </c>
      <c r="AC837" s="310" t="e">
        <f t="shared" ref="AC837:AC900" ca="1" si="402">IF(ABS(t-ROUND(t,0))&lt;0.001,t,NA())</f>
        <v>#N/A</v>
      </c>
      <c r="AD837" s="323" t="e">
        <f t="shared" ref="AD837:AD900" ca="1" si="403">IF(ABS(t-ROUND(t,0))&lt;0.001,pos_x,NA())</f>
        <v>#N/A</v>
      </c>
      <c r="AE837" s="324" t="e">
        <f t="shared" ca="1" si="382"/>
        <v>#N/A</v>
      </c>
      <c r="AG837" s="306">
        <f t="shared" ref="AG837:AG900" ca="1" si="404">IF(AND(L836&lt;L_rampe,Poussee&lt;Poids*SIN(M836)),0,(-W836+Poussee)/m-Poids*SIN(M836)/m)</f>
        <v>1.9291199576977638</v>
      </c>
      <c r="AH837" s="304">
        <f t="shared" ref="AH837:AH900" ca="1" si="405">IF(AND(L836&lt;L_rampe,Poussee&lt;Poids*SIN(M836)), g*SIN(M836), (-W836+Poussee)/m)</f>
        <v>-7.8405216870745571</v>
      </c>
    </row>
    <row r="838" spans="1:34" x14ac:dyDescent="0.2">
      <c r="A838" s="347">
        <f t="shared" ca="1" si="383"/>
        <v>1E-4</v>
      </c>
      <c r="B838" s="304">
        <f t="shared" ca="1" si="384"/>
        <v>34.530900000001246</v>
      </c>
      <c r="D838" s="306">
        <f t="shared" ca="1" si="385"/>
        <v>-0.71046623266940223</v>
      </c>
      <c r="E838" s="307">
        <f t="shared" ca="1" si="386"/>
        <v>-2.0016993298432437</v>
      </c>
      <c r="F838" s="304">
        <f t="shared" ca="1" si="387"/>
        <v>2.1240438966411084</v>
      </c>
      <c r="G838" s="306">
        <f t="shared" ca="1" si="388"/>
        <v>10.914864860077612</v>
      </c>
      <c r="H838" s="307">
        <f t="shared" ca="1" si="389"/>
        <v>-119.9595978668377</v>
      </c>
      <c r="I838" s="304">
        <f t="shared" ca="1" si="390"/>
        <v>120.45513436664777</v>
      </c>
      <c r="J838" s="306">
        <f t="shared" ca="1" si="391"/>
        <v>770.52896740167785</v>
      </c>
      <c r="K838" s="307">
        <f t="shared" ca="1" si="392"/>
        <v>-12.768747122997095</v>
      </c>
      <c r="L838" s="304">
        <f t="shared" ca="1" si="377"/>
        <v>770.63475817548419</v>
      </c>
      <c r="M838" s="306">
        <f t="shared" ca="1" si="393"/>
        <v>-1.4800583351954579</v>
      </c>
      <c r="N838" s="304">
        <f t="shared" ca="1" si="394"/>
        <v>-84.801096039858649</v>
      </c>
      <c r="P838" s="310">
        <f t="shared" ca="1" si="395"/>
        <v>23</v>
      </c>
      <c r="Q838" s="304">
        <f t="shared" ca="1" si="396"/>
        <v>0</v>
      </c>
      <c r="R838" s="306">
        <f t="shared" ca="1" si="397"/>
        <v>0</v>
      </c>
      <c r="S838" s="307">
        <f t="shared" ca="1" si="398"/>
        <v>7.4499999999999984</v>
      </c>
      <c r="T838" s="304">
        <f t="shared" ca="1" si="378"/>
        <v>73.084499999999991</v>
      </c>
      <c r="U838" s="311">
        <f t="shared" ca="1" si="379"/>
        <v>0</v>
      </c>
      <c r="V838" s="306">
        <f t="shared" ca="1" si="380"/>
        <v>1.2265651707860661</v>
      </c>
      <c r="W838" s="304">
        <f t="shared" ca="1" si="381"/>
        <v>58.412400902054898</v>
      </c>
      <c r="Y838" s="314" t="str">
        <f t="shared" ca="1" si="399"/>
        <v/>
      </c>
      <c r="Z838" s="315" t="str">
        <f t="shared" ca="1" si="400"/>
        <v/>
      </c>
      <c r="AA838" s="316" t="str">
        <f t="shared" ca="1" si="401"/>
        <v/>
      </c>
      <c r="AC838" s="310" t="e">
        <f t="shared" ca="1" si="402"/>
        <v>#N/A</v>
      </c>
      <c r="AD838" s="323" t="e">
        <f t="shared" ca="1" si="403"/>
        <v>#N/A</v>
      </c>
      <c r="AE838" s="324" t="e">
        <f t="shared" ca="1" si="382"/>
        <v>#N/A</v>
      </c>
      <c r="AG838" s="306">
        <f t="shared" ca="1" si="404"/>
        <v>1.929086094536375</v>
      </c>
      <c r="AH838" s="304">
        <f t="shared" ca="1" si="405"/>
        <v>-7.8405562062479923</v>
      </c>
    </row>
    <row r="839" spans="1:34" x14ac:dyDescent="0.2">
      <c r="A839" s="347">
        <f t="shared" ca="1" si="383"/>
        <v>1E-4</v>
      </c>
      <c r="B839" s="304">
        <f t="shared" ca="1" si="384"/>
        <v>34.531000000001249</v>
      </c>
      <c r="D839" s="306">
        <f t="shared" ca="1" si="385"/>
        <v>-0.71046359823270244</v>
      </c>
      <c r="E839" s="307">
        <f t="shared" ca="1" si="386"/>
        <v>-2.0016644286867074</v>
      </c>
      <c r="F839" s="304">
        <f t="shared" ca="1" si="387"/>
        <v>2.1240101246188638</v>
      </c>
      <c r="G839" s="306">
        <f t="shared" ca="1" si="388"/>
        <v>10.91479381371779</v>
      </c>
      <c r="H839" s="307">
        <f t="shared" ca="1" si="389"/>
        <v>-119.95979803328056</v>
      </c>
      <c r="I839" s="304">
        <f t="shared" ca="1" si="390"/>
        <v>120.45532727190373</v>
      </c>
      <c r="J839" s="306">
        <f t="shared" ca="1" si="391"/>
        <v>770.52896740167785</v>
      </c>
      <c r="K839" s="307">
        <f t="shared" ca="1" si="392"/>
        <v>-12.7807430927921</v>
      </c>
      <c r="L839" s="304">
        <f t="shared" ca="1" si="377"/>
        <v>770.63495703160254</v>
      </c>
      <c r="M839" s="306">
        <f t="shared" ca="1" si="393"/>
        <v>-1.4800590731609291</v>
      </c>
      <c r="N839" s="304">
        <f t="shared" ca="1" si="394"/>
        <v>-84.801138322165571</v>
      </c>
      <c r="P839" s="310">
        <f t="shared" ca="1" si="395"/>
        <v>23</v>
      </c>
      <c r="Q839" s="304">
        <f t="shared" ca="1" si="396"/>
        <v>0</v>
      </c>
      <c r="R839" s="306">
        <f t="shared" ca="1" si="397"/>
        <v>0</v>
      </c>
      <c r="S839" s="307">
        <f t="shared" ca="1" si="398"/>
        <v>7.4499999999999984</v>
      </c>
      <c r="T839" s="304">
        <f t="shared" ca="1" si="378"/>
        <v>73.084499999999991</v>
      </c>
      <c r="U839" s="311">
        <f t="shared" ca="1" si="379"/>
        <v>0</v>
      </c>
      <c r="V839" s="306">
        <f t="shared" ca="1" si="380"/>
        <v>1.2265666421714227</v>
      </c>
      <c r="W839" s="304">
        <f t="shared" ca="1" si="381"/>
        <v>58.412658065227554</v>
      </c>
      <c r="Y839" s="314" t="str">
        <f t="shared" ca="1" si="399"/>
        <v/>
      </c>
      <c r="Z839" s="315" t="str">
        <f t="shared" ca="1" si="400"/>
        <v/>
      </c>
      <c r="AA839" s="316" t="str">
        <f t="shared" ca="1" si="401"/>
        <v/>
      </c>
      <c r="AC839" s="310" t="e">
        <f t="shared" ca="1" si="402"/>
        <v>#N/A</v>
      </c>
      <c r="AD839" s="323" t="e">
        <f t="shared" ca="1" si="403"/>
        <v>#N/A</v>
      </c>
      <c r="AE839" s="324" t="e">
        <f t="shared" ca="1" si="382"/>
        <v>#N/A</v>
      </c>
      <c r="AG839" s="306">
        <f t="shared" ca="1" si="404"/>
        <v>1.9290522316766836</v>
      </c>
      <c r="AH839" s="304">
        <f t="shared" ca="1" si="405"/>
        <v>-7.8405907251080418</v>
      </c>
    </row>
    <row r="840" spans="1:34" x14ac:dyDescent="0.2">
      <c r="A840" s="347">
        <f t="shared" ca="1" si="383"/>
        <v>1E-4</v>
      </c>
      <c r="B840" s="304">
        <f t="shared" ca="1" si="384"/>
        <v>34.531100000001253</v>
      </c>
      <c r="D840" s="306">
        <f t="shared" ca="1" si="385"/>
        <v>-0.71046096377244461</v>
      </c>
      <c r="E840" s="307">
        <f t="shared" ca="1" si="386"/>
        <v>-2.001629527846994</v>
      </c>
      <c r="F840" s="304">
        <f t="shared" ca="1" si="387"/>
        <v>2.1239763529270874</v>
      </c>
      <c r="G840" s="306">
        <f t="shared" ca="1" si="388"/>
        <v>10.914722767621413</v>
      </c>
      <c r="H840" s="307">
        <f t="shared" ca="1" si="389"/>
        <v>-119.95999819623334</v>
      </c>
      <c r="I840" s="304">
        <f t="shared" ca="1" si="390"/>
        <v>120.45552017377344</v>
      </c>
      <c r="J840" s="306">
        <f t="shared" ca="1" si="391"/>
        <v>770.52896740167785</v>
      </c>
      <c r="K840" s="307">
        <f t="shared" ca="1" si="392"/>
        <v>-12.792739082603577</v>
      </c>
      <c r="L840" s="304">
        <f t="shared" ca="1" si="377"/>
        <v>770.63515607473516</v>
      </c>
      <c r="M840" s="306">
        <f t="shared" ca="1" si="393"/>
        <v>-1.4800598111192331</v>
      </c>
      <c r="N840" s="304">
        <f t="shared" ca="1" si="394"/>
        <v>-84.801180604061855</v>
      </c>
      <c r="P840" s="310">
        <f t="shared" ca="1" si="395"/>
        <v>23</v>
      </c>
      <c r="Q840" s="304">
        <f t="shared" ca="1" si="396"/>
        <v>0</v>
      </c>
      <c r="R840" s="306">
        <f t="shared" ca="1" si="397"/>
        <v>0</v>
      </c>
      <c r="S840" s="307">
        <f t="shared" ca="1" si="398"/>
        <v>7.4499999999999984</v>
      </c>
      <c r="T840" s="304">
        <f t="shared" ca="1" si="378"/>
        <v>73.084499999999991</v>
      </c>
      <c r="U840" s="311">
        <f t="shared" ca="1" si="379"/>
        <v>0</v>
      </c>
      <c r="V840" s="306">
        <f t="shared" ca="1" si="380"/>
        <v>1.2265681135610011</v>
      </c>
      <c r="W840" s="304">
        <f t="shared" ca="1" si="381"/>
        <v>58.412915226065543</v>
      </c>
      <c r="Y840" s="314" t="str">
        <f t="shared" ca="1" si="399"/>
        <v/>
      </c>
      <c r="Z840" s="315" t="str">
        <f t="shared" ca="1" si="400"/>
        <v/>
      </c>
      <c r="AA840" s="316" t="str">
        <f t="shared" ca="1" si="401"/>
        <v/>
      </c>
      <c r="AC840" s="310" t="e">
        <f t="shared" ca="1" si="402"/>
        <v>#N/A</v>
      </c>
      <c r="AD840" s="323" t="e">
        <f t="shared" ca="1" si="403"/>
        <v>#N/A</v>
      </c>
      <c r="AE840" s="324" t="e">
        <f t="shared" ca="1" si="382"/>
        <v>#N/A</v>
      </c>
      <c r="AG840" s="306">
        <f t="shared" ca="1" si="404"/>
        <v>1.9290183691186806</v>
      </c>
      <c r="AH840" s="304">
        <f t="shared" ca="1" si="405"/>
        <v>-7.8406252436547073</v>
      </c>
    </row>
    <row r="841" spans="1:34" x14ac:dyDescent="0.2">
      <c r="A841" s="347">
        <f t="shared" ca="1" si="383"/>
        <v>1E-4</v>
      </c>
      <c r="B841" s="304">
        <f t="shared" ca="1" si="384"/>
        <v>34.531200000001256</v>
      </c>
      <c r="D841" s="306">
        <f t="shared" ca="1" si="385"/>
        <v>-0.71045832928863073</v>
      </c>
      <c r="E841" s="307">
        <f t="shared" ca="1" si="386"/>
        <v>-2.0015946273240974</v>
      </c>
      <c r="F841" s="304">
        <f t="shared" ca="1" si="387"/>
        <v>2.1239425815657738</v>
      </c>
      <c r="G841" s="306">
        <f t="shared" ca="1" si="388"/>
        <v>10.914651721788484</v>
      </c>
      <c r="H841" s="307">
        <f t="shared" ca="1" si="389"/>
        <v>-119.96019835569608</v>
      </c>
      <c r="I841" s="304">
        <f t="shared" ca="1" si="390"/>
        <v>120.45571307225693</v>
      </c>
      <c r="J841" s="306">
        <f t="shared" ca="1" si="391"/>
        <v>770.52896740167785</v>
      </c>
      <c r="K841" s="307">
        <f t="shared" ca="1" si="392"/>
        <v>-12.804735092431173</v>
      </c>
      <c r="L841" s="304">
        <f t="shared" ca="1" si="377"/>
        <v>770.63535530488298</v>
      </c>
      <c r="M841" s="306">
        <f t="shared" ca="1" si="393"/>
        <v>-1.4800605490703702</v>
      </c>
      <c r="N841" s="304">
        <f t="shared" ca="1" si="394"/>
        <v>-84.801222885547489</v>
      </c>
      <c r="P841" s="310">
        <f t="shared" ca="1" si="395"/>
        <v>23</v>
      </c>
      <c r="Q841" s="304">
        <f t="shared" ca="1" si="396"/>
        <v>0</v>
      </c>
      <c r="R841" s="306">
        <f t="shared" ca="1" si="397"/>
        <v>0</v>
      </c>
      <c r="S841" s="307">
        <f t="shared" ca="1" si="398"/>
        <v>7.4499999999999984</v>
      </c>
      <c r="T841" s="304">
        <f t="shared" ca="1" si="378"/>
        <v>73.084499999999991</v>
      </c>
      <c r="U841" s="311">
        <f t="shared" ca="1" si="379"/>
        <v>0</v>
      </c>
      <c r="V841" s="306">
        <f t="shared" ca="1" si="380"/>
        <v>1.2265695849548006</v>
      </c>
      <c r="W841" s="304">
        <f t="shared" ca="1" si="381"/>
        <v>58.413172384568831</v>
      </c>
      <c r="Y841" s="314" t="str">
        <f t="shared" ca="1" si="399"/>
        <v/>
      </c>
      <c r="Z841" s="315" t="str">
        <f t="shared" ca="1" si="400"/>
        <v/>
      </c>
      <c r="AA841" s="316" t="str">
        <f t="shared" ca="1" si="401"/>
        <v/>
      </c>
      <c r="AC841" s="310" t="e">
        <f t="shared" ca="1" si="402"/>
        <v>#N/A</v>
      </c>
      <c r="AD841" s="323" t="e">
        <f t="shared" ca="1" si="403"/>
        <v>#N/A</v>
      </c>
      <c r="AE841" s="324" t="e">
        <f t="shared" ca="1" si="382"/>
        <v>#N/A</v>
      </c>
      <c r="AG841" s="306">
        <f t="shared" ca="1" si="404"/>
        <v>1.9289845068623679</v>
      </c>
      <c r="AH841" s="304">
        <f t="shared" ca="1" si="405"/>
        <v>-7.8406597618879941</v>
      </c>
    </row>
    <row r="842" spans="1:34" x14ac:dyDescent="0.2">
      <c r="A842" s="347">
        <f t="shared" ca="1" si="383"/>
        <v>1E-4</v>
      </c>
      <c r="B842" s="304">
        <f t="shared" ca="1" si="384"/>
        <v>34.531300000001259</v>
      </c>
      <c r="D842" s="306">
        <f t="shared" ca="1" si="385"/>
        <v>-0.71045569478125992</v>
      </c>
      <c r="E842" s="307">
        <f t="shared" ca="1" si="386"/>
        <v>-2.001559727118023</v>
      </c>
      <c r="F842" s="304">
        <f t="shared" ca="1" si="387"/>
        <v>2.1239088105349291</v>
      </c>
      <c r="G842" s="306">
        <f t="shared" ca="1" si="388"/>
        <v>10.914580676219005</v>
      </c>
      <c r="H842" s="307">
        <f t="shared" ca="1" si="389"/>
        <v>-119.96039851166879</v>
      </c>
      <c r="I842" s="304">
        <f t="shared" ca="1" si="390"/>
        <v>120.4559059673542</v>
      </c>
      <c r="J842" s="306">
        <f t="shared" ca="1" si="391"/>
        <v>770.52896740167785</v>
      </c>
      <c r="K842" s="307">
        <f t="shared" ca="1" si="392"/>
        <v>-12.816731122274541</v>
      </c>
      <c r="L842" s="304">
        <f t="shared" ca="1" si="377"/>
        <v>770.63555472204666</v>
      </c>
      <c r="M842" s="306">
        <f t="shared" ca="1" si="393"/>
        <v>-1.4800612870143404</v>
      </c>
      <c r="N842" s="304">
        <f t="shared" ca="1" si="394"/>
        <v>-84.8012651666225</v>
      </c>
      <c r="P842" s="310">
        <f t="shared" ca="1" si="395"/>
        <v>23</v>
      </c>
      <c r="Q842" s="304">
        <f t="shared" ca="1" si="396"/>
        <v>0</v>
      </c>
      <c r="R842" s="306">
        <f t="shared" ca="1" si="397"/>
        <v>0</v>
      </c>
      <c r="S842" s="307">
        <f t="shared" ca="1" si="398"/>
        <v>7.4499999999999984</v>
      </c>
      <c r="T842" s="304">
        <f t="shared" ca="1" si="378"/>
        <v>73.084499999999991</v>
      </c>
      <c r="U842" s="311">
        <f t="shared" ca="1" si="379"/>
        <v>0</v>
      </c>
      <c r="V842" s="306">
        <f t="shared" ca="1" si="380"/>
        <v>1.2265710563528214</v>
      </c>
      <c r="W842" s="304">
        <f t="shared" ca="1" si="381"/>
        <v>58.413429540737411</v>
      </c>
      <c r="Y842" s="314" t="str">
        <f t="shared" ca="1" si="399"/>
        <v/>
      </c>
      <c r="Z842" s="315" t="str">
        <f t="shared" ca="1" si="400"/>
        <v/>
      </c>
      <c r="AA842" s="316" t="str">
        <f t="shared" ca="1" si="401"/>
        <v/>
      </c>
      <c r="AC842" s="310" t="e">
        <f t="shared" ca="1" si="402"/>
        <v>#N/A</v>
      </c>
      <c r="AD842" s="323" t="e">
        <f t="shared" ca="1" si="403"/>
        <v>#N/A</v>
      </c>
      <c r="AE842" s="324" t="e">
        <f t="shared" ca="1" si="382"/>
        <v>#N/A</v>
      </c>
      <c r="AG842" s="306">
        <f t="shared" ca="1" si="404"/>
        <v>1.9289506449077436</v>
      </c>
      <c r="AH842" s="304">
        <f t="shared" ca="1" si="405"/>
        <v>-7.8406942798078987</v>
      </c>
    </row>
    <row r="843" spans="1:34" x14ac:dyDescent="0.2">
      <c r="A843" s="347">
        <f t="shared" ca="1" si="383"/>
        <v>1E-4</v>
      </c>
      <c r="B843" s="304">
        <f t="shared" ca="1" si="384"/>
        <v>34.531400000001263</v>
      </c>
      <c r="D843" s="306">
        <f t="shared" ca="1" si="385"/>
        <v>-0.71045306025033372</v>
      </c>
      <c r="E843" s="307">
        <f t="shared" ca="1" si="386"/>
        <v>-2.0015248272287698</v>
      </c>
      <c r="F843" s="304">
        <f t="shared" ca="1" si="387"/>
        <v>2.1238750398345525</v>
      </c>
      <c r="G843" s="306">
        <f t="shared" ca="1" si="388"/>
        <v>10.914509630912979</v>
      </c>
      <c r="H843" s="307">
        <f t="shared" ca="1" si="389"/>
        <v>-119.9605986641515</v>
      </c>
      <c r="I843" s="304">
        <f t="shared" ca="1" si="390"/>
        <v>120.45609885906534</v>
      </c>
      <c r="J843" s="306">
        <f t="shared" ca="1" si="391"/>
        <v>770.52896740167785</v>
      </c>
      <c r="K843" s="307">
        <f t="shared" ca="1" si="392"/>
        <v>-12.828727172133332</v>
      </c>
      <c r="L843" s="304">
        <f t="shared" ca="1" si="377"/>
        <v>770.63575432622702</v>
      </c>
      <c r="M843" s="306">
        <f t="shared" ca="1" si="393"/>
        <v>-1.4800620249511436</v>
      </c>
      <c r="N843" s="304">
        <f t="shared" ca="1" si="394"/>
        <v>-84.801307447286874</v>
      </c>
      <c r="P843" s="310">
        <f t="shared" ca="1" si="395"/>
        <v>23</v>
      </c>
      <c r="Q843" s="304">
        <f t="shared" ca="1" si="396"/>
        <v>0</v>
      </c>
      <c r="R843" s="306">
        <f t="shared" ca="1" si="397"/>
        <v>0</v>
      </c>
      <c r="S843" s="307">
        <f t="shared" ca="1" si="398"/>
        <v>7.4499999999999984</v>
      </c>
      <c r="T843" s="304">
        <f t="shared" ca="1" si="378"/>
        <v>73.084499999999991</v>
      </c>
      <c r="U843" s="311">
        <f t="shared" ca="1" si="379"/>
        <v>0</v>
      </c>
      <c r="V843" s="306">
        <f t="shared" ca="1" si="380"/>
        <v>1.2265725277550636</v>
      </c>
      <c r="W843" s="304">
        <f t="shared" ca="1" si="381"/>
        <v>58.413686694571354</v>
      </c>
      <c r="Y843" s="314" t="str">
        <f t="shared" ca="1" si="399"/>
        <v/>
      </c>
      <c r="Z843" s="315" t="str">
        <f t="shared" ca="1" si="400"/>
        <v/>
      </c>
      <c r="AA843" s="316" t="str">
        <f t="shared" ca="1" si="401"/>
        <v/>
      </c>
      <c r="AC843" s="310" t="e">
        <f t="shared" ca="1" si="402"/>
        <v>#N/A</v>
      </c>
      <c r="AD843" s="323" t="e">
        <f t="shared" ca="1" si="403"/>
        <v>#N/A</v>
      </c>
      <c r="AE843" s="324" t="e">
        <f t="shared" ca="1" si="382"/>
        <v>#N/A</v>
      </c>
      <c r="AG843" s="306">
        <f t="shared" ca="1" si="404"/>
        <v>1.9289167832548166</v>
      </c>
      <c r="AH843" s="304">
        <f t="shared" ca="1" si="405"/>
        <v>-7.8407287974144193</v>
      </c>
    </row>
    <row r="844" spans="1:34" x14ac:dyDescent="0.2">
      <c r="A844" s="347">
        <f t="shared" ca="1" si="383"/>
        <v>1E-4</v>
      </c>
      <c r="B844" s="304">
        <f t="shared" ca="1" si="384"/>
        <v>34.531500000001266</v>
      </c>
      <c r="D844" s="306">
        <f t="shared" ca="1" si="385"/>
        <v>-0.71045042569585448</v>
      </c>
      <c r="E844" s="307">
        <f t="shared" ca="1" si="386"/>
        <v>-2.0014899276563298</v>
      </c>
      <c r="F844" s="304">
        <f t="shared" ca="1" si="387"/>
        <v>2.1238412694646374</v>
      </c>
      <c r="G844" s="306">
        <f t="shared" ca="1" si="388"/>
        <v>10.91443858587041</v>
      </c>
      <c r="H844" s="307">
        <f t="shared" ca="1" si="389"/>
        <v>-119.96079881314427</v>
      </c>
      <c r="I844" s="304">
        <f t="shared" ca="1" si="390"/>
        <v>120.45629174739031</v>
      </c>
      <c r="J844" s="306">
        <f t="shared" ca="1" si="391"/>
        <v>770.52896740167785</v>
      </c>
      <c r="K844" s="307">
        <f t="shared" ca="1" si="392"/>
        <v>-12.840723242007197</v>
      </c>
      <c r="L844" s="304">
        <f t="shared" ca="1" si="377"/>
        <v>770.63595411742483</v>
      </c>
      <c r="M844" s="306">
        <f t="shared" ca="1" si="393"/>
        <v>-1.4800627628807801</v>
      </c>
      <c r="N844" s="304">
        <f t="shared" ca="1" si="394"/>
        <v>-84.801349727540625</v>
      </c>
      <c r="P844" s="310">
        <f t="shared" ca="1" si="395"/>
        <v>23</v>
      </c>
      <c r="Q844" s="304">
        <f t="shared" ca="1" si="396"/>
        <v>0</v>
      </c>
      <c r="R844" s="306">
        <f t="shared" ca="1" si="397"/>
        <v>0</v>
      </c>
      <c r="S844" s="307">
        <f t="shared" ca="1" si="398"/>
        <v>7.4499999999999984</v>
      </c>
      <c r="T844" s="304">
        <f t="shared" ca="1" si="378"/>
        <v>73.084499999999991</v>
      </c>
      <c r="U844" s="311">
        <f t="shared" ca="1" si="379"/>
        <v>0</v>
      </c>
      <c r="V844" s="306">
        <f t="shared" ca="1" si="380"/>
        <v>1.2265739991615268</v>
      </c>
      <c r="W844" s="304">
        <f t="shared" ca="1" si="381"/>
        <v>58.413943846070573</v>
      </c>
      <c r="Y844" s="314" t="str">
        <f t="shared" ca="1" si="399"/>
        <v/>
      </c>
      <c r="Z844" s="315" t="str">
        <f t="shared" ca="1" si="400"/>
        <v/>
      </c>
      <c r="AA844" s="316" t="str">
        <f t="shared" ca="1" si="401"/>
        <v/>
      </c>
      <c r="AC844" s="310" t="e">
        <f t="shared" ca="1" si="402"/>
        <v>#N/A</v>
      </c>
      <c r="AD844" s="323" t="e">
        <f t="shared" ca="1" si="403"/>
        <v>#N/A</v>
      </c>
      <c r="AE844" s="324" t="e">
        <f t="shared" ca="1" si="382"/>
        <v>#N/A</v>
      </c>
      <c r="AG844" s="306">
        <f t="shared" ca="1" si="404"/>
        <v>1.9288829219035684</v>
      </c>
      <c r="AH844" s="304">
        <f t="shared" ca="1" si="405"/>
        <v>-7.8407633147075657</v>
      </c>
    </row>
    <row r="845" spans="1:34" x14ac:dyDescent="0.2">
      <c r="A845" s="347">
        <f t="shared" ca="1" si="383"/>
        <v>1E-4</v>
      </c>
      <c r="B845" s="304">
        <f t="shared" ca="1" si="384"/>
        <v>34.531600000001269</v>
      </c>
      <c r="D845" s="306">
        <f t="shared" ca="1" si="385"/>
        <v>-0.71044779111782064</v>
      </c>
      <c r="E845" s="307">
        <f t="shared" ca="1" si="386"/>
        <v>-2.0014550284007138</v>
      </c>
      <c r="F845" s="304">
        <f t="shared" ca="1" si="387"/>
        <v>2.1238074994251934</v>
      </c>
      <c r="G845" s="306">
        <f t="shared" ca="1" si="388"/>
        <v>10.914367541091298</v>
      </c>
      <c r="H845" s="307">
        <f t="shared" ca="1" si="389"/>
        <v>-119.96099895864711</v>
      </c>
      <c r="I845" s="304">
        <f t="shared" ca="1" si="390"/>
        <v>120.45648463232921</v>
      </c>
      <c r="J845" s="306">
        <f t="shared" ca="1" si="391"/>
        <v>770.52896740167785</v>
      </c>
      <c r="K845" s="307">
        <f t="shared" ca="1" si="392"/>
        <v>-12.852719331895786</v>
      </c>
      <c r="L845" s="304">
        <f t="shared" ca="1" si="377"/>
        <v>770.6361540956409</v>
      </c>
      <c r="M845" s="306">
        <f t="shared" ca="1" si="393"/>
        <v>-1.4800635008032501</v>
      </c>
      <c r="N845" s="304">
        <f t="shared" ca="1" si="394"/>
        <v>-84.801392007383754</v>
      </c>
      <c r="P845" s="310">
        <f t="shared" ca="1" si="395"/>
        <v>23</v>
      </c>
      <c r="Q845" s="304">
        <f t="shared" ca="1" si="396"/>
        <v>0</v>
      </c>
      <c r="R845" s="306">
        <f t="shared" ca="1" si="397"/>
        <v>0</v>
      </c>
      <c r="S845" s="307">
        <f t="shared" ca="1" si="398"/>
        <v>7.4499999999999984</v>
      </c>
      <c r="T845" s="304">
        <f t="shared" ca="1" si="378"/>
        <v>73.084499999999991</v>
      </c>
      <c r="U845" s="311">
        <f t="shared" ca="1" si="379"/>
        <v>0</v>
      </c>
      <c r="V845" s="306">
        <f t="shared" ca="1" si="380"/>
        <v>1.2265754705722114</v>
      </c>
      <c r="W845" s="304">
        <f t="shared" ca="1" si="381"/>
        <v>58.414200995235163</v>
      </c>
      <c r="Y845" s="314" t="str">
        <f t="shared" ca="1" si="399"/>
        <v/>
      </c>
      <c r="Z845" s="315" t="str">
        <f t="shared" ca="1" si="400"/>
        <v/>
      </c>
      <c r="AA845" s="316" t="str">
        <f t="shared" ca="1" si="401"/>
        <v/>
      </c>
      <c r="AC845" s="310" t="e">
        <f t="shared" ca="1" si="402"/>
        <v>#N/A</v>
      </c>
      <c r="AD845" s="323" t="e">
        <f t="shared" ca="1" si="403"/>
        <v>#N/A</v>
      </c>
      <c r="AE845" s="324" t="e">
        <f t="shared" ca="1" si="382"/>
        <v>#N/A</v>
      </c>
      <c r="AG845" s="306">
        <f t="shared" ca="1" si="404"/>
        <v>1.9288490608540183</v>
      </c>
      <c r="AH845" s="304">
        <f t="shared" ca="1" si="405"/>
        <v>-7.8407978316873272</v>
      </c>
    </row>
    <row r="846" spans="1:34" x14ac:dyDescent="0.2">
      <c r="A846" s="347">
        <f t="shared" ca="1" si="383"/>
        <v>1E-4</v>
      </c>
      <c r="B846" s="304">
        <f t="shared" ca="1" si="384"/>
        <v>34.531700000001273</v>
      </c>
      <c r="D846" s="306">
        <f t="shared" ca="1" si="385"/>
        <v>-0.71044515651623308</v>
      </c>
      <c r="E846" s="307">
        <f t="shared" ca="1" si="386"/>
        <v>-2.0014201294619109</v>
      </c>
      <c r="F846" s="304">
        <f t="shared" ca="1" si="387"/>
        <v>2.1237737297162114</v>
      </c>
      <c r="G846" s="306">
        <f t="shared" ca="1" si="388"/>
        <v>10.914296496575647</v>
      </c>
      <c r="H846" s="307">
        <f t="shared" ca="1" si="389"/>
        <v>-119.96119910066005</v>
      </c>
      <c r="I846" s="304">
        <f t="shared" ca="1" si="390"/>
        <v>120.456677513882</v>
      </c>
      <c r="J846" s="306">
        <f t="shared" ca="1" si="391"/>
        <v>770.52896740167785</v>
      </c>
      <c r="K846" s="307">
        <f t="shared" ca="1" si="392"/>
        <v>-12.864715441798751</v>
      </c>
      <c r="L846" s="304">
        <f t="shared" ca="1" si="377"/>
        <v>770.63635426087603</v>
      </c>
      <c r="M846" s="306">
        <f t="shared" ca="1" si="393"/>
        <v>-1.4800642387185534</v>
      </c>
      <c r="N846" s="304">
        <f t="shared" ca="1" si="394"/>
        <v>-84.801434286816274</v>
      </c>
      <c r="P846" s="310">
        <f t="shared" ca="1" si="395"/>
        <v>23</v>
      </c>
      <c r="Q846" s="304">
        <f t="shared" ca="1" si="396"/>
        <v>0</v>
      </c>
      <c r="R846" s="306">
        <f t="shared" ca="1" si="397"/>
        <v>0</v>
      </c>
      <c r="S846" s="307">
        <f t="shared" ca="1" si="398"/>
        <v>7.4499999999999984</v>
      </c>
      <c r="T846" s="304">
        <f t="shared" ca="1" si="378"/>
        <v>73.084499999999991</v>
      </c>
      <c r="U846" s="311">
        <f t="shared" ca="1" si="379"/>
        <v>0</v>
      </c>
      <c r="V846" s="306">
        <f t="shared" ca="1" si="380"/>
        <v>1.2265769419871173</v>
      </c>
      <c r="W846" s="304">
        <f t="shared" ca="1" si="381"/>
        <v>58.414458142065044</v>
      </c>
      <c r="Y846" s="314" t="str">
        <f t="shared" ca="1" si="399"/>
        <v/>
      </c>
      <c r="Z846" s="315" t="str">
        <f t="shared" ca="1" si="400"/>
        <v/>
      </c>
      <c r="AA846" s="316" t="str">
        <f t="shared" ca="1" si="401"/>
        <v/>
      </c>
      <c r="AC846" s="310" t="e">
        <f t="shared" ca="1" si="402"/>
        <v>#N/A</v>
      </c>
      <c r="AD846" s="323" t="e">
        <f t="shared" ca="1" si="403"/>
        <v>#N/A</v>
      </c>
      <c r="AE846" s="324" t="e">
        <f t="shared" ca="1" si="382"/>
        <v>#N/A</v>
      </c>
      <c r="AG846" s="306">
        <f t="shared" ca="1" si="404"/>
        <v>1.9288152001061505</v>
      </c>
      <c r="AH846" s="304">
        <f t="shared" ca="1" si="405"/>
        <v>-7.8408323483537146</v>
      </c>
    </row>
    <row r="847" spans="1:34" x14ac:dyDescent="0.2">
      <c r="A847" s="347">
        <f t="shared" ca="1" si="383"/>
        <v>1E-4</v>
      </c>
      <c r="B847" s="304">
        <f t="shared" ca="1" si="384"/>
        <v>34.531800000001276</v>
      </c>
      <c r="D847" s="306">
        <f t="shared" ca="1" si="385"/>
        <v>-0.71044252189109425</v>
      </c>
      <c r="E847" s="307">
        <f t="shared" ca="1" si="386"/>
        <v>-2.0013852308399294</v>
      </c>
      <c r="F847" s="304">
        <f t="shared" ca="1" si="387"/>
        <v>2.1237399603376996</v>
      </c>
      <c r="G847" s="306">
        <f t="shared" ca="1" si="388"/>
        <v>10.914225452323457</v>
      </c>
      <c r="H847" s="307">
        <f t="shared" ca="1" si="389"/>
        <v>-119.96139923918314</v>
      </c>
      <c r="I847" s="304">
        <f t="shared" ca="1" si="390"/>
        <v>120.45687039204877</v>
      </c>
      <c r="J847" s="306">
        <f t="shared" ca="1" si="391"/>
        <v>770.52896740167785</v>
      </c>
      <c r="K847" s="307">
        <f t="shared" ca="1" si="392"/>
        <v>-12.876711571715743</v>
      </c>
      <c r="L847" s="304">
        <f t="shared" ca="1" si="377"/>
        <v>770.6365546131309</v>
      </c>
      <c r="M847" s="306">
        <f t="shared" ca="1" si="393"/>
        <v>-1.4800649766266905</v>
      </c>
      <c r="N847" s="304">
        <f t="shared" ca="1" si="394"/>
        <v>-84.8014765658382</v>
      </c>
      <c r="P847" s="310">
        <f t="shared" ca="1" si="395"/>
        <v>23</v>
      </c>
      <c r="Q847" s="304">
        <f t="shared" ca="1" si="396"/>
        <v>0</v>
      </c>
      <c r="R847" s="306">
        <f t="shared" ca="1" si="397"/>
        <v>0</v>
      </c>
      <c r="S847" s="307">
        <f t="shared" ca="1" si="398"/>
        <v>7.4499999999999984</v>
      </c>
      <c r="T847" s="304">
        <f t="shared" ca="1" si="378"/>
        <v>73.084499999999991</v>
      </c>
      <c r="U847" s="311">
        <f t="shared" ca="1" si="379"/>
        <v>0</v>
      </c>
      <c r="V847" s="306">
        <f t="shared" ca="1" si="380"/>
        <v>1.2265784134062439</v>
      </c>
      <c r="W847" s="304">
        <f t="shared" ca="1" si="381"/>
        <v>58.414715286560266</v>
      </c>
      <c r="Y847" s="314" t="str">
        <f t="shared" ca="1" si="399"/>
        <v/>
      </c>
      <c r="Z847" s="315" t="str">
        <f t="shared" ca="1" si="400"/>
        <v/>
      </c>
      <c r="AA847" s="316" t="str">
        <f t="shared" ca="1" si="401"/>
        <v/>
      </c>
      <c r="AC847" s="310" t="e">
        <f t="shared" ca="1" si="402"/>
        <v>#N/A</v>
      </c>
      <c r="AD847" s="323" t="e">
        <f t="shared" ca="1" si="403"/>
        <v>#N/A</v>
      </c>
      <c r="AE847" s="324" t="e">
        <f t="shared" ca="1" si="382"/>
        <v>#N/A</v>
      </c>
      <c r="AG847" s="306">
        <f t="shared" ca="1" si="404"/>
        <v>1.9287813396599756</v>
      </c>
      <c r="AH847" s="304">
        <f t="shared" ca="1" si="405"/>
        <v>-7.8408668647067188</v>
      </c>
    </row>
    <row r="848" spans="1:34" x14ac:dyDescent="0.2">
      <c r="A848" s="347">
        <f t="shared" ca="1" si="383"/>
        <v>1E-4</v>
      </c>
      <c r="B848" s="304">
        <f t="shared" ca="1" si="384"/>
        <v>34.531900000001279</v>
      </c>
      <c r="D848" s="306">
        <f t="shared" ca="1" si="385"/>
        <v>-0.71043988724240248</v>
      </c>
      <c r="E848" s="307">
        <f t="shared" ca="1" si="386"/>
        <v>-2.0013503325347628</v>
      </c>
      <c r="F848" s="304">
        <f t="shared" ca="1" si="387"/>
        <v>2.1237061912896529</v>
      </c>
      <c r="G848" s="306">
        <f t="shared" ca="1" si="388"/>
        <v>10.914154408334733</v>
      </c>
      <c r="H848" s="307">
        <f t="shared" ca="1" si="389"/>
        <v>-119.96159937421639</v>
      </c>
      <c r="I848" s="304">
        <f t="shared" ca="1" si="390"/>
        <v>120.45706326682951</v>
      </c>
      <c r="J848" s="306">
        <f t="shared" ca="1" si="391"/>
        <v>770.52896740167785</v>
      </c>
      <c r="K848" s="307">
        <f t="shared" ca="1" si="392"/>
        <v>-12.888707721646414</v>
      </c>
      <c r="L848" s="304">
        <f t="shared" ca="1" si="377"/>
        <v>770.63675515240641</v>
      </c>
      <c r="M848" s="306">
        <f t="shared" ca="1" si="393"/>
        <v>-1.480065714527661</v>
      </c>
      <c r="N848" s="304">
        <f t="shared" ca="1" si="394"/>
        <v>-84.801518844449504</v>
      </c>
      <c r="P848" s="310">
        <f t="shared" ca="1" si="395"/>
        <v>23</v>
      </c>
      <c r="Q848" s="304">
        <f t="shared" ca="1" si="396"/>
        <v>0</v>
      </c>
      <c r="R848" s="306">
        <f t="shared" ca="1" si="397"/>
        <v>0</v>
      </c>
      <c r="S848" s="307">
        <f t="shared" ca="1" si="398"/>
        <v>7.4499999999999984</v>
      </c>
      <c r="T848" s="304">
        <f t="shared" ca="1" si="378"/>
        <v>73.084499999999991</v>
      </c>
      <c r="U848" s="311">
        <f t="shared" ca="1" si="379"/>
        <v>0</v>
      </c>
      <c r="V848" s="306">
        <f t="shared" ca="1" si="380"/>
        <v>1.2265798848295919</v>
      </c>
      <c r="W848" s="304">
        <f t="shared" ca="1" si="381"/>
        <v>58.414972428720802</v>
      </c>
      <c r="Y848" s="314" t="str">
        <f t="shared" ca="1" si="399"/>
        <v/>
      </c>
      <c r="Z848" s="315" t="str">
        <f t="shared" ca="1" si="400"/>
        <v/>
      </c>
      <c r="AA848" s="316" t="str">
        <f t="shared" ca="1" si="401"/>
        <v/>
      </c>
      <c r="AC848" s="310" t="e">
        <f t="shared" ca="1" si="402"/>
        <v>#N/A</v>
      </c>
      <c r="AD848" s="323" t="e">
        <f t="shared" ca="1" si="403"/>
        <v>#N/A</v>
      </c>
      <c r="AE848" s="324" t="e">
        <f t="shared" ca="1" si="382"/>
        <v>#N/A</v>
      </c>
      <c r="AG848" s="306">
        <f t="shared" ca="1" si="404"/>
        <v>1.9287474795154891</v>
      </c>
      <c r="AH848" s="304">
        <f t="shared" ca="1" si="405"/>
        <v>-7.8409013807463461</v>
      </c>
    </row>
    <row r="849" spans="1:34" x14ac:dyDescent="0.2">
      <c r="A849" s="347">
        <f t="shared" ca="1" si="383"/>
        <v>1E-4</v>
      </c>
      <c r="B849" s="304">
        <f t="shared" ca="1" si="384"/>
        <v>34.532000000001283</v>
      </c>
      <c r="D849" s="306">
        <f t="shared" ca="1" si="385"/>
        <v>-0.71043725257016066</v>
      </c>
      <c r="E849" s="307">
        <f t="shared" ca="1" si="386"/>
        <v>-2.0013154345464175</v>
      </c>
      <c r="F849" s="304">
        <f t="shared" ca="1" si="387"/>
        <v>2.1236724225720769</v>
      </c>
      <c r="G849" s="306">
        <f t="shared" ca="1" si="388"/>
        <v>10.914083364609477</v>
      </c>
      <c r="H849" s="307">
        <f t="shared" ca="1" si="389"/>
        <v>-119.96179950575984</v>
      </c>
      <c r="I849" s="304">
        <f t="shared" ca="1" si="390"/>
        <v>120.45725613822425</v>
      </c>
      <c r="J849" s="306">
        <f t="shared" ca="1" si="391"/>
        <v>770.52896740167785</v>
      </c>
      <c r="K849" s="307">
        <f t="shared" ca="1" si="392"/>
        <v>-12.900703891590412</v>
      </c>
      <c r="L849" s="304">
        <f t="shared" ca="1" si="377"/>
        <v>770.63695587870325</v>
      </c>
      <c r="M849" s="306">
        <f t="shared" ca="1" si="393"/>
        <v>-1.4800664524214655</v>
      </c>
      <c r="N849" s="304">
        <f t="shared" ca="1" si="394"/>
        <v>-84.801561122650241</v>
      </c>
      <c r="P849" s="310">
        <f t="shared" ca="1" si="395"/>
        <v>23</v>
      </c>
      <c r="Q849" s="304">
        <f t="shared" ca="1" si="396"/>
        <v>0</v>
      </c>
      <c r="R849" s="306">
        <f t="shared" ca="1" si="397"/>
        <v>0</v>
      </c>
      <c r="S849" s="307">
        <f t="shared" ca="1" si="398"/>
        <v>7.4499999999999984</v>
      </c>
      <c r="T849" s="304">
        <f t="shared" ca="1" si="378"/>
        <v>73.084499999999991</v>
      </c>
      <c r="U849" s="311">
        <f t="shared" ca="1" si="379"/>
        <v>0</v>
      </c>
      <c r="V849" s="306">
        <f t="shared" ca="1" si="380"/>
        <v>1.226581356257161</v>
      </c>
      <c r="W849" s="304">
        <f t="shared" ca="1" si="381"/>
        <v>58.415229568546685</v>
      </c>
      <c r="Y849" s="314" t="str">
        <f t="shared" ca="1" si="399"/>
        <v/>
      </c>
      <c r="Z849" s="315" t="str">
        <f t="shared" ca="1" si="400"/>
        <v/>
      </c>
      <c r="AA849" s="316" t="str">
        <f t="shared" ca="1" si="401"/>
        <v/>
      </c>
      <c r="AC849" s="310" t="e">
        <f t="shared" ca="1" si="402"/>
        <v>#N/A</v>
      </c>
      <c r="AD849" s="323" t="e">
        <f t="shared" ca="1" si="403"/>
        <v>#N/A</v>
      </c>
      <c r="AE849" s="324" t="e">
        <f t="shared" ca="1" si="382"/>
        <v>#N/A</v>
      </c>
      <c r="AG849" s="306">
        <f t="shared" ca="1" si="404"/>
        <v>1.9287136196726937</v>
      </c>
      <c r="AH849" s="304">
        <f t="shared" ca="1" si="405"/>
        <v>-7.8409358964725921</v>
      </c>
    </row>
    <row r="850" spans="1:34" x14ac:dyDescent="0.2">
      <c r="A850" s="347">
        <f t="shared" ca="1" si="383"/>
        <v>1E-4</v>
      </c>
      <c r="B850" s="304">
        <f t="shared" ca="1" si="384"/>
        <v>34.532100000001286</v>
      </c>
      <c r="D850" s="306">
        <f t="shared" ca="1" si="385"/>
        <v>-0.71043461787436735</v>
      </c>
      <c r="E850" s="307">
        <f t="shared" ca="1" si="386"/>
        <v>-2.0012805368748854</v>
      </c>
      <c r="F850" s="304">
        <f t="shared" ca="1" si="387"/>
        <v>2.1236386541849646</v>
      </c>
      <c r="G850" s="306">
        <f t="shared" ca="1" si="388"/>
        <v>10.914012321147689</v>
      </c>
      <c r="H850" s="307">
        <f t="shared" ca="1" si="389"/>
        <v>-119.96199963381353</v>
      </c>
      <c r="I850" s="304">
        <f t="shared" ca="1" si="390"/>
        <v>120.45744900623308</v>
      </c>
      <c r="J850" s="306">
        <f t="shared" ca="1" si="391"/>
        <v>770.52896740167785</v>
      </c>
      <c r="K850" s="307">
        <f t="shared" ca="1" si="392"/>
        <v>-12.91270008154739</v>
      </c>
      <c r="L850" s="304">
        <f t="shared" ca="1" si="377"/>
        <v>770.63715679202232</v>
      </c>
      <c r="M850" s="306">
        <f t="shared" ca="1" si="393"/>
        <v>-1.4800671903081037</v>
      </c>
      <c r="N850" s="304">
        <f t="shared" ca="1" si="394"/>
        <v>-84.801603400440371</v>
      </c>
      <c r="P850" s="310">
        <f t="shared" ca="1" si="395"/>
        <v>23</v>
      </c>
      <c r="Q850" s="304">
        <f t="shared" ca="1" si="396"/>
        <v>0</v>
      </c>
      <c r="R850" s="306">
        <f t="shared" ca="1" si="397"/>
        <v>0</v>
      </c>
      <c r="S850" s="307">
        <f t="shared" ca="1" si="398"/>
        <v>7.4499999999999984</v>
      </c>
      <c r="T850" s="304">
        <f t="shared" ca="1" si="378"/>
        <v>73.084499999999991</v>
      </c>
      <c r="U850" s="311">
        <f t="shared" ca="1" si="379"/>
        <v>0</v>
      </c>
      <c r="V850" s="306">
        <f t="shared" ca="1" si="380"/>
        <v>1.226582827688951</v>
      </c>
      <c r="W850" s="304">
        <f t="shared" ca="1" si="381"/>
        <v>58.415486706037917</v>
      </c>
      <c r="Y850" s="314" t="str">
        <f t="shared" ca="1" si="399"/>
        <v/>
      </c>
      <c r="Z850" s="315" t="str">
        <f t="shared" ca="1" si="400"/>
        <v/>
      </c>
      <c r="AA850" s="316" t="str">
        <f t="shared" ca="1" si="401"/>
        <v/>
      </c>
      <c r="AC850" s="310" t="e">
        <f t="shared" ca="1" si="402"/>
        <v>#N/A</v>
      </c>
      <c r="AD850" s="323" t="e">
        <f t="shared" ca="1" si="403"/>
        <v>#N/A</v>
      </c>
      <c r="AE850" s="324" t="e">
        <f t="shared" ca="1" si="382"/>
        <v>#N/A</v>
      </c>
      <c r="AG850" s="306">
        <f t="shared" ca="1" si="404"/>
        <v>1.9286797601315833</v>
      </c>
      <c r="AH850" s="304">
        <f t="shared" ca="1" si="405"/>
        <v>-7.8409704118854631</v>
      </c>
    </row>
    <row r="851" spans="1:34" x14ac:dyDescent="0.2">
      <c r="A851" s="347">
        <f t="shared" ca="1" si="383"/>
        <v>1E-4</v>
      </c>
      <c r="B851" s="304">
        <f t="shared" ca="1" si="384"/>
        <v>34.532200000001289</v>
      </c>
      <c r="D851" s="306">
        <f t="shared" ca="1" si="385"/>
        <v>-0.71043198315502543</v>
      </c>
      <c r="E851" s="307">
        <f t="shared" ca="1" si="386"/>
        <v>-2.0012456395201683</v>
      </c>
      <c r="F851" s="304">
        <f t="shared" ca="1" si="387"/>
        <v>2.1236048861283185</v>
      </c>
      <c r="G851" s="306">
        <f t="shared" ca="1" si="388"/>
        <v>10.913941277949373</v>
      </c>
      <c r="H851" s="307">
        <f t="shared" ca="1" si="389"/>
        <v>-119.96219975837748</v>
      </c>
      <c r="I851" s="304">
        <f t="shared" ca="1" si="390"/>
        <v>120.45764187085595</v>
      </c>
      <c r="J851" s="306">
        <f t="shared" ca="1" si="391"/>
        <v>770.52896740167785</v>
      </c>
      <c r="K851" s="307">
        <f t="shared" ca="1" si="392"/>
        <v>-12.924696291517</v>
      </c>
      <c r="L851" s="304">
        <f t="shared" ca="1" si="377"/>
        <v>770.63735789236421</v>
      </c>
      <c r="M851" s="306">
        <f t="shared" ca="1" si="393"/>
        <v>-1.4800679281875759</v>
      </c>
      <c r="N851" s="304">
        <f t="shared" ca="1" si="394"/>
        <v>-84.801645677819906</v>
      </c>
      <c r="P851" s="310">
        <f t="shared" ca="1" si="395"/>
        <v>23</v>
      </c>
      <c r="Q851" s="304">
        <f t="shared" ca="1" si="396"/>
        <v>0</v>
      </c>
      <c r="R851" s="306">
        <f t="shared" ca="1" si="397"/>
        <v>0</v>
      </c>
      <c r="S851" s="307">
        <f t="shared" ca="1" si="398"/>
        <v>7.4499999999999984</v>
      </c>
      <c r="T851" s="304">
        <f t="shared" ca="1" si="378"/>
        <v>73.084499999999991</v>
      </c>
      <c r="U851" s="311">
        <f t="shared" ca="1" si="379"/>
        <v>0</v>
      </c>
      <c r="V851" s="306">
        <f t="shared" ca="1" si="380"/>
        <v>1.2265842991249623</v>
      </c>
      <c r="W851" s="304">
        <f t="shared" ca="1" si="381"/>
        <v>58.415743841194477</v>
      </c>
      <c r="Y851" s="314" t="str">
        <f t="shared" ca="1" si="399"/>
        <v/>
      </c>
      <c r="Z851" s="315" t="str">
        <f t="shared" ca="1" si="400"/>
        <v/>
      </c>
      <c r="AA851" s="316" t="str">
        <f t="shared" ca="1" si="401"/>
        <v/>
      </c>
      <c r="AC851" s="310" t="e">
        <f t="shared" ca="1" si="402"/>
        <v>#N/A</v>
      </c>
      <c r="AD851" s="323" t="e">
        <f t="shared" ca="1" si="403"/>
        <v>#N/A</v>
      </c>
      <c r="AE851" s="324" t="e">
        <f t="shared" ca="1" si="382"/>
        <v>#N/A</v>
      </c>
      <c r="AG851" s="306">
        <f t="shared" ca="1" si="404"/>
        <v>1.928645900892163</v>
      </c>
      <c r="AH851" s="304">
        <f t="shared" ca="1" si="405"/>
        <v>-7.8410049269849571</v>
      </c>
    </row>
    <row r="852" spans="1:34" x14ac:dyDescent="0.2">
      <c r="A852" s="347">
        <f t="shared" ca="1" si="383"/>
        <v>1E-4</v>
      </c>
      <c r="B852" s="304">
        <f t="shared" ca="1" si="384"/>
        <v>34.532300000001293</v>
      </c>
      <c r="D852" s="306">
        <f t="shared" ca="1" si="385"/>
        <v>-0.71042934841213456</v>
      </c>
      <c r="E852" s="307">
        <f t="shared" ca="1" si="386"/>
        <v>-2.0012107424822689</v>
      </c>
      <c r="F852" s="304">
        <f t="shared" ca="1" si="387"/>
        <v>2.123571118402142</v>
      </c>
      <c r="G852" s="306">
        <f t="shared" ca="1" si="388"/>
        <v>10.913870235014532</v>
      </c>
      <c r="H852" s="307">
        <f t="shared" ca="1" si="389"/>
        <v>-119.96239987945172</v>
      </c>
      <c r="I852" s="304">
        <f t="shared" ca="1" si="390"/>
        <v>120.45783473209293</v>
      </c>
      <c r="J852" s="306">
        <f t="shared" ca="1" si="391"/>
        <v>770.52896740167785</v>
      </c>
      <c r="K852" s="307">
        <f t="shared" ca="1" si="392"/>
        <v>-12.936692521498891</v>
      </c>
      <c r="L852" s="304">
        <f t="shared" ca="1" si="377"/>
        <v>770.63755917972992</v>
      </c>
      <c r="M852" s="306">
        <f t="shared" ca="1" si="393"/>
        <v>-1.4800686660598823</v>
      </c>
      <c r="N852" s="304">
        <f t="shared" ca="1" si="394"/>
        <v>-84.801687954788889</v>
      </c>
      <c r="P852" s="310">
        <f t="shared" ca="1" si="395"/>
        <v>23</v>
      </c>
      <c r="Q852" s="304">
        <f t="shared" ca="1" si="396"/>
        <v>0</v>
      </c>
      <c r="R852" s="306">
        <f t="shared" ca="1" si="397"/>
        <v>0</v>
      </c>
      <c r="S852" s="307">
        <f t="shared" ca="1" si="398"/>
        <v>7.4499999999999984</v>
      </c>
      <c r="T852" s="304">
        <f t="shared" ca="1" si="378"/>
        <v>73.084499999999991</v>
      </c>
      <c r="U852" s="311">
        <f t="shared" ca="1" si="379"/>
        <v>0</v>
      </c>
      <c r="V852" s="306">
        <f t="shared" ca="1" si="380"/>
        <v>1.2265857705651944</v>
      </c>
      <c r="W852" s="304">
        <f t="shared" ca="1" si="381"/>
        <v>58.416000974016391</v>
      </c>
      <c r="Y852" s="314" t="str">
        <f t="shared" ca="1" si="399"/>
        <v/>
      </c>
      <c r="Z852" s="315" t="str">
        <f t="shared" ca="1" si="400"/>
        <v/>
      </c>
      <c r="AA852" s="316" t="str">
        <f t="shared" ca="1" si="401"/>
        <v/>
      </c>
      <c r="AC852" s="310" t="e">
        <f t="shared" ca="1" si="402"/>
        <v>#N/A</v>
      </c>
      <c r="AD852" s="323" t="e">
        <f t="shared" ca="1" si="403"/>
        <v>#N/A</v>
      </c>
      <c r="AE852" s="324" t="e">
        <f t="shared" ca="1" si="382"/>
        <v>#N/A</v>
      </c>
      <c r="AG852" s="306">
        <f t="shared" ca="1" si="404"/>
        <v>1.9286120419544313</v>
      </c>
      <c r="AH852" s="304">
        <f t="shared" ca="1" si="405"/>
        <v>-7.8410394417710725</v>
      </c>
    </row>
    <row r="853" spans="1:34" x14ac:dyDescent="0.2">
      <c r="A853" s="347">
        <f t="shared" ca="1" si="383"/>
        <v>1E-4</v>
      </c>
      <c r="B853" s="304">
        <f t="shared" ca="1" si="384"/>
        <v>34.532400000001296</v>
      </c>
      <c r="D853" s="306">
        <f t="shared" ca="1" si="385"/>
        <v>-0.71042671364569476</v>
      </c>
      <c r="E853" s="307">
        <f t="shared" ca="1" si="386"/>
        <v>-2.0011758457611837</v>
      </c>
      <c r="F853" s="304">
        <f t="shared" ca="1" si="387"/>
        <v>2.1235373510064313</v>
      </c>
      <c r="G853" s="306">
        <f t="shared" ca="1" si="388"/>
        <v>10.913799192343166</v>
      </c>
      <c r="H853" s="307">
        <f t="shared" ca="1" si="389"/>
        <v>-119.96259999703629</v>
      </c>
      <c r="I853" s="304">
        <f t="shared" ca="1" si="390"/>
        <v>120.45802758994405</v>
      </c>
      <c r="J853" s="306">
        <f t="shared" ca="1" si="391"/>
        <v>770.52896740167785</v>
      </c>
      <c r="K853" s="307">
        <f t="shared" ca="1" si="392"/>
        <v>-12.948688771492716</v>
      </c>
      <c r="L853" s="304">
        <f t="shared" ca="1" si="377"/>
        <v>770.63776065412014</v>
      </c>
      <c r="M853" s="306">
        <f t="shared" ca="1" si="393"/>
        <v>-1.4800694039250228</v>
      </c>
      <c r="N853" s="304">
        <f t="shared" ca="1" si="394"/>
        <v>-84.801730231347292</v>
      </c>
      <c r="P853" s="310">
        <f t="shared" ca="1" si="395"/>
        <v>23</v>
      </c>
      <c r="Q853" s="304">
        <f t="shared" ca="1" si="396"/>
        <v>0</v>
      </c>
      <c r="R853" s="306">
        <f t="shared" ca="1" si="397"/>
        <v>0</v>
      </c>
      <c r="S853" s="307">
        <f t="shared" ca="1" si="398"/>
        <v>7.4499999999999984</v>
      </c>
      <c r="T853" s="304">
        <f t="shared" ca="1" si="378"/>
        <v>73.084499999999991</v>
      </c>
      <c r="U853" s="311">
        <f t="shared" ca="1" si="379"/>
        <v>0</v>
      </c>
      <c r="V853" s="306">
        <f t="shared" ca="1" si="380"/>
        <v>1.2265872420096473</v>
      </c>
      <c r="W853" s="304">
        <f t="shared" ca="1" si="381"/>
        <v>58.416258104503648</v>
      </c>
      <c r="Y853" s="314" t="str">
        <f t="shared" ca="1" si="399"/>
        <v/>
      </c>
      <c r="Z853" s="315" t="str">
        <f t="shared" ca="1" si="400"/>
        <v/>
      </c>
      <c r="AA853" s="316" t="str">
        <f t="shared" ca="1" si="401"/>
        <v/>
      </c>
      <c r="AC853" s="310" t="e">
        <f t="shared" ca="1" si="402"/>
        <v>#N/A</v>
      </c>
      <c r="AD853" s="323" t="e">
        <f t="shared" ca="1" si="403"/>
        <v>#N/A</v>
      </c>
      <c r="AE853" s="324" t="e">
        <f t="shared" ca="1" si="382"/>
        <v>#N/A</v>
      </c>
      <c r="AG853" s="306">
        <f t="shared" ca="1" si="404"/>
        <v>1.9285781833183862</v>
      </c>
      <c r="AH853" s="304">
        <f t="shared" ca="1" si="405"/>
        <v>-7.8410739562438128</v>
      </c>
    </row>
    <row r="854" spans="1:34" x14ac:dyDescent="0.2">
      <c r="A854" s="347">
        <f t="shared" ca="1" si="383"/>
        <v>1E-4</v>
      </c>
      <c r="B854" s="304">
        <f t="shared" ca="1" si="384"/>
        <v>34.532500000001299</v>
      </c>
      <c r="D854" s="306">
        <f t="shared" ca="1" si="385"/>
        <v>-0.71042407885570724</v>
      </c>
      <c r="E854" s="307">
        <f t="shared" ca="1" si="386"/>
        <v>-2.0011409493569126</v>
      </c>
      <c r="F854" s="304">
        <f t="shared" ca="1" si="387"/>
        <v>2.1235035839411869</v>
      </c>
      <c r="G854" s="306">
        <f t="shared" ca="1" si="388"/>
        <v>10.913728149935281</v>
      </c>
      <c r="H854" s="307">
        <f t="shared" ca="1" si="389"/>
        <v>-119.96280011113123</v>
      </c>
      <c r="I854" s="304">
        <f t="shared" ca="1" si="390"/>
        <v>120.45822044440935</v>
      </c>
      <c r="J854" s="306">
        <f t="shared" ca="1" si="391"/>
        <v>770.52896740167785</v>
      </c>
      <c r="K854" s="307">
        <f t="shared" ca="1" si="392"/>
        <v>-12.960685041498124</v>
      </c>
      <c r="L854" s="304">
        <f t="shared" ca="1" si="377"/>
        <v>770.63796231553556</v>
      </c>
      <c r="M854" s="306">
        <f t="shared" ca="1" si="393"/>
        <v>-1.4800701417829978</v>
      </c>
      <c r="N854" s="304">
        <f t="shared" ca="1" si="394"/>
        <v>-84.80177250749513</v>
      </c>
      <c r="P854" s="310">
        <f t="shared" ca="1" si="395"/>
        <v>23</v>
      </c>
      <c r="Q854" s="304">
        <f t="shared" ca="1" si="396"/>
        <v>0</v>
      </c>
      <c r="R854" s="306">
        <f t="shared" ca="1" si="397"/>
        <v>0</v>
      </c>
      <c r="S854" s="307">
        <f t="shared" ca="1" si="398"/>
        <v>7.4499999999999984</v>
      </c>
      <c r="T854" s="304">
        <f t="shared" ca="1" si="378"/>
        <v>73.084499999999991</v>
      </c>
      <c r="U854" s="311">
        <f t="shared" ca="1" si="379"/>
        <v>0</v>
      </c>
      <c r="V854" s="306">
        <f t="shared" ca="1" si="380"/>
        <v>1.2265887134583211</v>
      </c>
      <c r="W854" s="304">
        <f t="shared" ca="1" si="381"/>
        <v>58.416515232656252</v>
      </c>
      <c r="Y854" s="314" t="str">
        <f t="shared" ca="1" si="399"/>
        <v/>
      </c>
      <c r="Z854" s="315" t="str">
        <f t="shared" ca="1" si="400"/>
        <v/>
      </c>
      <c r="AA854" s="316" t="str">
        <f t="shared" ca="1" si="401"/>
        <v/>
      </c>
      <c r="AC854" s="310" t="e">
        <f t="shared" ca="1" si="402"/>
        <v>#N/A</v>
      </c>
      <c r="AD854" s="323" t="e">
        <f t="shared" ca="1" si="403"/>
        <v>#N/A</v>
      </c>
      <c r="AE854" s="324" t="e">
        <f t="shared" ca="1" si="382"/>
        <v>#N/A</v>
      </c>
      <c r="AG854" s="306">
        <f t="shared" ca="1" si="404"/>
        <v>1.9285443249840295</v>
      </c>
      <c r="AH854" s="304">
        <f t="shared" ca="1" si="405"/>
        <v>-7.8411084704031762</v>
      </c>
    </row>
    <row r="855" spans="1:34" x14ac:dyDescent="0.2">
      <c r="A855" s="347">
        <f t="shared" ca="1" si="383"/>
        <v>1E-4</v>
      </c>
      <c r="B855" s="304">
        <f t="shared" ca="1" si="384"/>
        <v>34.532600000001302</v>
      </c>
      <c r="D855" s="306">
        <f t="shared" ca="1" si="385"/>
        <v>-0.71042144404217167</v>
      </c>
      <c r="E855" s="307">
        <f t="shared" ca="1" si="386"/>
        <v>-2.0011060532694582</v>
      </c>
      <c r="F855" s="304">
        <f t="shared" ca="1" si="387"/>
        <v>2.1234698172064119</v>
      </c>
      <c r="G855" s="306">
        <f t="shared" ca="1" si="388"/>
        <v>10.913657107790877</v>
      </c>
      <c r="H855" s="307">
        <f t="shared" ca="1" si="389"/>
        <v>-119.96300022173655</v>
      </c>
      <c r="I855" s="304">
        <f t="shared" ca="1" si="390"/>
        <v>120.45841329548882</v>
      </c>
      <c r="J855" s="306">
        <f t="shared" ca="1" si="391"/>
        <v>770.52896740167785</v>
      </c>
      <c r="K855" s="307">
        <f t="shared" ca="1" si="392"/>
        <v>-12.972681331514767</v>
      </c>
      <c r="L855" s="304">
        <f t="shared" ca="1" si="377"/>
        <v>770.63816416397719</v>
      </c>
      <c r="M855" s="306">
        <f t="shared" ca="1" si="393"/>
        <v>-1.4800708796338069</v>
      </c>
      <c r="N855" s="304">
        <f t="shared" ca="1" si="394"/>
        <v>-84.801814783232402</v>
      </c>
      <c r="P855" s="310">
        <f t="shared" ca="1" si="395"/>
        <v>23</v>
      </c>
      <c r="Q855" s="304">
        <f t="shared" ca="1" si="396"/>
        <v>0</v>
      </c>
      <c r="R855" s="306">
        <f t="shared" ca="1" si="397"/>
        <v>0</v>
      </c>
      <c r="S855" s="307">
        <f t="shared" ca="1" si="398"/>
        <v>7.4499999999999984</v>
      </c>
      <c r="T855" s="304">
        <f t="shared" ca="1" si="378"/>
        <v>73.084499999999991</v>
      </c>
      <c r="U855" s="311">
        <f t="shared" ca="1" si="379"/>
        <v>0</v>
      </c>
      <c r="V855" s="306">
        <f t="shared" ca="1" si="380"/>
        <v>1.2265901849112162</v>
      </c>
      <c r="W855" s="304">
        <f t="shared" ca="1" si="381"/>
        <v>58.416772358474226</v>
      </c>
      <c r="Y855" s="314" t="str">
        <f t="shared" ca="1" si="399"/>
        <v/>
      </c>
      <c r="Z855" s="315" t="str">
        <f t="shared" ca="1" si="400"/>
        <v/>
      </c>
      <c r="AA855" s="316" t="str">
        <f t="shared" ca="1" si="401"/>
        <v/>
      </c>
      <c r="AC855" s="310" t="e">
        <f t="shared" ca="1" si="402"/>
        <v>#N/A</v>
      </c>
      <c r="AD855" s="323" t="e">
        <f t="shared" ca="1" si="403"/>
        <v>#N/A</v>
      </c>
      <c r="AE855" s="324" t="e">
        <f t="shared" ca="1" si="382"/>
        <v>#N/A</v>
      </c>
      <c r="AG855" s="306">
        <f t="shared" ca="1" si="404"/>
        <v>1.9285104669513631</v>
      </c>
      <c r="AH855" s="304">
        <f t="shared" ca="1" si="405"/>
        <v>-7.8411429842491627</v>
      </c>
    </row>
    <row r="856" spans="1:34" x14ac:dyDescent="0.2">
      <c r="A856" s="347">
        <f t="shared" ca="1" si="383"/>
        <v>1E-4</v>
      </c>
      <c r="B856" s="304">
        <f t="shared" ca="1" si="384"/>
        <v>34.532700000001306</v>
      </c>
      <c r="D856" s="306">
        <f t="shared" ca="1" si="385"/>
        <v>-0.71041880920509182</v>
      </c>
      <c r="E856" s="307">
        <f t="shared" ca="1" si="386"/>
        <v>-2.0010711574988154</v>
      </c>
      <c r="F856" s="304">
        <f t="shared" ca="1" si="387"/>
        <v>2.1234360508021024</v>
      </c>
      <c r="G856" s="306">
        <f t="shared" ca="1" si="388"/>
        <v>10.913586065909957</v>
      </c>
      <c r="H856" s="307">
        <f t="shared" ca="1" si="389"/>
        <v>-119.9632003288523</v>
      </c>
      <c r="I856" s="304">
        <f t="shared" ca="1" si="390"/>
        <v>120.45860614318254</v>
      </c>
      <c r="J856" s="306">
        <f t="shared" ca="1" si="391"/>
        <v>770.52896740167785</v>
      </c>
      <c r="K856" s="307">
        <f t="shared" ca="1" si="392"/>
        <v>-12.984677641542296</v>
      </c>
      <c r="L856" s="304">
        <f t="shared" ca="1" si="377"/>
        <v>770.6383661994455</v>
      </c>
      <c r="M856" s="306">
        <f t="shared" ca="1" si="393"/>
        <v>-1.4800716174774506</v>
      </c>
      <c r="N856" s="304">
        <f t="shared" ca="1" si="394"/>
        <v>-84.801857058559136</v>
      </c>
      <c r="P856" s="310">
        <f t="shared" ca="1" si="395"/>
        <v>23</v>
      </c>
      <c r="Q856" s="304">
        <f t="shared" ca="1" si="396"/>
        <v>0</v>
      </c>
      <c r="R856" s="306">
        <f t="shared" ca="1" si="397"/>
        <v>0</v>
      </c>
      <c r="S856" s="307">
        <f t="shared" ca="1" si="398"/>
        <v>7.4499999999999984</v>
      </c>
      <c r="T856" s="304">
        <f t="shared" ca="1" si="378"/>
        <v>73.084499999999991</v>
      </c>
      <c r="U856" s="311">
        <f t="shared" ca="1" si="379"/>
        <v>0</v>
      </c>
      <c r="V856" s="306">
        <f t="shared" ca="1" si="380"/>
        <v>1.2265916563683321</v>
      </c>
      <c r="W856" s="304">
        <f t="shared" ca="1" si="381"/>
        <v>58.417029481957563</v>
      </c>
      <c r="Y856" s="314" t="str">
        <f t="shared" ca="1" si="399"/>
        <v/>
      </c>
      <c r="Z856" s="315" t="str">
        <f t="shared" ca="1" si="400"/>
        <v/>
      </c>
      <c r="AA856" s="316" t="str">
        <f t="shared" ca="1" si="401"/>
        <v/>
      </c>
      <c r="AC856" s="310" t="e">
        <f t="shared" ca="1" si="402"/>
        <v>#N/A</v>
      </c>
      <c r="AD856" s="323" t="e">
        <f t="shared" ca="1" si="403"/>
        <v>#N/A</v>
      </c>
      <c r="AE856" s="324" t="e">
        <f t="shared" ca="1" si="382"/>
        <v>#N/A</v>
      </c>
      <c r="AG856" s="306">
        <f t="shared" ca="1" si="404"/>
        <v>1.9284766092203807</v>
      </c>
      <c r="AH856" s="304">
        <f t="shared" ca="1" si="405"/>
        <v>-7.8411774977817768</v>
      </c>
    </row>
    <row r="857" spans="1:34" x14ac:dyDescent="0.2">
      <c r="A857" s="347">
        <f t="shared" ca="1" si="383"/>
        <v>1E-4</v>
      </c>
      <c r="B857" s="304">
        <f t="shared" ca="1" si="384"/>
        <v>34.532800000001309</v>
      </c>
      <c r="D857" s="306">
        <f t="shared" ca="1" si="385"/>
        <v>-0.71041617434446536</v>
      </c>
      <c r="E857" s="307">
        <f t="shared" ca="1" si="386"/>
        <v>-2.001036262044984</v>
      </c>
      <c r="F857" s="304">
        <f t="shared" ca="1" si="387"/>
        <v>2.1234022847282583</v>
      </c>
      <c r="G857" s="306">
        <f t="shared" ca="1" si="388"/>
        <v>10.913515024292522</v>
      </c>
      <c r="H857" s="307">
        <f t="shared" ca="1" si="389"/>
        <v>-119.96340043247849</v>
      </c>
      <c r="I857" s="304">
        <f t="shared" ca="1" si="390"/>
        <v>120.4587989874905</v>
      </c>
      <c r="J857" s="306">
        <f t="shared" ca="1" si="391"/>
        <v>770.52896740167785</v>
      </c>
      <c r="K857" s="307">
        <f t="shared" ca="1" si="392"/>
        <v>-12.996673971580362</v>
      </c>
      <c r="L857" s="304">
        <f t="shared" ca="1" si="377"/>
        <v>770.63856842194161</v>
      </c>
      <c r="M857" s="306">
        <f t="shared" ca="1" si="393"/>
        <v>-1.480072355313929</v>
      </c>
      <c r="N857" s="304">
        <f t="shared" ca="1" si="394"/>
        <v>-84.801899333475319</v>
      </c>
      <c r="P857" s="310">
        <f t="shared" ca="1" si="395"/>
        <v>23</v>
      </c>
      <c r="Q857" s="304">
        <f t="shared" ca="1" si="396"/>
        <v>0</v>
      </c>
      <c r="R857" s="306">
        <f t="shared" ca="1" si="397"/>
        <v>0</v>
      </c>
      <c r="S857" s="307">
        <f t="shared" ca="1" si="398"/>
        <v>7.4499999999999984</v>
      </c>
      <c r="T857" s="304">
        <f t="shared" ca="1" si="378"/>
        <v>73.084499999999991</v>
      </c>
      <c r="U857" s="311">
        <f t="shared" ca="1" si="379"/>
        <v>0</v>
      </c>
      <c r="V857" s="306">
        <f t="shared" ca="1" si="380"/>
        <v>1.2265931278296687</v>
      </c>
      <c r="W857" s="304">
        <f t="shared" ca="1" si="381"/>
        <v>58.417286603106241</v>
      </c>
      <c r="Y857" s="314" t="str">
        <f t="shared" ca="1" si="399"/>
        <v/>
      </c>
      <c r="Z857" s="315" t="str">
        <f t="shared" ca="1" si="400"/>
        <v/>
      </c>
      <c r="AA857" s="316" t="str">
        <f t="shared" ca="1" si="401"/>
        <v/>
      </c>
      <c r="AC857" s="310" t="e">
        <f t="shared" ca="1" si="402"/>
        <v>#N/A</v>
      </c>
      <c r="AD857" s="323" t="e">
        <f t="shared" ca="1" si="403"/>
        <v>#N/A</v>
      </c>
      <c r="AE857" s="324" t="e">
        <f t="shared" ca="1" si="382"/>
        <v>#N/A</v>
      </c>
      <c r="AG857" s="306">
        <f t="shared" ca="1" si="404"/>
        <v>1.9284427517910858</v>
      </c>
      <c r="AH857" s="304">
        <f t="shared" ca="1" si="405"/>
        <v>-7.8412120110010166</v>
      </c>
    </row>
    <row r="858" spans="1:34" x14ac:dyDescent="0.2">
      <c r="A858" s="347">
        <f t="shared" ca="1" si="383"/>
        <v>1E-4</v>
      </c>
      <c r="B858" s="304">
        <f t="shared" ca="1" si="384"/>
        <v>34.532900000001312</v>
      </c>
      <c r="D858" s="306">
        <f t="shared" ca="1" si="385"/>
        <v>-0.71041353946029351</v>
      </c>
      <c r="E858" s="307">
        <f t="shared" ca="1" si="386"/>
        <v>-2.0010013669079685</v>
      </c>
      <c r="F858" s="304">
        <f t="shared" ca="1" si="387"/>
        <v>2.1233685189848841</v>
      </c>
      <c r="G858" s="306">
        <f t="shared" ca="1" si="388"/>
        <v>10.913443982938576</v>
      </c>
      <c r="H858" s="307">
        <f t="shared" ca="1" si="389"/>
        <v>-119.96360053261519</v>
      </c>
      <c r="I858" s="304">
        <f t="shared" ca="1" si="390"/>
        <v>120.45899182841275</v>
      </c>
      <c r="J858" s="306">
        <f t="shared" ca="1" si="391"/>
        <v>770.52896740167785</v>
      </c>
      <c r="K858" s="307">
        <f t="shared" ca="1" si="392"/>
        <v>-13.008670321628617</v>
      </c>
      <c r="L858" s="304">
        <f t="shared" ca="1" si="377"/>
        <v>770.63877083146599</v>
      </c>
      <c r="M858" s="306">
        <f t="shared" ca="1" si="393"/>
        <v>-1.480073093143242</v>
      </c>
      <c r="N858" s="304">
        <f t="shared" ca="1" si="394"/>
        <v>-84.80194160798095</v>
      </c>
      <c r="P858" s="310">
        <f t="shared" ca="1" si="395"/>
        <v>23</v>
      </c>
      <c r="Q858" s="304">
        <f t="shared" ca="1" si="396"/>
        <v>0</v>
      </c>
      <c r="R858" s="306">
        <f t="shared" ca="1" si="397"/>
        <v>0</v>
      </c>
      <c r="S858" s="307">
        <f t="shared" ca="1" si="398"/>
        <v>7.4499999999999984</v>
      </c>
      <c r="T858" s="304">
        <f t="shared" ca="1" si="378"/>
        <v>73.084499999999991</v>
      </c>
      <c r="U858" s="311">
        <f t="shared" ca="1" si="379"/>
        <v>0</v>
      </c>
      <c r="V858" s="306">
        <f t="shared" ca="1" si="380"/>
        <v>1.2265945992952261</v>
      </c>
      <c r="W858" s="304">
        <f t="shared" ca="1" si="381"/>
        <v>58.417543721920296</v>
      </c>
      <c r="Y858" s="314" t="str">
        <f t="shared" ca="1" si="399"/>
        <v/>
      </c>
      <c r="Z858" s="315" t="str">
        <f t="shared" ca="1" si="400"/>
        <v/>
      </c>
      <c r="AA858" s="316" t="str">
        <f t="shared" ca="1" si="401"/>
        <v/>
      </c>
      <c r="AC858" s="310" t="e">
        <f t="shared" ca="1" si="402"/>
        <v>#N/A</v>
      </c>
      <c r="AD858" s="323" t="e">
        <f t="shared" ca="1" si="403"/>
        <v>#N/A</v>
      </c>
      <c r="AE858" s="324" t="e">
        <f t="shared" ca="1" si="382"/>
        <v>#N/A</v>
      </c>
      <c r="AG858" s="306">
        <f t="shared" ca="1" si="404"/>
        <v>1.9284088946634812</v>
      </c>
      <c r="AH858" s="304">
        <f t="shared" ca="1" si="405"/>
        <v>-7.8412465239068796</v>
      </c>
    </row>
    <row r="859" spans="1:34" x14ac:dyDescent="0.2">
      <c r="A859" s="347">
        <f t="shared" ca="1" si="383"/>
        <v>1E-4</v>
      </c>
      <c r="B859" s="304">
        <f t="shared" ca="1" si="384"/>
        <v>34.533000000001316</v>
      </c>
      <c r="D859" s="306">
        <f t="shared" ca="1" si="385"/>
        <v>-0.71041090455257805</v>
      </c>
      <c r="E859" s="307">
        <f t="shared" ca="1" si="386"/>
        <v>-2.0009664720877645</v>
      </c>
      <c r="F859" s="304">
        <f t="shared" ca="1" si="387"/>
        <v>2.1233347535719767</v>
      </c>
      <c r="G859" s="306">
        <f t="shared" ca="1" si="388"/>
        <v>10.91337294184812</v>
      </c>
      <c r="H859" s="307">
        <f t="shared" ca="1" si="389"/>
        <v>-119.96380062926239</v>
      </c>
      <c r="I859" s="304">
        <f t="shared" ca="1" si="390"/>
        <v>120.45918466594931</v>
      </c>
      <c r="J859" s="306">
        <f t="shared" ca="1" si="391"/>
        <v>770.52896740167785</v>
      </c>
      <c r="K859" s="307">
        <f t="shared" ca="1" si="392"/>
        <v>-13.020666691686712</v>
      </c>
      <c r="L859" s="304">
        <f t="shared" ca="1" si="377"/>
        <v>770.63897342801965</v>
      </c>
      <c r="M859" s="306">
        <f t="shared" ca="1" si="393"/>
        <v>-1.4800738309653896</v>
      </c>
      <c r="N859" s="304">
        <f t="shared" ca="1" si="394"/>
        <v>-84.801983882076044</v>
      </c>
      <c r="P859" s="310">
        <f t="shared" ca="1" si="395"/>
        <v>23</v>
      </c>
      <c r="Q859" s="304">
        <f t="shared" ca="1" si="396"/>
        <v>0</v>
      </c>
      <c r="R859" s="306">
        <f t="shared" ca="1" si="397"/>
        <v>0</v>
      </c>
      <c r="S859" s="307">
        <f t="shared" ca="1" si="398"/>
        <v>7.4499999999999984</v>
      </c>
      <c r="T859" s="304">
        <f t="shared" ca="1" si="378"/>
        <v>73.084499999999991</v>
      </c>
      <c r="U859" s="311">
        <f t="shared" ca="1" si="379"/>
        <v>0</v>
      </c>
      <c r="V859" s="306">
        <f t="shared" ca="1" si="380"/>
        <v>1.2265960707650039</v>
      </c>
      <c r="W859" s="304">
        <f t="shared" ca="1" si="381"/>
        <v>58.417800838399685</v>
      </c>
      <c r="Y859" s="314" t="str">
        <f t="shared" ca="1" si="399"/>
        <v/>
      </c>
      <c r="Z859" s="315" t="str">
        <f t="shared" ca="1" si="400"/>
        <v/>
      </c>
      <c r="AA859" s="316" t="str">
        <f t="shared" ca="1" si="401"/>
        <v/>
      </c>
      <c r="AC859" s="310" t="e">
        <f t="shared" ca="1" si="402"/>
        <v>#N/A</v>
      </c>
      <c r="AD859" s="323" t="e">
        <f t="shared" ca="1" si="403"/>
        <v>#N/A</v>
      </c>
      <c r="AE859" s="324" t="e">
        <f t="shared" ca="1" si="382"/>
        <v>#N/A</v>
      </c>
      <c r="AG859" s="306">
        <f t="shared" ca="1" si="404"/>
        <v>1.9283750378375588</v>
      </c>
      <c r="AH859" s="304">
        <f t="shared" ca="1" si="405"/>
        <v>-7.8412810364993701</v>
      </c>
    </row>
    <row r="860" spans="1:34" x14ac:dyDescent="0.2">
      <c r="A860" s="347">
        <f t="shared" ca="1" si="383"/>
        <v>1E-4</v>
      </c>
      <c r="B860" s="304">
        <f t="shared" ca="1" si="384"/>
        <v>34.533100000001319</v>
      </c>
      <c r="D860" s="306">
        <f t="shared" ca="1" si="385"/>
        <v>-0.7104082696213202</v>
      </c>
      <c r="E860" s="307">
        <f t="shared" ca="1" si="386"/>
        <v>-2.0009315775843763</v>
      </c>
      <c r="F860" s="304">
        <f t="shared" ca="1" si="387"/>
        <v>2.1233009884895404</v>
      </c>
      <c r="G860" s="306">
        <f t="shared" ca="1" si="388"/>
        <v>10.913301901021159</v>
      </c>
      <c r="H860" s="307">
        <f t="shared" ca="1" si="389"/>
        <v>-119.96400072242015</v>
      </c>
      <c r="I860" s="304">
        <f t="shared" ca="1" si="390"/>
        <v>120.45937750010025</v>
      </c>
      <c r="J860" s="306">
        <f t="shared" ca="1" si="391"/>
        <v>770.52896740167785</v>
      </c>
      <c r="K860" s="307">
        <f t="shared" ca="1" si="392"/>
        <v>-13.032663081754295</v>
      </c>
      <c r="L860" s="304">
        <f t="shared" ca="1" si="377"/>
        <v>770.63917621160329</v>
      </c>
      <c r="M860" s="306">
        <f t="shared" ca="1" si="393"/>
        <v>-1.4800745687803722</v>
      </c>
      <c r="N860" s="304">
        <f t="shared" ca="1" si="394"/>
        <v>-84.802026155760601</v>
      </c>
      <c r="P860" s="310">
        <f t="shared" ca="1" si="395"/>
        <v>23</v>
      </c>
      <c r="Q860" s="304">
        <f t="shared" ca="1" si="396"/>
        <v>0</v>
      </c>
      <c r="R860" s="306">
        <f t="shared" ca="1" si="397"/>
        <v>0</v>
      </c>
      <c r="S860" s="307">
        <f t="shared" ca="1" si="398"/>
        <v>7.4499999999999984</v>
      </c>
      <c r="T860" s="304">
        <f t="shared" ca="1" si="378"/>
        <v>73.084499999999991</v>
      </c>
      <c r="U860" s="311">
        <f t="shared" ca="1" si="379"/>
        <v>0</v>
      </c>
      <c r="V860" s="306">
        <f t="shared" ca="1" si="380"/>
        <v>1.226597542239003</v>
      </c>
      <c r="W860" s="304">
        <f t="shared" ca="1" si="381"/>
        <v>58.418057952544494</v>
      </c>
      <c r="Y860" s="314" t="str">
        <f t="shared" ca="1" si="399"/>
        <v/>
      </c>
      <c r="Z860" s="315" t="str">
        <f t="shared" ca="1" si="400"/>
        <v/>
      </c>
      <c r="AA860" s="316" t="str">
        <f t="shared" ca="1" si="401"/>
        <v/>
      </c>
      <c r="AC860" s="310" t="e">
        <f t="shared" ca="1" si="402"/>
        <v>#N/A</v>
      </c>
      <c r="AD860" s="323" t="e">
        <f t="shared" ca="1" si="403"/>
        <v>#N/A</v>
      </c>
      <c r="AE860" s="324" t="e">
        <f t="shared" ca="1" si="382"/>
        <v>#N/A</v>
      </c>
      <c r="AG860" s="306">
        <f t="shared" ca="1" si="404"/>
        <v>1.9283411813133293</v>
      </c>
      <c r="AH860" s="304">
        <f t="shared" ca="1" si="405"/>
        <v>-7.8413155487784829</v>
      </c>
    </row>
    <row r="861" spans="1:34" x14ac:dyDescent="0.2">
      <c r="A861" s="347">
        <f t="shared" ca="1" si="383"/>
        <v>1E-4</v>
      </c>
      <c r="B861" s="304">
        <f t="shared" ca="1" si="384"/>
        <v>34.533200000001322</v>
      </c>
      <c r="D861" s="306">
        <f t="shared" ca="1" si="385"/>
        <v>-0.71040563466651863</v>
      </c>
      <c r="E861" s="307">
        <f t="shared" ca="1" si="386"/>
        <v>-2.0008966833977935</v>
      </c>
      <c r="F861" s="304">
        <f t="shared" ca="1" si="387"/>
        <v>2.1232672237375652</v>
      </c>
      <c r="G861" s="306">
        <f t="shared" ca="1" si="388"/>
        <v>10.913230860457691</v>
      </c>
      <c r="H861" s="307">
        <f t="shared" ca="1" si="389"/>
        <v>-119.96420081208849</v>
      </c>
      <c r="I861" s="304">
        <f t="shared" ca="1" si="390"/>
        <v>120.45957033086553</v>
      </c>
      <c r="J861" s="306">
        <f t="shared" ca="1" si="391"/>
        <v>770.52896740167785</v>
      </c>
      <c r="K861" s="307">
        <f t="shared" ca="1" si="392"/>
        <v>-13.044659491831021</v>
      </c>
      <c r="L861" s="304">
        <f t="shared" ca="1" si="377"/>
        <v>770.63937918221757</v>
      </c>
      <c r="M861" s="306">
        <f t="shared" ca="1" si="393"/>
        <v>-1.48007530658819</v>
      </c>
      <c r="N861" s="304">
        <f t="shared" ca="1" si="394"/>
        <v>-84.802068429034648</v>
      </c>
      <c r="P861" s="310">
        <f t="shared" ca="1" si="395"/>
        <v>23</v>
      </c>
      <c r="Q861" s="304">
        <f t="shared" ca="1" si="396"/>
        <v>0</v>
      </c>
      <c r="R861" s="306">
        <f t="shared" ca="1" si="397"/>
        <v>0</v>
      </c>
      <c r="S861" s="307">
        <f t="shared" ca="1" si="398"/>
        <v>7.4499999999999984</v>
      </c>
      <c r="T861" s="304">
        <f t="shared" ca="1" si="378"/>
        <v>73.084499999999991</v>
      </c>
      <c r="U861" s="311">
        <f t="shared" ca="1" si="379"/>
        <v>0</v>
      </c>
      <c r="V861" s="306">
        <f t="shared" ca="1" si="380"/>
        <v>1.2265990137172227</v>
      </c>
      <c r="W861" s="304">
        <f t="shared" ca="1" si="381"/>
        <v>58.418315064354672</v>
      </c>
      <c r="Y861" s="314" t="str">
        <f t="shared" ca="1" si="399"/>
        <v/>
      </c>
      <c r="Z861" s="315" t="str">
        <f t="shared" ca="1" si="400"/>
        <v/>
      </c>
      <c r="AA861" s="316" t="str">
        <f t="shared" ca="1" si="401"/>
        <v/>
      </c>
      <c r="AC861" s="310" t="e">
        <f t="shared" ca="1" si="402"/>
        <v>#N/A</v>
      </c>
      <c r="AD861" s="323" t="e">
        <f t="shared" ca="1" si="403"/>
        <v>#N/A</v>
      </c>
      <c r="AE861" s="324" t="e">
        <f t="shared" ca="1" si="382"/>
        <v>#N/A</v>
      </c>
      <c r="AG861" s="306">
        <f t="shared" ca="1" si="404"/>
        <v>1.9283073250907794</v>
      </c>
      <c r="AH861" s="304">
        <f t="shared" ca="1" si="405"/>
        <v>-7.8413500607442295</v>
      </c>
    </row>
    <row r="862" spans="1:34" x14ac:dyDescent="0.2">
      <c r="A862" s="347">
        <f t="shared" ca="1" si="383"/>
        <v>1E-4</v>
      </c>
      <c r="B862" s="304">
        <f t="shared" ca="1" si="384"/>
        <v>34.533300000001326</v>
      </c>
      <c r="D862" s="306">
        <f t="shared" ca="1" si="385"/>
        <v>-0.71040299968817411</v>
      </c>
      <c r="E862" s="307">
        <f t="shared" ca="1" si="386"/>
        <v>-2.000861789528023</v>
      </c>
      <c r="F862" s="304">
        <f t="shared" ca="1" si="387"/>
        <v>2.1232334593160589</v>
      </c>
      <c r="G862" s="306">
        <f t="shared" ca="1" si="388"/>
        <v>10.913159820157723</v>
      </c>
      <c r="H862" s="307">
        <f t="shared" ca="1" si="389"/>
        <v>-119.96440089826744</v>
      </c>
      <c r="I862" s="304">
        <f t="shared" ca="1" si="390"/>
        <v>120.45976315824524</v>
      </c>
      <c r="J862" s="306">
        <f t="shared" ca="1" si="391"/>
        <v>770.52896740167785</v>
      </c>
      <c r="K862" s="307">
        <f t="shared" ca="1" si="392"/>
        <v>-13.056655921916539</v>
      </c>
      <c r="L862" s="304">
        <f t="shared" ca="1" si="377"/>
        <v>770.63958233986352</v>
      </c>
      <c r="M862" s="306">
        <f t="shared" ca="1" si="393"/>
        <v>-1.4800760443888428</v>
      </c>
      <c r="N862" s="304">
        <f t="shared" ca="1" si="394"/>
        <v>-84.802110701898187</v>
      </c>
      <c r="P862" s="310">
        <f t="shared" ca="1" si="395"/>
        <v>23</v>
      </c>
      <c r="Q862" s="304">
        <f t="shared" ca="1" si="396"/>
        <v>0</v>
      </c>
      <c r="R862" s="306">
        <f t="shared" ca="1" si="397"/>
        <v>0</v>
      </c>
      <c r="S862" s="307">
        <f t="shared" ca="1" si="398"/>
        <v>7.4499999999999984</v>
      </c>
      <c r="T862" s="304">
        <f t="shared" ca="1" si="378"/>
        <v>73.084499999999991</v>
      </c>
      <c r="U862" s="311">
        <f t="shared" ca="1" si="379"/>
        <v>0</v>
      </c>
      <c r="V862" s="306">
        <f t="shared" ca="1" si="380"/>
        <v>1.2266004851996628</v>
      </c>
      <c r="W862" s="304">
        <f t="shared" ca="1" si="381"/>
        <v>58.418572173830206</v>
      </c>
      <c r="Y862" s="314" t="str">
        <f t="shared" ca="1" si="399"/>
        <v/>
      </c>
      <c r="Z862" s="315" t="str">
        <f t="shared" ca="1" si="400"/>
        <v/>
      </c>
      <c r="AA862" s="316" t="str">
        <f t="shared" ca="1" si="401"/>
        <v/>
      </c>
      <c r="AC862" s="310" t="e">
        <f t="shared" ca="1" si="402"/>
        <v>#N/A</v>
      </c>
      <c r="AD862" s="323" t="e">
        <f t="shared" ca="1" si="403"/>
        <v>#N/A</v>
      </c>
      <c r="AE862" s="324" t="e">
        <f t="shared" ca="1" si="382"/>
        <v>#N/A</v>
      </c>
      <c r="AG862" s="306">
        <f t="shared" ca="1" si="404"/>
        <v>1.9282734691699188</v>
      </c>
      <c r="AH862" s="304">
        <f t="shared" ca="1" si="405"/>
        <v>-7.8413845723966018</v>
      </c>
    </row>
    <row r="863" spans="1:34" x14ac:dyDescent="0.2">
      <c r="A863" s="347">
        <f t="shared" ca="1" si="383"/>
        <v>1E-4</v>
      </c>
      <c r="B863" s="304">
        <f t="shared" ca="1" si="384"/>
        <v>34.533400000001329</v>
      </c>
      <c r="D863" s="306">
        <f t="shared" ca="1" si="385"/>
        <v>-0.71040036468628831</v>
      </c>
      <c r="E863" s="307">
        <f t="shared" ca="1" si="386"/>
        <v>-2.0008268959750648</v>
      </c>
      <c r="F863" s="304">
        <f t="shared" ca="1" si="387"/>
        <v>2.1231996952250216</v>
      </c>
      <c r="G863" s="306">
        <f t="shared" ca="1" si="388"/>
        <v>10.913088780121255</v>
      </c>
      <c r="H863" s="307">
        <f t="shared" ca="1" si="389"/>
        <v>-119.96460098095704</v>
      </c>
      <c r="I863" s="304">
        <f t="shared" ca="1" si="390"/>
        <v>120.45995598223938</v>
      </c>
      <c r="J863" s="306">
        <f t="shared" ca="1" si="391"/>
        <v>770.52896740167785</v>
      </c>
      <c r="K863" s="307">
        <f t="shared" ca="1" si="392"/>
        <v>-13.068652372010501</v>
      </c>
      <c r="L863" s="304">
        <f t="shared" ca="1" si="377"/>
        <v>770.63978568454172</v>
      </c>
      <c r="M863" s="306">
        <f t="shared" ca="1" si="393"/>
        <v>-1.4800767821823306</v>
      </c>
      <c r="N863" s="304">
        <f t="shared" ca="1" si="394"/>
        <v>-84.802152974351188</v>
      </c>
      <c r="P863" s="310">
        <f t="shared" ca="1" si="395"/>
        <v>23</v>
      </c>
      <c r="Q863" s="304">
        <f t="shared" ca="1" si="396"/>
        <v>0</v>
      </c>
      <c r="R863" s="306">
        <f t="shared" ca="1" si="397"/>
        <v>0</v>
      </c>
      <c r="S863" s="307">
        <f t="shared" ca="1" si="398"/>
        <v>7.4499999999999984</v>
      </c>
      <c r="T863" s="304">
        <f t="shared" ca="1" si="378"/>
        <v>73.084499999999991</v>
      </c>
      <c r="U863" s="311">
        <f t="shared" ca="1" si="379"/>
        <v>0</v>
      </c>
      <c r="V863" s="306">
        <f t="shared" ca="1" si="380"/>
        <v>1.2266019566863238</v>
      </c>
      <c r="W863" s="304">
        <f t="shared" ca="1" si="381"/>
        <v>58.418829280971146</v>
      </c>
      <c r="Y863" s="314" t="str">
        <f t="shared" ca="1" si="399"/>
        <v/>
      </c>
      <c r="Z863" s="315" t="str">
        <f t="shared" ca="1" si="400"/>
        <v/>
      </c>
      <c r="AA863" s="316" t="str">
        <f t="shared" ca="1" si="401"/>
        <v/>
      </c>
      <c r="AC863" s="310" t="e">
        <f t="shared" ca="1" si="402"/>
        <v>#N/A</v>
      </c>
      <c r="AD863" s="323" t="e">
        <f t="shared" ca="1" si="403"/>
        <v>#N/A</v>
      </c>
      <c r="AE863" s="324" t="e">
        <f t="shared" ca="1" si="382"/>
        <v>#N/A</v>
      </c>
      <c r="AG863" s="306">
        <f t="shared" ca="1" si="404"/>
        <v>1.928239613550744</v>
      </c>
      <c r="AH863" s="304">
        <f t="shared" ca="1" si="405"/>
        <v>-7.8414190837355999</v>
      </c>
    </row>
    <row r="864" spans="1:34" x14ac:dyDescent="0.2">
      <c r="A864" s="347">
        <f t="shared" ca="1" si="383"/>
        <v>1E-4</v>
      </c>
      <c r="B864" s="304">
        <f t="shared" ca="1" si="384"/>
        <v>34.533500000001332</v>
      </c>
      <c r="D864" s="306">
        <f t="shared" ca="1" si="385"/>
        <v>-0.7103977296608629</v>
      </c>
      <c r="E864" s="307">
        <f t="shared" ca="1" si="386"/>
        <v>-2.0007920027389154</v>
      </c>
      <c r="F864" s="304">
        <f t="shared" ca="1" si="387"/>
        <v>2.1231659314644507</v>
      </c>
      <c r="G864" s="306">
        <f t="shared" ca="1" si="388"/>
        <v>10.913017740348289</v>
      </c>
      <c r="H864" s="307">
        <f t="shared" ca="1" si="389"/>
        <v>-119.96480106015731</v>
      </c>
      <c r="I864" s="304">
        <f t="shared" ca="1" si="390"/>
        <v>120.46014880284798</v>
      </c>
      <c r="J864" s="306">
        <f t="shared" ca="1" si="391"/>
        <v>770.52896740167785</v>
      </c>
      <c r="K864" s="307">
        <f t="shared" ca="1" si="392"/>
        <v>-13.080648842112556</v>
      </c>
      <c r="L864" s="304">
        <f t="shared" ca="1" si="377"/>
        <v>770.63998921625307</v>
      </c>
      <c r="M864" s="306">
        <f t="shared" ca="1" si="393"/>
        <v>-1.480077519968654</v>
      </c>
      <c r="N864" s="304">
        <f t="shared" ca="1" si="394"/>
        <v>-84.802195246393694</v>
      </c>
      <c r="P864" s="310">
        <f t="shared" ca="1" si="395"/>
        <v>23</v>
      </c>
      <c r="Q864" s="304">
        <f t="shared" ca="1" si="396"/>
        <v>0</v>
      </c>
      <c r="R864" s="306">
        <f t="shared" ca="1" si="397"/>
        <v>0</v>
      </c>
      <c r="S864" s="307">
        <f t="shared" ca="1" si="398"/>
        <v>7.4499999999999984</v>
      </c>
      <c r="T864" s="304">
        <f t="shared" ca="1" si="378"/>
        <v>73.084499999999991</v>
      </c>
      <c r="U864" s="311">
        <f t="shared" ca="1" si="379"/>
        <v>0</v>
      </c>
      <c r="V864" s="306">
        <f t="shared" ca="1" si="380"/>
        <v>1.2266034281772051</v>
      </c>
      <c r="W864" s="304">
        <f t="shared" ca="1" si="381"/>
        <v>58.41908638577744</v>
      </c>
      <c r="Y864" s="314" t="str">
        <f t="shared" ca="1" si="399"/>
        <v/>
      </c>
      <c r="Z864" s="315" t="str">
        <f t="shared" ca="1" si="400"/>
        <v/>
      </c>
      <c r="AA864" s="316" t="str">
        <f t="shared" ca="1" si="401"/>
        <v/>
      </c>
      <c r="AC864" s="310" t="e">
        <f t="shared" ca="1" si="402"/>
        <v>#N/A</v>
      </c>
      <c r="AD864" s="323" t="e">
        <f t="shared" ca="1" si="403"/>
        <v>#N/A</v>
      </c>
      <c r="AE864" s="324" t="e">
        <f t="shared" ca="1" si="382"/>
        <v>#N/A</v>
      </c>
      <c r="AG864" s="306">
        <f t="shared" ca="1" si="404"/>
        <v>1.9282057582332532</v>
      </c>
      <c r="AH864" s="304">
        <f t="shared" ca="1" si="405"/>
        <v>-7.8414535947612292</v>
      </c>
    </row>
    <row r="865" spans="1:34" x14ac:dyDescent="0.2">
      <c r="A865" s="347">
        <f t="shared" ca="1" si="383"/>
        <v>1E-4</v>
      </c>
      <c r="B865" s="304">
        <f t="shared" ca="1" si="384"/>
        <v>34.533600000001336</v>
      </c>
      <c r="D865" s="306">
        <f t="shared" ca="1" si="385"/>
        <v>-0.71039509461189554</v>
      </c>
      <c r="E865" s="307">
        <f t="shared" ca="1" si="386"/>
        <v>-2.0007571098195784</v>
      </c>
      <c r="F865" s="304">
        <f t="shared" ca="1" si="387"/>
        <v>2.1231321680343491</v>
      </c>
      <c r="G865" s="306">
        <f t="shared" ca="1" si="388"/>
        <v>10.912946700838829</v>
      </c>
      <c r="H865" s="307">
        <f t="shared" ca="1" si="389"/>
        <v>-119.96500113586829</v>
      </c>
      <c r="I865" s="304">
        <f t="shared" ca="1" si="390"/>
        <v>120.46034162007109</v>
      </c>
      <c r="J865" s="306">
        <f t="shared" ca="1" si="391"/>
        <v>770.52896740167785</v>
      </c>
      <c r="K865" s="307">
        <f t="shared" ca="1" si="392"/>
        <v>-13.092645332222357</v>
      </c>
      <c r="L865" s="304">
        <f t="shared" ca="1" si="377"/>
        <v>770.64019293499825</v>
      </c>
      <c r="M865" s="306">
        <f t="shared" ca="1" si="393"/>
        <v>-1.4800782577478127</v>
      </c>
      <c r="N865" s="304">
        <f t="shared" ca="1" si="394"/>
        <v>-84.802237518025706</v>
      </c>
      <c r="P865" s="310">
        <f t="shared" ca="1" si="395"/>
        <v>23</v>
      </c>
      <c r="Q865" s="304">
        <f t="shared" ca="1" si="396"/>
        <v>0</v>
      </c>
      <c r="R865" s="306">
        <f t="shared" ca="1" si="397"/>
        <v>0</v>
      </c>
      <c r="S865" s="307">
        <f t="shared" ca="1" si="398"/>
        <v>7.4499999999999984</v>
      </c>
      <c r="T865" s="304">
        <f t="shared" ca="1" si="378"/>
        <v>73.084499999999991</v>
      </c>
      <c r="U865" s="311">
        <f t="shared" ca="1" si="379"/>
        <v>0</v>
      </c>
      <c r="V865" s="306">
        <f t="shared" ca="1" si="380"/>
        <v>1.2266048996723073</v>
      </c>
      <c r="W865" s="304">
        <f t="shared" ca="1" si="381"/>
        <v>58.419343488249133</v>
      </c>
      <c r="Y865" s="314" t="str">
        <f t="shared" ca="1" si="399"/>
        <v/>
      </c>
      <c r="Z865" s="315" t="str">
        <f t="shared" ca="1" si="400"/>
        <v/>
      </c>
      <c r="AA865" s="316" t="str">
        <f t="shared" ca="1" si="401"/>
        <v/>
      </c>
      <c r="AC865" s="310" t="e">
        <f t="shared" ca="1" si="402"/>
        <v>#N/A</v>
      </c>
      <c r="AD865" s="323" t="e">
        <f t="shared" ca="1" si="403"/>
        <v>#N/A</v>
      </c>
      <c r="AE865" s="324" t="e">
        <f t="shared" ca="1" si="382"/>
        <v>#N/A</v>
      </c>
      <c r="AG865" s="306">
        <f t="shared" ca="1" si="404"/>
        <v>1.9281719032174545</v>
      </c>
      <c r="AH865" s="304">
        <f t="shared" ca="1" si="405"/>
        <v>-7.8414881054734833</v>
      </c>
    </row>
    <row r="866" spans="1:34" x14ac:dyDescent="0.2">
      <c r="A866" s="347">
        <f t="shared" ca="1" si="383"/>
        <v>1E-4</v>
      </c>
      <c r="B866" s="304">
        <f t="shared" ca="1" si="384"/>
        <v>34.533700000001339</v>
      </c>
      <c r="D866" s="306">
        <f t="shared" ca="1" si="385"/>
        <v>-0.71039245953938979</v>
      </c>
      <c r="E866" s="307">
        <f t="shared" ca="1" si="386"/>
        <v>-2.0007222172170493</v>
      </c>
      <c r="F866" s="304">
        <f t="shared" ca="1" si="387"/>
        <v>2.1230984049347148</v>
      </c>
      <c r="G866" s="306">
        <f t="shared" ca="1" si="388"/>
        <v>10.912875661592874</v>
      </c>
      <c r="H866" s="307">
        <f t="shared" ca="1" si="389"/>
        <v>-119.96520120809001</v>
      </c>
      <c r="I866" s="304">
        <f t="shared" ca="1" si="390"/>
        <v>120.46053443390871</v>
      </c>
      <c r="J866" s="306">
        <f t="shared" ca="1" si="391"/>
        <v>770.52896740167785</v>
      </c>
      <c r="K866" s="307">
        <f t="shared" ca="1" si="392"/>
        <v>-13.104641842339555</v>
      </c>
      <c r="L866" s="304">
        <f t="shared" ca="1" si="377"/>
        <v>770.64039684077807</v>
      </c>
      <c r="M866" s="306">
        <f t="shared" ca="1" si="393"/>
        <v>-1.4800789955198068</v>
      </c>
      <c r="N866" s="304">
        <f t="shared" ca="1" si="394"/>
        <v>-84.802279789247208</v>
      </c>
      <c r="P866" s="310">
        <f t="shared" ca="1" si="395"/>
        <v>23</v>
      </c>
      <c r="Q866" s="304">
        <f t="shared" ca="1" si="396"/>
        <v>0</v>
      </c>
      <c r="R866" s="306">
        <f t="shared" ca="1" si="397"/>
        <v>0</v>
      </c>
      <c r="S866" s="307">
        <f t="shared" ca="1" si="398"/>
        <v>7.4499999999999984</v>
      </c>
      <c r="T866" s="304">
        <f t="shared" ca="1" si="378"/>
        <v>73.084499999999991</v>
      </c>
      <c r="U866" s="311">
        <f t="shared" ca="1" si="379"/>
        <v>0</v>
      </c>
      <c r="V866" s="306">
        <f t="shared" ca="1" si="380"/>
        <v>1.2266063711716302</v>
      </c>
      <c r="W866" s="304">
        <f t="shared" ca="1" si="381"/>
        <v>58.419600588386203</v>
      </c>
      <c r="Y866" s="314" t="str">
        <f t="shared" ca="1" si="399"/>
        <v/>
      </c>
      <c r="Z866" s="315" t="str">
        <f t="shared" ca="1" si="400"/>
        <v/>
      </c>
      <c r="AA866" s="316" t="str">
        <f t="shared" ca="1" si="401"/>
        <v/>
      </c>
      <c r="AC866" s="310" t="e">
        <f t="shared" ca="1" si="402"/>
        <v>#N/A</v>
      </c>
      <c r="AD866" s="323" t="e">
        <f t="shared" ca="1" si="403"/>
        <v>#N/A</v>
      </c>
      <c r="AE866" s="324" t="e">
        <f t="shared" ca="1" si="382"/>
        <v>#N/A</v>
      </c>
      <c r="AG866" s="306">
        <f t="shared" ca="1" si="404"/>
        <v>1.9281380485033361</v>
      </c>
      <c r="AH866" s="304">
        <f t="shared" ca="1" si="405"/>
        <v>-7.8415226158723685</v>
      </c>
    </row>
    <row r="867" spans="1:34" x14ac:dyDescent="0.2">
      <c r="A867" s="347">
        <f t="shared" ca="1" si="383"/>
        <v>1E-4</v>
      </c>
      <c r="B867" s="304">
        <f t="shared" ca="1" si="384"/>
        <v>34.533800000001342</v>
      </c>
      <c r="D867" s="306">
        <f t="shared" ca="1" si="385"/>
        <v>-0.71038982444334497</v>
      </c>
      <c r="E867" s="307">
        <f t="shared" ca="1" si="386"/>
        <v>-2.0006873249313308</v>
      </c>
      <c r="F867" s="304">
        <f t="shared" ca="1" si="387"/>
        <v>2.123064642165549</v>
      </c>
      <c r="G867" s="306">
        <f t="shared" ca="1" si="388"/>
        <v>10.91280462261043</v>
      </c>
      <c r="H867" s="307">
        <f t="shared" ca="1" si="389"/>
        <v>-119.9654012768225</v>
      </c>
      <c r="I867" s="304">
        <f t="shared" ca="1" si="390"/>
        <v>120.46072724436091</v>
      </c>
      <c r="J867" s="306">
        <f t="shared" ca="1" si="391"/>
        <v>770.52896740167785</v>
      </c>
      <c r="K867" s="307">
        <f t="shared" ca="1" si="392"/>
        <v>-13.1166383724638</v>
      </c>
      <c r="L867" s="304">
        <f t="shared" ca="1" si="377"/>
        <v>770.64060093359342</v>
      </c>
      <c r="M867" s="306">
        <f t="shared" ca="1" si="393"/>
        <v>-1.4800797332846365</v>
      </c>
      <c r="N867" s="304">
        <f t="shared" ca="1" si="394"/>
        <v>-84.802322060058231</v>
      </c>
      <c r="P867" s="310">
        <f t="shared" ca="1" si="395"/>
        <v>23</v>
      </c>
      <c r="Q867" s="304">
        <f t="shared" ca="1" si="396"/>
        <v>0</v>
      </c>
      <c r="R867" s="306">
        <f t="shared" ca="1" si="397"/>
        <v>0</v>
      </c>
      <c r="S867" s="307">
        <f t="shared" ca="1" si="398"/>
        <v>7.4499999999999984</v>
      </c>
      <c r="T867" s="304">
        <f t="shared" ca="1" si="378"/>
        <v>73.084499999999991</v>
      </c>
      <c r="U867" s="311">
        <f t="shared" ca="1" si="379"/>
        <v>0</v>
      </c>
      <c r="V867" s="306">
        <f t="shared" ca="1" si="380"/>
        <v>1.2266078426751732</v>
      </c>
      <c r="W867" s="304">
        <f t="shared" ca="1" si="381"/>
        <v>58.419857686188692</v>
      </c>
      <c r="Y867" s="314" t="str">
        <f t="shared" ca="1" si="399"/>
        <v/>
      </c>
      <c r="Z867" s="315" t="str">
        <f t="shared" ca="1" si="400"/>
        <v/>
      </c>
      <c r="AA867" s="316" t="str">
        <f t="shared" ca="1" si="401"/>
        <v/>
      </c>
      <c r="AC867" s="310" t="e">
        <f t="shared" ca="1" si="402"/>
        <v>#N/A</v>
      </c>
      <c r="AD867" s="323" t="e">
        <f t="shared" ca="1" si="403"/>
        <v>#N/A</v>
      </c>
      <c r="AE867" s="324" t="e">
        <f t="shared" ca="1" si="382"/>
        <v>#N/A</v>
      </c>
      <c r="AG867" s="306">
        <f t="shared" ca="1" si="404"/>
        <v>1.9281041940909072</v>
      </c>
      <c r="AH867" s="304">
        <f t="shared" ca="1" si="405"/>
        <v>-7.8415571259578813</v>
      </c>
    </row>
    <row r="868" spans="1:34" x14ac:dyDescent="0.2">
      <c r="A868" s="347">
        <f t="shared" ca="1" si="383"/>
        <v>1E-4</v>
      </c>
      <c r="B868" s="304">
        <f t="shared" ca="1" si="384"/>
        <v>34.533900000001346</v>
      </c>
      <c r="D868" s="306">
        <f t="shared" ca="1" si="385"/>
        <v>-0.7103871893237631</v>
      </c>
      <c r="E868" s="307">
        <f t="shared" ca="1" si="386"/>
        <v>-2.0006524329624185</v>
      </c>
      <c r="F868" s="304">
        <f t="shared" ca="1" si="387"/>
        <v>2.1230308797268496</v>
      </c>
      <c r="G868" s="306">
        <f t="shared" ca="1" si="388"/>
        <v>10.912733583891498</v>
      </c>
      <c r="H868" s="307">
        <f t="shared" ca="1" si="389"/>
        <v>-119.9656013420658</v>
      </c>
      <c r="I868" s="304">
        <f t="shared" ca="1" si="390"/>
        <v>120.46092005142769</v>
      </c>
      <c r="J868" s="306">
        <f t="shared" ca="1" si="391"/>
        <v>770.52896740167785</v>
      </c>
      <c r="K868" s="307">
        <f t="shared" ca="1" si="392"/>
        <v>-13.128634922594745</v>
      </c>
      <c r="L868" s="304">
        <f t="shared" ca="1" si="377"/>
        <v>770.64080521344488</v>
      </c>
      <c r="M868" s="306">
        <f t="shared" ca="1" si="393"/>
        <v>-1.4800804710423021</v>
      </c>
      <c r="N868" s="304">
        <f t="shared" ca="1" si="394"/>
        <v>-84.802364330458772</v>
      </c>
      <c r="P868" s="310">
        <f t="shared" ca="1" si="395"/>
        <v>23</v>
      </c>
      <c r="Q868" s="304">
        <f t="shared" ca="1" si="396"/>
        <v>0</v>
      </c>
      <c r="R868" s="306">
        <f t="shared" ca="1" si="397"/>
        <v>0</v>
      </c>
      <c r="S868" s="307">
        <f t="shared" ca="1" si="398"/>
        <v>7.4499999999999984</v>
      </c>
      <c r="T868" s="304">
        <f t="shared" ca="1" si="378"/>
        <v>73.084499999999991</v>
      </c>
      <c r="U868" s="311">
        <f t="shared" ca="1" si="379"/>
        <v>0</v>
      </c>
      <c r="V868" s="306">
        <f t="shared" ca="1" si="380"/>
        <v>1.2266093141829371</v>
      </c>
      <c r="W868" s="304">
        <f t="shared" ca="1" si="381"/>
        <v>58.420114781656579</v>
      </c>
      <c r="Y868" s="314" t="str">
        <f t="shared" ca="1" si="399"/>
        <v/>
      </c>
      <c r="Z868" s="315" t="str">
        <f t="shared" ca="1" si="400"/>
        <v/>
      </c>
      <c r="AA868" s="316" t="str">
        <f t="shared" ca="1" si="401"/>
        <v/>
      </c>
      <c r="AC868" s="310" t="e">
        <f t="shared" ca="1" si="402"/>
        <v>#N/A</v>
      </c>
      <c r="AD868" s="323" t="e">
        <f t="shared" ca="1" si="403"/>
        <v>#N/A</v>
      </c>
      <c r="AE868" s="324" t="e">
        <f t="shared" ca="1" si="382"/>
        <v>#N/A</v>
      </c>
      <c r="AG868" s="306">
        <f t="shared" ca="1" si="404"/>
        <v>1.9280703399801586</v>
      </c>
      <c r="AH868" s="304">
        <f t="shared" ca="1" si="405"/>
        <v>-7.841591635730027</v>
      </c>
    </row>
    <row r="869" spans="1:34" x14ac:dyDescent="0.2">
      <c r="A869" s="347">
        <f t="shared" ca="1" si="383"/>
        <v>1E-4</v>
      </c>
      <c r="B869" s="304">
        <f t="shared" ca="1" si="384"/>
        <v>34.534000000001349</v>
      </c>
      <c r="D869" s="306">
        <f t="shared" ca="1" si="385"/>
        <v>-0.71038455418064206</v>
      </c>
      <c r="E869" s="307">
        <f t="shared" ca="1" si="386"/>
        <v>-2.0006175413103122</v>
      </c>
      <c r="F869" s="304">
        <f t="shared" ca="1" si="387"/>
        <v>2.1229971176186155</v>
      </c>
      <c r="G869" s="306">
        <f t="shared" ca="1" si="388"/>
        <v>10.912662545436079</v>
      </c>
      <c r="H869" s="307">
        <f t="shared" ca="1" si="389"/>
        <v>-119.96580140381992</v>
      </c>
      <c r="I869" s="304">
        <f t="shared" ca="1" si="390"/>
        <v>120.46111285510908</v>
      </c>
      <c r="J869" s="306">
        <f t="shared" ca="1" si="391"/>
        <v>770.52896740167785</v>
      </c>
      <c r="K869" s="307">
        <f t="shared" ca="1" si="392"/>
        <v>-13.140631492732039</v>
      </c>
      <c r="L869" s="304">
        <f t="shared" ca="1" si="377"/>
        <v>770.64100968033347</v>
      </c>
      <c r="M869" s="306">
        <f t="shared" ca="1" si="393"/>
        <v>-1.4800812087928032</v>
      </c>
      <c r="N869" s="304">
        <f t="shared" ca="1" si="394"/>
        <v>-84.802406600448819</v>
      </c>
      <c r="P869" s="310">
        <f t="shared" ca="1" si="395"/>
        <v>23</v>
      </c>
      <c r="Q869" s="304">
        <f t="shared" ca="1" si="396"/>
        <v>0</v>
      </c>
      <c r="R869" s="306">
        <f t="shared" ca="1" si="397"/>
        <v>0</v>
      </c>
      <c r="S869" s="307">
        <f t="shared" ca="1" si="398"/>
        <v>7.4499999999999984</v>
      </c>
      <c r="T869" s="304">
        <f t="shared" ca="1" si="378"/>
        <v>73.084499999999991</v>
      </c>
      <c r="U869" s="311">
        <f t="shared" ca="1" si="379"/>
        <v>0</v>
      </c>
      <c r="V869" s="306">
        <f t="shared" ca="1" si="380"/>
        <v>1.2266107856949215</v>
      </c>
      <c r="W869" s="304">
        <f t="shared" ca="1" si="381"/>
        <v>58.420371874789858</v>
      </c>
      <c r="Y869" s="314" t="str">
        <f t="shared" ca="1" si="399"/>
        <v/>
      </c>
      <c r="Z869" s="315" t="str">
        <f t="shared" ca="1" si="400"/>
        <v/>
      </c>
      <c r="AA869" s="316" t="str">
        <f t="shared" ca="1" si="401"/>
        <v/>
      </c>
      <c r="AC869" s="310" t="e">
        <f t="shared" ca="1" si="402"/>
        <v>#N/A</v>
      </c>
      <c r="AD869" s="323" t="e">
        <f t="shared" ca="1" si="403"/>
        <v>#N/A</v>
      </c>
      <c r="AE869" s="324" t="e">
        <f t="shared" ca="1" si="382"/>
        <v>#N/A</v>
      </c>
      <c r="AG869" s="306">
        <f t="shared" ca="1" si="404"/>
        <v>1.9280364861710977</v>
      </c>
      <c r="AH869" s="304">
        <f t="shared" ca="1" si="405"/>
        <v>-7.8416261451888039</v>
      </c>
    </row>
    <row r="870" spans="1:34" x14ac:dyDescent="0.2">
      <c r="A870" s="347">
        <f t="shared" ca="1" si="383"/>
        <v>1E-4</v>
      </c>
      <c r="B870" s="304">
        <f t="shared" ca="1" si="384"/>
        <v>34.534100000001352</v>
      </c>
      <c r="D870" s="306">
        <f t="shared" ca="1" si="385"/>
        <v>-0.71038191901398662</v>
      </c>
      <c r="E870" s="307">
        <f t="shared" ca="1" si="386"/>
        <v>-2.0005826499750166</v>
      </c>
      <c r="F870" s="304">
        <f t="shared" ca="1" si="387"/>
        <v>2.1229633558408523</v>
      </c>
      <c r="G870" s="306">
        <f t="shared" ca="1" si="388"/>
        <v>10.912591507244178</v>
      </c>
      <c r="H870" s="307">
        <f t="shared" ca="1" si="389"/>
        <v>-119.96600146208492</v>
      </c>
      <c r="I870" s="304">
        <f t="shared" ca="1" si="390"/>
        <v>120.46130565540511</v>
      </c>
      <c r="J870" s="306">
        <f t="shared" ca="1" si="391"/>
        <v>770.52896740167785</v>
      </c>
      <c r="K870" s="307">
        <f t="shared" ca="1" si="392"/>
        <v>-13.152628082875335</v>
      </c>
      <c r="L870" s="304">
        <f t="shared" ca="1" si="377"/>
        <v>770.64121433425964</v>
      </c>
      <c r="M870" s="306">
        <f t="shared" ca="1" si="393"/>
        <v>-1.4800819465361406</v>
      </c>
      <c r="N870" s="304">
        <f t="shared" ca="1" si="394"/>
        <v>-84.802448870028414</v>
      </c>
      <c r="P870" s="310">
        <f t="shared" ca="1" si="395"/>
        <v>23</v>
      </c>
      <c r="Q870" s="304">
        <f t="shared" ca="1" si="396"/>
        <v>0</v>
      </c>
      <c r="R870" s="306">
        <f t="shared" ca="1" si="397"/>
        <v>0</v>
      </c>
      <c r="S870" s="307">
        <f t="shared" ca="1" si="398"/>
        <v>7.4499999999999984</v>
      </c>
      <c r="T870" s="304">
        <f t="shared" ca="1" si="378"/>
        <v>73.084499999999991</v>
      </c>
      <c r="U870" s="311">
        <f t="shared" ca="1" si="379"/>
        <v>0</v>
      </c>
      <c r="V870" s="306">
        <f t="shared" ca="1" si="380"/>
        <v>1.226612257211126</v>
      </c>
      <c r="W870" s="304">
        <f t="shared" ca="1" si="381"/>
        <v>58.42062896558852</v>
      </c>
      <c r="Y870" s="314" t="str">
        <f t="shared" ca="1" si="399"/>
        <v/>
      </c>
      <c r="Z870" s="315" t="str">
        <f t="shared" ca="1" si="400"/>
        <v/>
      </c>
      <c r="AA870" s="316" t="str">
        <f t="shared" ca="1" si="401"/>
        <v/>
      </c>
      <c r="AC870" s="310" t="e">
        <f t="shared" ca="1" si="402"/>
        <v>#N/A</v>
      </c>
      <c r="AD870" s="323" t="e">
        <f t="shared" ca="1" si="403"/>
        <v>#N/A</v>
      </c>
      <c r="AE870" s="324" t="e">
        <f t="shared" ca="1" si="382"/>
        <v>#N/A</v>
      </c>
      <c r="AG870" s="306">
        <f t="shared" ca="1" si="404"/>
        <v>1.9280026326637181</v>
      </c>
      <c r="AH870" s="304">
        <f t="shared" ca="1" si="405"/>
        <v>-7.8416606543342109</v>
      </c>
    </row>
    <row r="871" spans="1:34" x14ac:dyDescent="0.2">
      <c r="A871" s="347">
        <f t="shared" ca="1" si="383"/>
        <v>1E-4</v>
      </c>
      <c r="B871" s="304">
        <f t="shared" ca="1" si="384"/>
        <v>34.534200000001356</v>
      </c>
      <c r="D871" s="306">
        <f t="shared" ca="1" si="385"/>
        <v>-0.71037928382379278</v>
      </c>
      <c r="E871" s="307">
        <f t="shared" ca="1" si="386"/>
        <v>-2.0005477589565297</v>
      </c>
      <c r="F871" s="304">
        <f t="shared" ca="1" si="387"/>
        <v>2.1229295943935584</v>
      </c>
      <c r="G871" s="306">
        <f t="shared" ca="1" si="388"/>
        <v>10.912520469315796</v>
      </c>
      <c r="H871" s="307">
        <f t="shared" ca="1" si="389"/>
        <v>-119.96620151686082</v>
      </c>
      <c r="I871" s="304">
        <f t="shared" ca="1" si="390"/>
        <v>120.46149845231585</v>
      </c>
      <c r="J871" s="306">
        <f t="shared" ca="1" si="391"/>
        <v>770.52896740167785</v>
      </c>
      <c r="K871" s="307">
        <f t="shared" ca="1" si="392"/>
        <v>-13.164624693024283</v>
      </c>
      <c r="L871" s="304">
        <f t="shared" ca="1" si="377"/>
        <v>770.64141917522454</v>
      </c>
      <c r="M871" s="306">
        <f t="shared" ca="1" si="393"/>
        <v>-1.4800826842723138</v>
      </c>
      <c r="N871" s="304">
        <f t="shared" ca="1" si="394"/>
        <v>-84.802491139197528</v>
      </c>
      <c r="P871" s="310">
        <f t="shared" ca="1" si="395"/>
        <v>23</v>
      </c>
      <c r="Q871" s="304">
        <f t="shared" ca="1" si="396"/>
        <v>0</v>
      </c>
      <c r="R871" s="306">
        <f t="shared" ca="1" si="397"/>
        <v>0</v>
      </c>
      <c r="S871" s="307">
        <f t="shared" ca="1" si="398"/>
        <v>7.4499999999999984</v>
      </c>
      <c r="T871" s="304">
        <f t="shared" ca="1" si="378"/>
        <v>73.084499999999991</v>
      </c>
      <c r="U871" s="311">
        <f t="shared" ca="1" si="379"/>
        <v>0</v>
      </c>
      <c r="V871" s="306">
        <f t="shared" ca="1" si="380"/>
        <v>1.2266137287315511</v>
      </c>
      <c r="W871" s="304">
        <f t="shared" ca="1" si="381"/>
        <v>58.42088605405263</v>
      </c>
      <c r="Y871" s="314" t="str">
        <f t="shared" ca="1" si="399"/>
        <v/>
      </c>
      <c r="Z871" s="315" t="str">
        <f t="shared" ca="1" si="400"/>
        <v/>
      </c>
      <c r="AA871" s="316" t="str">
        <f t="shared" ca="1" si="401"/>
        <v/>
      </c>
      <c r="AC871" s="310" t="e">
        <f t="shared" ca="1" si="402"/>
        <v>#N/A</v>
      </c>
      <c r="AD871" s="323" t="e">
        <f t="shared" ca="1" si="403"/>
        <v>#N/A</v>
      </c>
      <c r="AE871" s="324" t="e">
        <f t="shared" ca="1" si="382"/>
        <v>#N/A</v>
      </c>
      <c r="AG871" s="306">
        <f t="shared" ca="1" si="404"/>
        <v>1.9279687794580287</v>
      </c>
      <c r="AH871" s="304">
        <f t="shared" ca="1" si="405"/>
        <v>-7.8416951631662464</v>
      </c>
    </row>
    <row r="872" spans="1:34" x14ac:dyDescent="0.2">
      <c r="A872" s="347">
        <f t="shared" ca="1" si="383"/>
        <v>1E-4</v>
      </c>
      <c r="B872" s="304">
        <f t="shared" ca="1" si="384"/>
        <v>34.534300000001359</v>
      </c>
      <c r="D872" s="306">
        <f t="shared" ca="1" si="385"/>
        <v>-0.71037664861006444</v>
      </c>
      <c r="E872" s="307">
        <f t="shared" ca="1" si="386"/>
        <v>-2.0005128682548436</v>
      </c>
      <c r="F872" s="304">
        <f t="shared" ca="1" si="387"/>
        <v>2.1228958332767269</v>
      </c>
      <c r="G872" s="306">
        <f t="shared" ca="1" si="388"/>
        <v>10.912449431650934</v>
      </c>
      <c r="H872" s="307">
        <f t="shared" ca="1" si="389"/>
        <v>-119.96640156814765</v>
      </c>
      <c r="I872" s="304">
        <f t="shared" ca="1" si="390"/>
        <v>120.46169124584129</v>
      </c>
      <c r="J872" s="306">
        <f t="shared" ca="1" si="391"/>
        <v>770.52896740167785</v>
      </c>
      <c r="K872" s="307">
        <f t="shared" ca="1" si="392"/>
        <v>-13.176621323178534</v>
      </c>
      <c r="L872" s="304">
        <f t="shared" ca="1" si="377"/>
        <v>770.64162420322873</v>
      </c>
      <c r="M872" s="306">
        <f t="shared" ca="1" si="393"/>
        <v>-1.480083422001323</v>
      </c>
      <c r="N872" s="304">
        <f t="shared" ca="1" si="394"/>
        <v>-84.802533407956176</v>
      </c>
      <c r="P872" s="310">
        <f t="shared" ca="1" si="395"/>
        <v>23</v>
      </c>
      <c r="Q872" s="304">
        <f t="shared" ca="1" si="396"/>
        <v>0</v>
      </c>
      <c r="R872" s="306">
        <f t="shared" ca="1" si="397"/>
        <v>0</v>
      </c>
      <c r="S872" s="307">
        <f t="shared" ca="1" si="398"/>
        <v>7.4499999999999984</v>
      </c>
      <c r="T872" s="304">
        <f t="shared" ca="1" si="378"/>
        <v>73.084499999999991</v>
      </c>
      <c r="U872" s="311">
        <f t="shared" ca="1" si="379"/>
        <v>0</v>
      </c>
      <c r="V872" s="306">
        <f t="shared" ca="1" si="380"/>
        <v>1.2266152002561963</v>
      </c>
      <c r="W872" s="304">
        <f t="shared" ca="1" si="381"/>
        <v>58.421143140182117</v>
      </c>
      <c r="Y872" s="314" t="str">
        <f t="shared" ca="1" si="399"/>
        <v/>
      </c>
      <c r="Z872" s="315" t="str">
        <f t="shared" ca="1" si="400"/>
        <v/>
      </c>
      <c r="AA872" s="316" t="str">
        <f t="shared" ca="1" si="401"/>
        <v/>
      </c>
      <c r="AC872" s="310" t="e">
        <f t="shared" ca="1" si="402"/>
        <v>#N/A</v>
      </c>
      <c r="AD872" s="323" t="e">
        <f t="shared" ca="1" si="403"/>
        <v>#N/A</v>
      </c>
      <c r="AE872" s="324" t="e">
        <f t="shared" ca="1" si="382"/>
        <v>#N/A</v>
      </c>
      <c r="AG872" s="306">
        <f t="shared" ca="1" si="404"/>
        <v>1.9279349265540198</v>
      </c>
      <c r="AH872" s="304">
        <f t="shared" ca="1" si="405"/>
        <v>-7.8417296716849183</v>
      </c>
    </row>
    <row r="873" spans="1:34" x14ac:dyDescent="0.2">
      <c r="A873" s="347">
        <f t="shared" ca="1" si="383"/>
        <v>1E-4</v>
      </c>
      <c r="B873" s="304">
        <f t="shared" ca="1" si="384"/>
        <v>34.534400000001362</v>
      </c>
      <c r="D873" s="306">
        <f t="shared" ca="1" si="385"/>
        <v>-0.71037401337280248</v>
      </c>
      <c r="E873" s="307">
        <f t="shared" ca="1" si="386"/>
        <v>-2.0004779778699699</v>
      </c>
      <c r="F873" s="304">
        <f t="shared" ca="1" si="387"/>
        <v>2.1228620724903693</v>
      </c>
      <c r="G873" s="306">
        <f t="shared" ca="1" si="388"/>
        <v>10.912378394249597</v>
      </c>
      <c r="H873" s="307">
        <f t="shared" ca="1" si="389"/>
        <v>-119.96660161594544</v>
      </c>
      <c r="I873" s="304">
        <f t="shared" ca="1" si="390"/>
        <v>120.46188403598147</v>
      </c>
      <c r="J873" s="306">
        <f t="shared" ca="1" si="391"/>
        <v>770.52896740167785</v>
      </c>
      <c r="K873" s="307">
        <f t="shared" ca="1" si="392"/>
        <v>-13.188617973337738</v>
      </c>
      <c r="L873" s="304">
        <f t="shared" ca="1" si="377"/>
        <v>770.64182941827301</v>
      </c>
      <c r="M873" s="306">
        <f t="shared" ca="1" si="393"/>
        <v>-1.4800841597231686</v>
      </c>
      <c r="N873" s="304">
        <f t="shared" ca="1" si="394"/>
        <v>-84.802575676304386</v>
      </c>
      <c r="P873" s="310">
        <f t="shared" ca="1" si="395"/>
        <v>23</v>
      </c>
      <c r="Q873" s="304">
        <f t="shared" ca="1" si="396"/>
        <v>0</v>
      </c>
      <c r="R873" s="306">
        <f t="shared" ca="1" si="397"/>
        <v>0</v>
      </c>
      <c r="S873" s="307">
        <f t="shared" ca="1" si="398"/>
        <v>7.4499999999999984</v>
      </c>
      <c r="T873" s="304">
        <f t="shared" ca="1" si="378"/>
        <v>73.084499999999991</v>
      </c>
      <c r="U873" s="311">
        <f t="shared" ca="1" si="379"/>
        <v>0</v>
      </c>
      <c r="V873" s="306">
        <f t="shared" ca="1" si="380"/>
        <v>1.226616671785062</v>
      </c>
      <c r="W873" s="304">
        <f t="shared" ca="1" si="381"/>
        <v>58.421400223977017</v>
      </c>
      <c r="Y873" s="314" t="str">
        <f t="shared" ca="1" si="399"/>
        <v/>
      </c>
      <c r="Z873" s="315" t="str">
        <f t="shared" ca="1" si="400"/>
        <v/>
      </c>
      <c r="AA873" s="316" t="str">
        <f t="shared" ca="1" si="401"/>
        <v/>
      </c>
      <c r="AC873" s="310" t="e">
        <f t="shared" ca="1" si="402"/>
        <v>#N/A</v>
      </c>
      <c r="AD873" s="323" t="e">
        <f t="shared" ca="1" si="403"/>
        <v>#N/A</v>
      </c>
      <c r="AE873" s="324" t="e">
        <f t="shared" ca="1" si="382"/>
        <v>#N/A</v>
      </c>
      <c r="AG873" s="306">
        <f t="shared" ca="1" si="404"/>
        <v>1.9279010739516957</v>
      </c>
      <c r="AH873" s="304">
        <f t="shared" ca="1" si="405"/>
        <v>-7.8417641798902187</v>
      </c>
    </row>
    <row r="874" spans="1:34" x14ac:dyDescent="0.2">
      <c r="A874" s="347">
        <f t="shared" ca="1" si="383"/>
        <v>1E-4</v>
      </c>
      <c r="B874" s="304">
        <f t="shared" ca="1" si="384"/>
        <v>34.534500000001366</v>
      </c>
      <c r="D874" s="306">
        <f t="shared" ca="1" si="385"/>
        <v>-0.71037137811200513</v>
      </c>
      <c r="E874" s="307">
        <f t="shared" ca="1" si="386"/>
        <v>-2.0004430878018997</v>
      </c>
      <c r="F874" s="304">
        <f t="shared" ca="1" si="387"/>
        <v>2.1228283120344771</v>
      </c>
      <c r="G874" s="306">
        <f t="shared" ca="1" si="388"/>
        <v>10.912307357111786</v>
      </c>
      <c r="H874" s="307">
        <f t="shared" ca="1" si="389"/>
        <v>-119.96680166025422</v>
      </c>
      <c r="I874" s="304">
        <f t="shared" ca="1" si="390"/>
        <v>120.46207682273642</v>
      </c>
      <c r="J874" s="306">
        <f t="shared" ca="1" si="391"/>
        <v>770.52896740167785</v>
      </c>
      <c r="K874" s="307">
        <f t="shared" ca="1" si="392"/>
        <v>-13.200614643501549</v>
      </c>
      <c r="L874" s="304">
        <f t="shared" ca="1" si="377"/>
        <v>770.64203482035828</v>
      </c>
      <c r="M874" s="306">
        <f t="shared" ca="1" si="393"/>
        <v>-1.4800848974378504</v>
      </c>
      <c r="N874" s="304">
        <f t="shared" ca="1" si="394"/>
        <v>-84.802617944242144</v>
      </c>
      <c r="P874" s="310">
        <f t="shared" ca="1" si="395"/>
        <v>23</v>
      </c>
      <c r="Q874" s="304">
        <f t="shared" ca="1" si="396"/>
        <v>0</v>
      </c>
      <c r="R874" s="306">
        <f t="shared" ca="1" si="397"/>
        <v>0</v>
      </c>
      <c r="S874" s="307">
        <f t="shared" ca="1" si="398"/>
        <v>7.4499999999999984</v>
      </c>
      <c r="T874" s="304">
        <f t="shared" ca="1" si="378"/>
        <v>73.084499999999991</v>
      </c>
      <c r="U874" s="311">
        <f t="shared" ca="1" si="379"/>
        <v>0</v>
      </c>
      <c r="V874" s="306">
        <f t="shared" ca="1" si="380"/>
        <v>1.226618143318148</v>
      </c>
      <c r="W874" s="304">
        <f t="shared" ca="1" si="381"/>
        <v>58.421657305437357</v>
      </c>
      <c r="Y874" s="314" t="str">
        <f t="shared" ca="1" si="399"/>
        <v/>
      </c>
      <c r="Z874" s="315" t="str">
        <f t="shared" ca="1" si="400"/>
        <v/>
      </c>
      <c r="AA874" s="316" t="str">
        <f t="shared" ca="1" si="401"/>
        <v/>
      </c>
      <c r="AC874" s="310" t="e">
        <f t="shared" ca="1" si="402"/>
        <v>#N/A</v>
      </c>
      <c r="AD874" s="323" t="e">
        <f t="shared" ca="1" si="403"/>
        <v>#N/A</v>
      </c>
      <c r="AE874" s="324" t="e">
        <f t="shared" ca="1" si="382"/>
        <v>#N/A</v>
      </c>
      <c r="AG874" s="306">
        <f t="shared" ca="1" si="404"/>
        <v>1.9278672216510575</v>
      </c>
      <c r="AH874" s="304">
        <f t="shared" ca="1" si="405"/>
        <v>-7.8417986877821519</v>
      </c>
    </row>
    <row r="875" spans="1:34" x14ac:dyDescent="0.2">
      <c r="A875" s="347">
        <f t="shared" ca="1" si="383"/>
        <v>1E-4</v>
      </c>
      <c r="B875" s="304">
        <f t="shared" ca="1" si="384"/>
        <v>34.534600000001369</v>
      </c>
      <c r="D875" s="306">
        <f t="shared" ca="1" si="385"/>
        <v>-0.71036874282767581</v>
      </c>
      <c r="E875" s="307">
        <f t="shared" ca="1" si="386"/>
        <v>-2.0004081980506339</v>
      </c>
      <c r="F875" s="304">
        <f t="shared" ca="1" si="387"/>
        <v>2.122794551909053</v>
      </c>
      <c r="G875" s="306">
        <f t="shared" ca="1" si="388"/>
        <v>10.912236320237502</v>
      </c>
      <c r="H875" s="307">
        <f t="shared" ca="1" si="389"/>
        <v>-119.96700170107403</v>
      </c>
      <c r="I875" s="304">
        <f t="shared" ca="1" si="390"/>
        <v>120.46226960610616</v>
      </c>
      <c r="J875" s="306">
        <f t="shared" ca="1" si="391"/>
        <v>770.52896740167785</v>
      </c>
      <c r="K875" s="307">
        <f t="shared" ca="1" si="392"/>
        <v>-13.212611333669615</v>
      </c>
      <c r="L875" s="304">
        <f t="shared" ca="1" si="377"/>
        <v>770.64224040948511</v>
      </c>
      <c r="M875" s="306">
        <f t="shared" ca="1" si="393"/>
        <v>-1.4800856351453686</v>
      </c>
      <c r="N875" s="304">
        <f t="shared" ca="1" si="394"/>
        <v>-84.802660211769449</v>
      </c>
      <c r="P875" s="310">
        <f t="shared" ca="1" si="395"/>
        <v>23</v>
      </c>
      <c r="Q875" s="304">
        <f t="shared" ca="1" si="396"/>
        <v>0</v>
      </c>
      <c r="R875" s="306">
        <f t="shared" ca="1" si="397"/>
        <v>0</v>
      </c>
      <c r="S875" s="307">
        <f t="shared" ca="1" si="398"/>
        <v>7.4499999999999984</v>
      </c>
      <c r="T875" s="304">
        <f t="shared" ca="1" si="378"/>
        <v>73.084499999999991</v>
      </c>
      <c r="U875" s="311">
        <f t="shared" ca="1" si="379"/>
        <v>0</v>
      </c>
      <c r="V875" s="306">
        <f t="shared" ca="1" si="380"/>
        <v>1.2266196148554545</v>
      </c>
      <c r="W875" s="304">
        <f t="shared" ca="1" si="381"/>
        <v>58.421914384563102</v>
      </c>
      <c r="Y875" s="314" t="str">
        <f t="shared" ca="1" si="399"/>
        <v/>
      </c>
      <c r="Z875" s="315" t="str">
        <f t="shared" ca="1" si="400"/>
        <v/>
      </c>
      <c r="AA875" s="316" t="str">
        <f t="shared" ca="1" si="401"/>
        <v/>
      </c>
      <c r="AC875" s="310" t="e">
        <f t="shared" ca="1" si="402"/>
        <v>#N/A</v>
      </c>
      <c r="AD875" s="323" t="e">
        <f t="shared" ca="1" si="403"/>
        <v>#N/A</v>
      </c>
      <c r="AE875" s="324" t="e">
        <f t="shared" ca="1" si="382"/>
        <v>#N/A</v>
      </c>
      <c r="AG875" s="306">
        <f t="shared" ca="1" si="404"/>
        <v>1.9278333696521024</v>
      </c>
      <c r="AH875" s="304">
        <f t="shared" ca="1" si="405"/>
        <v>-7.8418331953607208</v>
      </c>
    </row>
    <row r="876" spans="1:34" x14ac:dyDescent="0.2">
      <c r="A876" s="347">
        <f t="shared" ca="1" si="383"/>
        <v>1E-4</v>
      </c>
      <c r="B876" s="304">
        <f t="shared" ca="1" si="384"/>
        <v>34.534700000001372</v>
      </c>
      <c r="D876" s="306">
        <f t="shared" ca="1" si="385"/>
        <v>-0.71036610751981399</v>
      </c>
      <c r="E876" s="307">
        <f t="shared" ca="1" si="386"/>
        <v>-2.0003733086161732</v>
      </c>
      <c r="F876" s="304">
        <f t="shared" ca="1" si="387"/>
        <v>2.122760792114097</v>
      </c>
      <c r="G876" s="306">
        <f t="shared" ca="1" si="388"/>
        <v>10.91216528362675</v>
      </c>
      <c r="H876" s="307">
        <f t="shared" ca="1" si="389"/>
        <v>-119.96720173840488</v>
      </c>
      <c r="I876" s="304">
        <f t="shared" ca="1" si="390"/>
        <v>120.46246238609073</v>
      </c>
      <c r="J876" s="306">
        <f t="shared" ca="1" si="391"/>
        <v>770.52896740167785</v>
      </c>
      <c r="K876" s="307">
        <f t="shared" ca="1" si="392"/>
        <v>-13.22460804384159</v>
      </c>
      <c r="L876" s="304">
        <f t="shared" ca="1" si="377"/>
        <v>770.64244618565442</v>
      </c>
      <c r="M876" s="306">
        <f t="shared" ca="1" si="393"/>
        <v>-1.4800863728457234</v>
      </c>
      <c r="N876" s="304">
        <f t="shared" ca="1" si="394"/>
        <v>-84.802702478886317</v>
      </c>
      <c r="P876" s="310">
        <f t="shared" ca="1" si="395"/>
        <v>23</v>
      </c>
      <c r="Q876" s="304">
        <f t="shared" ca="1" si="396"/>
        <v>0</v>
      </c>
      <c r="R876" s="306">
        <f t="shared" ca="1" si="397"/>
        <v>0</v>
      </c>
      <c r="S876" s="307">
        <f t="shared" ca="1" si="398"/>
        <v>7.4499999999999984</v>
      </c>
      <c r="T876" s="304">
        <f t="shared" ca="1" si="378"/>
        <v>73.084499999999991</v>
      </c>
      <c r="U876" s="311">
        <f t="shared" ca="1" si="379"/>
        <v>0</v>
      </c>
      <c r="V876" s="306">
        <f t="shared" ca="1" si="380"/>
        <v>1.2266210863969811</v>
      </c>
      <c r="W876" s="304">
        <f t="shared" ca="1" si="381"/>
        <v>58.422171461354289</v>
      </c>
      <c r="Y876" s="314" t="str">
        <f t="shared" ca="1" si="399"/>
        <v/>
      </c>
      <c r="Z876" s="315" t="str">
        <f t="shared" ca="1" si="400"/>
        <v/>
      </c>
      <c r="AA876" s="316" t="str">
        <f t="shared" ca="1" si="401"/>
        <v/>
      </c>
      <c r="AC876" s="310" t="e">
        <f t="shared" ca="1" si="402"/>
        <v>#N/A</v>
      </c>
      <c r="AD876" s="323" t="e">
        <f t="shared" ca="1" si="403"/>
        <v>#N/A</v>
      </c>
      <c r="AE876" s="324" t="e">
        <f t="shared" ca="1" si="382"/>
        <v>#N/A</v>
      </c>
      <c r="AG876" s="306">
        <f t="shared" ca="1" si="404"/>
        <v>1.9277995179548286</v>
      </c>
      <c r="AH876" s="304">
        <f t="shared" ca="1" si="405"/>
        <v>-7.8418677026259216</v>
      </c>
    </row>
    <row r="877" spans="1:34" x14ac:dyDescent="0.2">
      <c r="A877" s="347">
        <f t="shared" ca="1" si="383"/>
        <v>1E-4</v>
      </c>
      <c r="B877" s="304">
        <f t="shared" ca="1" si="384"/>
        <v>34.534800000001376</v>
      </c>
      <c r="D877" s="306">
        <f t="shared" ca="1" si="385"/>
        <v>-0.71036347218841978</v>
      </c>
      <c r="E877" s="307">
        <f t="shared" ca="1" si="386"/>
        <v>-2.0003384194985161</v>
      </c>
      <c r="F877" s="304">
        <f t="shared" ca="1" si="387"/>
        <v>2.1227270326496077</v>
      </c>
      <c r="G877" s="306">
        <f t="shared" ca="1" si="388"/>
        <v>10.912094247279532</v>
      </c>
      <c r="H877" s="307">
        <f t="shared" ca="1" si="389"/>
        <v>-119.96740177224683</v>
      </c>
      <c r="I877" s="304">
        <f t="shared" ca="1" si="390"/>
        <v>120.46265516269017</v>
      </c>
      <c r="J877" s="306">
        <f t="shared" ca="1" si="391"/>
        <v>770.52896740167785</v>
      </c>
      <c r="K877" s="307">
        <f t="shared" ca="1" si="392"/>
        <v>-13.236604774017122</v>
      </c>
      <c r="L877" s="304">
        <f t="shared" ca="1" si="377"/>
        <v>770.64265214886689</v>
      </c>
      <c r="M877" s="306">
        <f t="shared" ca="1" si="393"/>
        <v>-1.4800871105389148</v>
      </c>
      <c r="N877" s="304">
        <f t="shared" ca="1" si="394"/>
        <v>-84.802744745592761</v>
      </c>
      <c r="P877" s="310">
        <f t="shared" ca="1" si="395"/>
        <v>23</v>
      </c>
      <c r="Q877" s="304">
        <f t="shared" ca="1" si="396"/>
        <v>0</v>
      </c>
      <c r="R877" s="306">
        <f t="shared" ca="1" si="397"/>
        <v>0</v>
      </c>
      <c r="S877" s="307">
        <f t="shared" ca="1" si="398"/>
        <v>7.4499999999999984</v>
      </c>
      <c r="T877" s="304">
        <f t="shared" ca="1" si="378"/>
        <v>73.084499999999991</v>
      </c>
      <c r="U877" s="311">
        <f t="shared" ca="1" si="379"/>
        <v>0</v>
      </c>
      <c r="V877" s="306">
        <f t="shared" ca="1" si="380"/>
        <v>1.2266225579427279</v>
      </c>
      <c r="W877" s="304">
        <f t="shared" ca="1" si="381"/>
        <v>58.42242853581088</v>
      </c>
      <c r="Y877" s="314" t="str">
        <f t="shared" ca="1" si="399"/>
        <v/>
      </c>
      <c r="Z877" s="315" t="str">
        <f t="shared" ca="1" si="400"/>
        <v/>
      </c>
      <c r="AA877" s="316" t="str">
        <f t="shared" ca="1" si="401"/>
        <v/>
      </c>
      <c r="AC877" s="310" t="e">
        <f t="shared" ca="1" si="402"/>
        <v>#N/A</v>
      </c>
      <c r="AD877" s="323" t="e">
        <f t="shared" ca="1" si="403"/>
        <v>#N/A</v>
      </c>
      <c r="AE877" s="324" t="e">
        <f t="shared" ca="1" si="382"/>
        <v>#N/A</v>
      </c>
      <c r="AG877" s="306">
        <f t="shared" ca="1" si="404"/>
        <v>1.9277656665592389</v>
      </c>
      <c r="AH877" s="304">
        <f t="shared" ca="1" si="405"/>
        <v>-7.8419022095777589</v>
      </c>
    </row>
    <row r="878" spans="1:34" x14ac:dyDescent="0.2">
      <c r="A878" s="347">
        <f t="shared" ca="1" si="383"/>
        <v>1E-4</v>
      </c>
      <c r="B878" s="304">
        <f t="shared" ca="1" si="384"/>
        <v>34.534900000001379</v>
      </c>
      <c r="D878" s="306">
        <f t="shared" ca="1" si="385"/>
        <v>-0.71036083683349383</v>
      </c>
      <c r="E878" s="307">
        <f t="shared" ca="1" si="386"/>
        <v>-2.0003035306976651</v>
      </c>
      <c r="F878" s="304">
        <f t="shared" ca="1" si="387"/>
        <v>2.1226932735155888</v>
      </c>
      <c r="G878" s="306">
        <f t="shared" ca="1" si="388"/>
        <v>10.912023211195848</v>
      </c>
      <c r="H878" s="307">
        <f t="shared" ca="1" si="389"/>
        <v>-119.9676018025999</v>
      </c>
      <c r="I878" s="304">
        <f t="shared" ca="1" si="390"/>
        <v>120.46284793590449</v>
      </c>
      <c r="J878" s="306">
        <f t="shared" ca="1" si="391"/>
        <v>770.52896740167785</v>
      </c>
      <c r="K878" s="307">
        <f t="shared" ca="1" si="392"/>
        <v>-13.248601524195864</v>
      </c>
      <c r="L878" s="304">
        <f t="shared" ca="1" si="377"/>
        <v>770.64285829912342</v>
      </c>
      <c r="M878" s="306">
        <f t="shared" ca="1" si="393"/>
        <v>-1.4800878482249429</v>
      </c>
      <c r="N878" s="304">
        <f t="shared" ca="1" si="394"/>
        <v>-84.802787011888782</v>
      </c>
      <c r="P878" s="310">
        <f t="shared" ca="1" si="395"/>
        <v>23</v>
      </c>
      <c r="Q878" s="304">
        <f t="shared" ca="1" si="396"/>
        <v>0</v>
      </c>
      <c r="R878" s="306">
        <f t="shared" ca="1" si="397"/>
        <v>0</v>
      </c>
      <c r="S878" s="307">
        <f t="shared" ca="1" si="398"/>
        <v>7.4499999999999984</v>
      </c>
      <c r="T878" s="304">
        <f t="shared" ca="1" si="378"/>
        <v>73.084499999999991</v>
      </c>
      <c r="U878" s="311">
        <f t="shared" ca="1" si="379"/>
        <v>0</v>
      </c>
      <c r="V878" s="306">
        <f t="shared" ca="1" si="380"/>
        <v>1.2266240294926947</v>
      </c>
      <c r="W878" s="304">
        <f t="shared" ca="1" si="381"/>
        <v>58.422685607932891</v>
      </c>
      <c r="Y878" s="314" t="str">
        <f t="shared" ca="1" si="399"/>
        <v/>
      </c>
      <c r="Z878" s="315" t="str">
        <f t="shared" ca="1" si="400"/>
        <v/>
      </c>
      <c r="AA878" s="316" t="str">
        <f t="shared" ca="1" si="401"/>
        <v/>
      </c>
      <c r="AC878" s="310" t="e">
        <f t="shared" ca="1" si="402"/>
        <v>#N/A</v>
      </c>
      <c r="AD878" s="323" t="e">
        <f t="shared" ca="1" si="403"/>
        <v>#N/A</v>
      </c>
      <c r="AE878" s="324" t="e">
        <f t="shared" ca="1" si="382"/>
        <v>#N/A</v>
      </c>
      <c r="AG878" s="306">
        <f t="shared" ca="1" si="404"/>
        <v>1.9277318154653349</v>
      </c>
      <c r="AH878" s="304">
        <f t="shared" ca="1" si="405"/>
        <v>-7.8419367162162272</v>
      </c>
    </row>
    <row r="879" spans="1:34" x14ac:dyDescent="0.2">
      <c r="A879" s="347">
        <f t="shared" ca="1" si="383"/>
        <v>1E-4</v>
      </c>
      <c r="B879" s="304">
        <f t="shared" ca="1" si="384"/>
        <v>34.535000000001382</v>
      </c>
      <c r="D879" s="306">
        <f t="shared" ca="1" si="385"/>
        <v>-0.71035820145503836</v>
      </c>
      <c r="E879" s="307">
        <f t="shared" ca="1" si="386"/>
        <v>-2.0002686422136193</v>
      </c>
      <c r="F879" s="304">
        <f t="shared" ca="1" si="387"/>
        <v>2.1226595147120402</v>
      </c>
      <c r="G879" s="306">
        <f t="shared" ca="1" si="388"/>
        <v>10.911952175375703</v>
      </c>
      <c r="H879" s="307">
        <f t="shared" ca="1" si="389"/>
        <v>-119.96780182946412</v>
      </c>
      <c r="I879" s="304">
        <f t="shared" ca="1" si="390"/>
        <v>120.46304070573373</v>
      </c>
      <c r="J879" s="306">
        <f t="shared" ca="1" si="391"/>
        <v>770.52896740167785</v>
      </c>
      <c r="K879" s="307">
        <f t="shared" ca="1" si="392"/>
        <v>-13.260598294377468</v>
      </c>
      <c r="L879" s="304">
        <f t="shared" ca="1" si="377"/>
        <v>770.64306463642481</v>
      </c>
      <c r="M879" s="306">
        <f t="shared" ca="1" si="393"/>
        <v>-1.4800885859038078</v>
      </c>
      <c r="N879" s="304">
        <f t="shared" ca="1" si="394"/>
        <v>-84.802829277774379</v>
      </c>
      <c r="P879" s="310">
        <f t="shared" ca="1" si="395"/>
        <v>23</v>
      </c>
      <c r="Q879" s="304">
        <f t="shared" ca="1" si="396"/>
        <v>0</v>
      </c>
      <c r="R879" s="306">
        <f t="shared" ca="1" si="397"/>
        <v>0</v>
      </c>
      <c r="S879" s="307">
        <f t="shared" ca="1" si="398"/>
        <v>7.4499999999999984</v>
      </c>
      <c r="T879" s="304">
        <f t="shared" ca="1" si="378"/>
        <v>73.084499999999991</v>
      </c>
      <c r="U879" s="311">
        <f t="shared" ca="1" si="379"/>
        <v>0</v>
      </c>
      <c r="V879" s="306">
        <f t="shared" ca="1" si="380"/>
        <v>1.2266255010468821</v>
      </c>
      <c r="W879" s="304">
        <f t="shared" ca="1" si="381"/>
        <v>58.422942677720343</v>
      </c>
      <c r="Y879" s="314" t="str">
        <f t="shared" ca="1" si="399"/>
        <v/>
      </c>
      <c r="Z879" s="315" t="str">
        <f t="shared" ca="1" si="400"/>
        <v/>
      </c>
      <c r="AA879" s="316" t="str">
        <f t="shared" ca="1" si="401"/>
        <v/>
      </c>
      <c r="AC879" s="310" t="e">
        <f t="shared" ca="1" si="402"/>
        <v>#N/A</v>
      </c>
      <c r="AD879" s="323" t="e">
        <f t="shared" ca="1" si="403"/>
        <v>#N/A</v>
      </c>
      <c r="AE879" s="324" t="e">
        <f t="shared" ca="1" si="382"/>
        <v>#N/A</v>
      </c>
      <c r="AG879" s="306">
        <f t="shared" ca="1" si="404"/>
        <v>1.9276979646731141</v>
      </c>
      <c r="AH879" s="304">
        <f t="shared" ca="1" si="405"/>
        <v>-7.8419712225413294</v>
      </c>
    </row>
    <row r="880" spans="1:34" x14ac:dyDescent="0.2">
      <c r="A880" s="347">
        <f t="shared" ca="1" si="383"/>
        <v>1E-4</v>
      </c>
      <c r="B880" s="304">
        <f t="shared" ca="1" si="384"/>
        <v>34.535100000001385</v>
      </c>
      <c r="D880" s="306">
        <f t="shared" ca="1" si="385"/>
        <v>-0.71035556605305283</v>
      </c>
      <c r="E880" s="307">
        <f t="shared" ca="1" si="386"/>
        <v>-2.0002337540463753</v>
      </c>
      <c r="F880" s="304">
        <f t="shared" ca="1" si="387"/>
        <v>2.1226257562389579</v>
      </c>
      <c r="G880" s="306">
        <f t="shared" ca="1" si="388"/>
        <v>10.911881139819098</v>
      </c>
      <c r="H880" s="307">
        <f t="shared" ca="1" si="389"/>
        <v>-119.96800185283952</v>
      </c>
      <c r="I880" s="304">
        <f t="shared" ca="1" si="390"/>
        <v>120.46323347217792</v>
      </c>
      <c r="J880" s="306">
        <f t="shared" ca="1" si="391"/>
        <v>770.52896740167785</v>
      </c>
      <c r="K880" s="307">
        <f t="shared" ca="1" si="392"/>
        <v>-13.272595084561583</v>
      </c>
      <c r="L880" s="304">
        <f t="shared" ca="1" si="377"/>
        <v>770.64327116077175</v>
      </c>
      <c r="M880" s="306">
        <f t="shared" ca="1" si="393"/>
        <v>-1.4800893235755097</v>
      </c>
      <c r="N880" s="304">
        <f t="shared" ca="1" si="394"/>
        <v>-84.802871543249566</v>
      </c>
      <c r="P880" s="310">
        <f t="shared" ca="1" si="395"/>
        <v>23</v>
      </c>
      <c r="Q880" s="304">
        <f t="shared" ca="1" si="396"/>
        <v>0</v>
      </c>
      <c r="R880" s="306">
        <f t="shared" ca="1" si="397"/>
        <v>0</v>
      </c>
      <c r="S880" s="307">
        <f t="shared" ca="1" si="398"/>
        <v>7.4499999999999984</v>
      </c>
      <c r="T880" s="304">
        <f t="shared" ca="1" si="378"/>
        <v>73.084499999999991</v>
      </c>
      <c r="U880" s="311">
        <f t="shared" ca="1" si="379"/>
        <v>0</v>
      </c>
      <c r="V880" s="306">
        <f t="shared" ca="1" si="380"/>
        <v>1.2266269726052892</v>
      </c>
      <c r="W880" s="304">
        <f t="shared" ca="1" si="381"/>
        <v>58.423199745173235</v>
      </c>
      <c r="Y880" s="314" t="str">
        <f t="shared" ca="1" si="399"/>
        <v/>
      </c>
      <c r="Z880" s="315" t="str">
        <f t="shared" ca="1" si="400"/>
        <v/>
      </c>
      <c r="AA880" s="316" t="str">
        <f t="shared" ca="1" si="401"/>
        <v/>
      </c>
      <c r="AC880" s="310" t="e">
        <f t="shared" ca="1" si="402"/>
        <v>#N/A</v>
      </c>
      <c r="AD880" s="323" t="e">
        <f t="shared" ca="1" si="403"/>
        <v>#N/A</v>
      </c>
      <c r="AE880" s="324" t="e">
        <f t="shared" ca="1" si="382"/>
        <v>#N/A</v>
      </c>
      <c r="AG880" s="306">
        <f t="shared" ca="1" si="404"/>
        <v>1.9276641141825772</v>
      </c>
      <c r="AH880" s="304">
        <f t="shared" ca="1" si="405"/>
        <v>-7.842005728553068</v>
      </c>
    </row>
    <row r="881" spans="1:34" x14ac:dyDescent="0.2">
      <c r="A881" s="347">
        <f t="shared" ca="1" si="383"/>
        <v>1E-4</v>
      </c>
      <c r="B881" s="304">
        <f t="shared" ca="1" si="384"/>
        <v>34.535200000001389</v>
      </c>
      <c r="D881" s="306">
        <f t="shared" ca="1" si="385"/>
        <v>-0.71035293062753713</v>
      </c>
      <c r="E881" s="307">
        <f t="shared" ca="1" si="386"/>
        <v>-2.0001988661959338</v>
      </c>
      <c r="F881" s="304">
        <f t="shared" ca="1" si="387"/>
        <v>2.1225919980963441</v>
      </c>
      <c r="G881" s="306">
        <f t="shared" ca="1" si="388"/>
        <v>10.911810104526035</v>
      </c>
      <c r="H881" s="307">
        <f t="shared" ca="1" si="389"/>
        <v>-119.96820187272614</v>
      </c>
      <c r="I881" s="304">
        <f t="shared" ca="1" si="390"/>
        <v>120.46342623523709</v>
      </c>
      <c r="J881" s="306">
        <f t="shared" ca="1" si="391"/>
        <v>770.52896740167785</v>
      </c>
      <c r="K881" s="307">
        <f t="shared" ca="1" si="392"/>
        <v>-13.284591894747862</v>
      </c>
      <c r="L881" s="304">
        <f t="shared" ca="1" si="377"/>
        <v>770.64347787216491</v>
      </c>
      <c r="M881" s="306">
        <f t="shared" ca="1" si="393"/>
        <v>-1.4800900612400485</v>
      </c>
      <c r="N881" s="304">
        <f t="shared" ca="1" si="394"/>
        <v>-84.802913808314329</v>
      </c>
      <c r="P881" s="310">
        <f t="shared" ca="1" si="395"/>
        <v>23</v>
      </c>
      <c r="Q881" s="304">
        <f t="shared" ca="1" si="396"/>
        <v>0</v>
      </c>
      <c r="R881" s="306">
        <f t="shared" ca="1" si="397"/>
        <v>0</v>
      </c>
      <c r="S881" s="307">
        <f t="shared" ca="1" si="398"/>
        <v>7.4499999999999984</v>
      </c>
      <c r="T881" s="304">
        <f t="shared" ca="1" si="378"/>
        <v>73.084499999999991</v>
      </c>
      <c r="U881" s="311">
        <f t="shared" ca="1" si="379"/>
        <v>0</v>
      </c>
      <c r="V881" s="306">
        <f t="shared" ca="1" si="380"/>
        <v>1.2266284441679165</v>
      </c>
      <c r="W881" s="304">
        <f t="shared" ca="1" si="381"/>
        <v>58.423456810291555</v>
      </c>
      <c r="Y881" s="314" t="str">
        <f t="shared" ca="1" si="399"/>
        <v/>
      </c>
      <c r="Z881" s="315" t="str">
        <f t="shared" ca="1" si="400"/>
        <v/>
      </c>
      <c r="AA881" s="316" t="str">
        <f t="shared" ca="1" si="401"/>
        <v/>
      </c>
      <c r="AC881" s="310" t="e">
        <f t="shared" ca="1" si="402"/>
        <v>#N/A</v>
      </c>
      <c r="AD881" s="323" t="e">
        <f t="shared" ca="1" si="403"/>
        <v>#N/A</v>
      </c>
      <c r="AE881" s="324" t="e">
        <f t="shared" ca="1" si="382"/>
        <v>#N/A</v>
      </c>
      <c r="AG881" s="306">
        <f t="shared" ca="1" si="404"/>
        <v>1.9276302639937191</v>
      </c>
      <c r="AH881" s="304">
        <f t="shared" ca="1" si="405"/>
        <v>-7.842040234251443</v>
      </c>
    </row>
    <row r="882" spans="1:34" x14ac:dyDescent="0.2">
      <c r="A882" s="347">
        <f t="shared" ca="1" si="383"/>
        <v>1E-4</v>
      </c>
      <c r="B882" s="304">
        <f t="shared" ca="1" si="384"/>
        <v>34.535300000001392</v>
      </c>
      <c r="D882" s="306">
        <f t="shared" ca="1" si="385"/>
        <v>-0.71035029517849424</v>
      </c>
      <c r="E882" s="307">
        <f t="shared" ca="1" si="386"/>
        <v>-2.0001639786622958</v>
      </c>
      <c r="F882" s="304">
        <f t="shared" ca="1" si="387"/>
        <v>2.1225582402841998</v>
      </c>
      <c r="G882" s="306">
        <f t="shared" ca="1" si="388"/>
        <v>10.911739069496518</v>
      </c>
      <c r="H882" s="307">
        <f t="shared" ca="1" si="389"/>
        <v>-119.96840188912401</v>
      </c>
      <c r="I882" s="304">
        <f t="shared" ca="1" si="390"/>
        <v>120.46361899491129</v>
      </c>
      <c r="J882" s="306">
        <f t="shared" ca="1" si="391"/>
        <v>770.52896740167785</v>
      </c>
      <c r="K882" s="307">
        <f t="shared" ca="1" si="392"/>
        <v>-13.296588724935955</v>
      </c>
      <c r="L882" s="304">
        <f t="shared" ca="1" si="377"/>
        <v>770.64368477060532</v>
      </c>
      <c r="M882" s="306">
        <f t="shared" ca="1" si="393"/>
        <v>-1.4800907988974246</v>
      </c>
      <c r="N882" s="304">
        <f t="shared" ca="1" si="394"/>
        <v>-84.802956072968712</v>
      </c>
      <c r="P882" s="310">
        <f t="shared" ca="1" si="395"/>
        <v>23</v>
      </c>
      <c r="Q882" s="304">
        <f t="shared" ca="1" si="396"/>
        <v>0</v>
      </c>
      <c r="R882" s="306">
        <f t="shared" ca="1" si="397"/>
        <v>0</v>
      </c>
      <c r="S882" s="307">
        <f t="shared" ca="1" si="398"/>
        <v>7.4499999999999984</v>
      </c>
      <c r="T882" s="304">
        <f t="shared" ca="1" si="378"/>
        <v>73.084499999999991</v>
      </c>
      <c r="U882" s="311">
        <f t="shared" ca="1" si="379"/>
        <v>0</v>
      </c>
      <c r="V882" s="306">
        <f t="shared" ca="1" si="380"/>
        <v>1.226629915734764</v>
      </c>
      <c r="W882" s="304">
        <f t="shared" ca="1" si="381"/>
        <v>58.423713873075343</v>
      </c>
      <c r="Y882" s="314" t="str">
        <f t="shared" ca="1" si="399"/>
        <v/>
      </c>
      <c r="Z882" s="315" t="str">
        <f t="shared" ca="1" si="400"/>
        <v/>
      </c>
      <c r="AA882" s="316" t="str">
        <f t="shared" ca="1" si="401"/>
        <v/>
      </c>
      <c r="AC882" s="310" t="e">
        <f t="shared" ca="1" si="402"/>
        <v>#N/A</v>
      </c>
      <c r="AD882" s="323" t="e">
        <f t="shared" ca="1" si="403"/>
        <v>#N/A</v>
      </c>
      <c r="AE882" s="324" t="e">
        <f t="shared" ca="1" si="382"/>
        <v>#N/A</v>
      </c>
      <c r="AG882" s="306">
        <f t="shared" ca="1" si="404"/>
        <v>1.9275964141065476</v>
      </c>
      <c r="AH882" s="304">
        <f t="shared" ca="1" si="405"/>
        <v>-7.8420747396364519</v>
      </c>
    </row>
    <row r="883" spans="1:34" x14ac:dyDescent="0.2">
      <c r="A883" s="347">
        <f t="shared" ca="1" si="383"/>
        <v>1E-4</v>
      </c>
      <c r="B883" s="304">
        <f t="shared" ca="1" si="384"/>
        <v>34.535400000001395</v>
      </c>
      <c r="D883" s="306">
        <f t="shared" ca="1" si="385"/>
        <v>-0.71034765970592273</v>
      </c>
      <c r="E883" s="307">
        <f t="shared" ca="1" si="386"/>
        <v>-2.000129091445455</v>
      </c>
      <c r="F883" s="304">
        <f t="shared" ca="1" si="387"/>
        <v>2.1225244828025196</v>
      </c>
      <c r="G883" s="306">
        <f t="shared" ca="1" si="388"/>
        <v>10.911668034730548</v>
      </c>
      <c r="H883" s="307">
        <f t="shared" ca="1" si="389"/>
        <v>-119.96860190203316</v>
      </c>
      <c r="I883" s="304">
        <f t="shared" ca="1" si="390"/>
        <v>120.46381175120051</v>
      </c>
      <c r="J883" s="306">
        <f t="shared" ca="1" si="391"/>
        <v>770.52896740167785</v>
      </c>
      <c r="K883" s="307">
        <f t="shared" ca="1" si="392"/>
        <v>-13.308585575125512</v>
      </c>
      <c r="L883" s="304">
        <f t="shared" ca="1" si="377"/>
        <v>770.64389185609355</v>
      </c>
      <c r="M883" s="306">
        <f t="shared" ca="1" si="393"/>
        <v>-1.4800915365476377</v>
      </c>
      <c r="N883" s="304">
        <f t="shared" ca="1" si="394"/>
        <v>-84.802998337212671</v>
      </c>
      <c r="P883" s="310">
        <f t="shared" ca="1" si="395"/>
        <v>23</v>
      </c>
      <c r="Q883" s="304">
        <f t="shared" ca="1" si="396"/>
        <v>0</v>
      </c>
      <c r="R883" s="306">
        <f t="shared" ca="1" si="397"/>
        <v>0</v>
      </c>
      <c r="S883" s="307">
        <f t="shared" ca="1" si="398"/>
        <v>7.4499999999999984</v>
      </c>
      <c r="T883" s="304">
        <f t="shared" ca="1" si="378"/>
        <v>73.084499999999991</v>
      </c>
      <c r="U883" s="311">
        <f t="shared" ca="1" si="379"/>
        <v>0</v>
      </c>
      <c r="V883" s="306">
        <f t="shared" ca="1" si="380"/>
        <v>1.2266313873058314</v>
      </c>
      <c r="W883" s="304">
        <f t="shared" ca="1" si="381"/>
        <v>58.423970933524558</v>
      </c>
      <c r="Y883" s="314" t="str">
        <f t="shared" ca="1" si="399"/>
        <v/>
      </c>
      <c r="Z883" s="315" t="str">
        <f t="shared" ca="1" si="400"/>
        <v/>
      </c>
      <c r="AA883" s="316" t="str">
        <f t="shared" ca="1" si="401"/>
        <v/>
      </c>
      <c r="AC883" s="310" t="e">
        <f t="shared" ca="1" si="402"/>
        <v>#N/A</v>
      </c>
      <c r="AD883" s="323" t="e">
        <f t="shared" ca="1" si="403"/>
        <v>#N/A</v>
      </c>
      <c r="AE883" s="324" t="e">
        <f t="shared" ca="1" si="382"/>
        <v>#N/A</v>
      </c>
      <c r="AG883" s="306">
        <f t="shared" ca="1" si="404"/>
        <v>1.9275625645210539</v>
      </c>
      <c r="AH883" s="304">
        <f t="shared" ca="1" si="405"/>
        <v>-7.8421092447081016</v>
      </c>
    </row>
    <row r="884" spans="1:34" x14ac:dyDescent="0.2">
      <c r="A884" s="347">
        <f t="shared" ca="1" si="383"/>
        <v>1E-4</v>
      </c>
      <c r="B884" s="304">
        <f t="shared" ca="1" si="384"/>
        <v>34.535500000001399</v>
      </c>
      <c r="D884" s="306">
        <f t="shared" ca="1" si="385"/>
        <v>-0.71034502420982515</v>
      </c>
      <c r="E884" s="307">
        <f t="shared" ca="1" si="386"/>
        <v>-2.0000942045454204</v>
      </c>
      <c r="F884" s="304">
        <f t="shared" ca="1" si="387"/>
        <v>2.1224907256513128</v>
      </c>
      <c r="G884" s="306">
        <f t="shared" ca="1" si="388"/>
        <v>10.911597000228127</v>
      </c>
      <c r="H884" s="307">
        <f t="shared" ca="1" si="389"/>
        <v>-119.96880191145361</v>
      </c>
      <c r="I884" s="304">
        <f t="shared" ca="1" si="390"/>
        <v>120.46400450410481</v>
      </c>
      <c r="J884" s="306">
        <f t="shared" ca="1" si="391"/>
        <v>770.52896740167785</v>
      </c>
      <c r="K884" s="307">
        <f t="shared" ca="1" si="392"/>
        <v>-13.320582445316187</v>
      </c>
      <c r="L884" s="304">
        <f t="shared" ca="1" si="377"/>
        <v>770.6440991286305</v>
      </c>
      <c r="M884" s="306">
        <f t="shared" ca="1" si="393"/>
        <v>-1.4800922741906883</v>
      </c>
      <c r="N884" s="304">
        <f t="shared" ca="1" si="394"/>
        <v>-84.803040601046263</v>
      </c>
      <c r="P884" s="310">
        <f t="shared" ca="1" si="395"/>
        <v>23</v>
      </c>
      <c r="Q884" s="304">
        <f t="shared" ca="1" si="396"/>
        <v>0</v>
      </c>
      <c r="R884" s="306">
        <f t="shared" ca="1" si="397"/>
        <v>0</v>
      </c>
      <c r="S884" s="307">
        <f t="shared" ca="1" si="398"/>
        <v>7.4499999999999984</v>
      </c>
      <c r="T884" s="304">
        <f t="shared" ca="1" si="378"/>
        <v>73.084499999999991</v>
      </c>
      <c r="U884" s="311">
        <f t="shared" ca="1" si="379"/>
        <v>0</v>
      </c>
      <c r="V884" s="306">
        <f t="shared" ca="1" si="380"/>
        <v>1.2266328588811188</v>
      </c>
      <c r="W884" s="304">
        <f t="shared" ca="1" si="381"/>
        <v>58.424227991639228</v>
      </c>
      <c r="Y884" s="314" t="str">
        <f t="shared" ca="1" si="399"/>
        <v/>
      </c>
      <c r="Z884" s="315" t="str">
        <f t="shared" ca="1" si="400"/>
        <v/>
      </c>
      <c r="AA884" s="316" t="str">
        <f t="shared" ca="1" si="401"/>
        <v/>
      </c>
      <c r="AC884" s="310" t="e">
        <f t="shared" ca="1" si="402"/>
        <v>#N/A</v>
      </c>
      <c r="AD884" s="323" t="e">
        <f t="shared" ca="1" si="403"/>
        <v>#N/A</v>
      </c>
      <c r="AE884" s="324" t="e">
        <f t="shared" ca="1" si="382"/>
        <v>#N/A</v>
      </c>
      <c r="AG884" s="306">
        <f t="shared" ca="1" si="404"/>
        <v>1.9275287152372469</v>
      </c>
      <c r="AH884" s="304">
        <f t="shared" ca="1" si="405"/>
        <v>-7.842143749466385</v>
      </c>
    </row>
    <row r="885" spans="1:34" x14ac:dyDescent="0.2">
      <c r="A885" s="347">
        <f t="shared" ca="1" si="383"/>
        <v>1E-4</v>
      </c>
      <c r="B885" s="304">
        <f t="shared" ca="1" si="384"/>
        <v>34.535600000001402</v>
      </c>
      <c r="D885" s="306">
        <f t="shared" ca="1" si="385"/>
        <v>-0.71034238869019994</v>
      </c>
      <c r="E885" s="307">
        <f t="shared" ca="1" si="386"/>
        <v>-2.0000593179621848</v>
      </c>
      <c r="F885" s="304">
        <f t="shared" ca="1" si="387"/>
        <v>2.1224569688305719</v>
      </c>
      <c r="G885" s="306">
        <f t="shared" ca="1" si="388"/>
        <v>10.911525965989258</v>
      </c>
      <c r="H885" s="307">
        <f t="shared" ca="1" si="389"/>
        <v>-119.96900191738541</v>
      </c>
      <c r="I885" s="304">
        <f t="shared" ca="1" si="390"/>
        <v>120.46419725362421</v>
      </c>
      <c r="J885" s="306">
        <f t="shared" ca="1" si="391"/>
        <v>770.52896740167785</v>
      </c>
      <c r="K885" s="307">
        <f t="shared" ca="1" si="392"/>
        <v>-13.33257933550763</v>
      </c>
      <c r="L885" s="304">
        <f t="shared" ca="1" si="377"/>
        <v>770.64430658821686</v>
      </c>
      <c r="M885" s="306">
        <f t="shared" ca="1" si="393"/>
        <v>-1.4800930118265763</v>
      </c>
      <c r="N885" s="304">
        <f t="shared" ca="1" si="394"/>
        <v>-84.803082864469459</v>
      </c>
      <c r="P885" s="310">
        <f t="shared" ca="1" si="395"/>
        <v>23</v>
      </c>
      <c r="Q885" s="304">
        <f t="shared" ca="1" si="396"/>
        <v>0</v>
      </c>
      <c r="R885" s="306">
        <f t="shared" ca="1" si="397"/>
        <v>0</v>
      </c>
      <c r="S885" s="307">
        <f t="shared" ca="1" si="398"/>
        <v>7.4499999999999984</v>
      </c>
      <c r="T885" s="304">
        <f t="shared" ca="1" si="378"/>
        <v>73.084499999999991</v>
      </c>
      <c r="U885" s="311">
        <f t="shared" ca="1" si="379"/>
        <v>0</v>
      </c>
      <c r="V885" s="306">
        <f t="shared" ca="1" si="380"/>
        <v>1.226634330460626</v>
      </c>
      <c r="W885" s="304">
        <f t="shared" ca="1" si="381"/>
        <v>58.424485047419324</v>
      </c>
      <c r="Y885" s="314" t="str">
        <f t="shared" ca="1" si="399"/>
        <v/>
      </c>
      <c r="Z885" s="315" t="str">
        <f t="shared" ca="1" si="400"/>
        <v/>
      </c>
      <c r="AA885" s="316" t="str">
        <f t="shared" ca="1" si="401"/>
        <v/>
      </c>
      <c r="AC885" s="310" t="e">
        <f t="shared" ca="1" si="402"/>
        <v>#N/A</v>
      </c>
      <c r="AD885" s="323" t="e">
        <f t="shared" ca="1" si="403"/>
        <v>#N/A</v>
      </c>
      <c r="AE885" s="324" t="e">
        <f t="shared" ca="1" si="382"/>
        <v>#N/A</v>
      </c>
      <c r="AG885" s="306">
        <f t="shared" ca="1" si="404"/>
        <v>1.9274948662551195</v>
      </c>
      <c r="AH885" s="304">
        <f t="shared" ca="1" si="405"/>
        <v>-7.8421782539113076</v>
      </c>
    </row>
    <row r="886" spans="1:34" x14ac:dyDescent="0.2">
      <c r="A886" s="347">
        <f t="shared" ca="1" si="383"/>
        <v>1E-4</v>
      </c>
      <c r="B886" s="304">
        <f t="shared" ca="1" si="384"/>
        <v>34.535700000001405</v>
      </c>
      <c r="D886" s="306">
        <f t="shared" ca="1" si="385"/>
        <v>-0.71033975314704967</v>
      </c>
      <c r="E886" s="307">
        <f t="shared" ca="1" si="386"/>
        <v>-2.0000244316957527</v>
      </c>
      <c r="F886" s="304">
        <f t="shared" ca="1" si="387"/>
        <v>2.1224232123403026</v>
      </c>
      <c r="G886" s="306">
        <f t="shared" ca="1" si="388"/>
        <v>10.911454932013942</v>
      </c>
      <c r="H886" s="307">
        <f t="shared" ca="1" si="389"/>
        <v>-119.96920191982858</v>
      </c>
      <c r="I886" s="304">
        <f t="shared" ca="1" si="390"/>
        <v>120.46438999975874</v>
      </c>
      <c r="J886" s="306">
        <f t="shared" ca="1" si="391"/>
        <v>770.52896740167785</v>
      </c>
      <c r="K886" s="307">
        <f t="shared" ca="1" si="392"/>
        <v>-13.344576245699491</v>
      </c>
      <c r="L886" s="304">
        <f t="shared" ca="1" si="377"/>
        <v>770.64451423485343</v>
      </c>
      <c r="M886" s="306">
        <f t="shared" ca="1" si="393"/>
        <v>-1.4800937494553017</v>
      </c>
      <c r="N886" s="304">
        <f t="shared" ca="1" si="394"/>
        <v>-84.803125127482275</v>
      </c>
      <c r="P886" s="310">
        <f t="shared" ca="1" si="395"/>
        <v>23</v>
      </c>
      <c r="Q886" s="304">
        <f t="shared" ca="1" si="396"/>
        <v>0</v>
      </c>
      <c r="R886" s="306">
        <f t="shared" ca="1" si="397"/>
        <v>0</v>
      </c>
      <c r="S886" s="307">
        <f t="shared" ca="1" si="398"/>
        <v>7.4499999999999984</v>
      </c>
      <c r="T886" s="304">
        <f t="shared" ca="1" si="378"/>
        <v>73.084499999999991</v>
      </c>
      <c r="U886" s="311">
        <f t="shared" ca="1" si="379"/>
        <v>0</v>
      </c>
      <c r="V886" s="306">
        <f t="shared" ca="1" si="380"/>
        <v>1.2266358020443533</v>
      </c>
      <c r="W886" s="304">
        <f t="shared" ca="1" si="381"/>
        <v>58.424742100864897</v>
      </c>
      <c r="Y886" s="314" t="str">
        <f t="shared" ca="1" si="399"/>
        <v/>
      </c>
      <c r="Z886" s="315" t="str">
        <f t="shared" ca="1" si="400"/>
        <v/>
      </c>
      <c r="AA886" s="316" t="str">
        <f t="shared" ca="1" si="401"/>
        <v/>
      </c>
      <c r="AC886" s="310" t="e">
        <f t="shared" ca="1" si="402"/>
        <v>#N/A</v>
      </c>
      <c r="AD886" s="323" t="e">
        <f t="shared" ca="1" si="403"/>
        <v>#N/A</v>
      </c>
      <c r="AE886" s="324" t="e">
        <f t="shared" ca="1" si="382"/>
        <v>#N/A</v>
      </c>
      <c r="AG886" s="306">
        <f t="shared" ca="1" si="404"/>
        <v>1.9274610175746769</v>
      </c>
      <c r="AH886" s="304">
        <f t="shared" ca="1" si="405"/>
        <v>-7.842212758042864</v>
      </c>
    </row>
    <row r="887" spans="1:34" x14ac:dyDescent="0.2">
      <c r="A887" s="347">
        <f t="shared" ca="1" si="383"/>
        <v>1E-4</v>
      </c>
      <c r="B887" s="304">
        <f t="shared" ca="1" si="384"/>
        <v>34.535800000001409</v>
      </c>
      <c r="D887" s="306">
        <f t="shared" ca="1" si="385"/>
        <v>-0.71033711758037488</v>
      </c>
      <c r="E887" s="307">
        <f t="shared" ca="1" si="386"/>
        <v>-1.9999895457461196</v>
      </c>
      <c r="F887" s="304">
        <f t="shared" ca="1" si="387"/>
        <v>2.1223894561805015</v>
      </c>
      <c r="G887" s="306">
        <f t="shared" ca="1" si="388"/>
        <v>10.911383898302184</v>
      </c>
      <c r="H887" s="307">
        <f t="shared" ca="1" si="389"/>
        <v>-119.96940191878315</v>
      </c>
      <c r="I887" s="304">
        <f t="shared" ca="1" si="390"/>
        <v>120.46458274250843</v>
      </c>
      <c r="J887" s="306">
        <f t="shared" ca="1" si="391"/>
        <v>770.52896740167785</v>
      </c>
      <c r="K887" s="307">
        <f t="shared" ca="1" si="392"/>
        <v>-13.356573175891421</v>
      </c>
      <c r="L887" s="304">
        <f t="shared" ca="1" si="377"/>
        <v>770.64472206854111</v>
      </c>
      <c r="M887" s="306">
        <f t="shared" ca="1" si="393"/>
        <v>-1.4800944870768649</v>
      </c>
      <c r="N887" s="304">
        <f t="shared" ca="1" si="394"/>
        <v>-84.803167390084724</v>
      </c>
      <c r="P887" s="310">
        <f t="shared" ca="1" si="395"/>
        <v>23</v>
      </c>
      <c r="Q887" s="304">
        <f t="shared" ca="1" si="396"/>
        <v>0</v>
      </c>
      <c r="R887" s="306">
        <f t="shared" ca="1" si="397"/>
        <v>0</v>
      </c>
      <c r="S887" s="307">
        <f t="shared" ca="1" si="398"/>
        <v>7.4499999999999984</v>
      </c>
      <c r="T887" s="304">
        <f t="shared" ca="1" si="378"/>
        <v>73.084499999999991</v>
      </c>
      <c r="U887" s="311">
        <f t="shared" ca="1" si="379"/>
        <v>0</v>
      </c>
      <c r="V887" s="306">
        <f t="shared" ca="1" si="380"/>
        <v>1.2266372736323006</v>
      </c>
      <c r="W887" s="304">
        <f t="shared" ca="1" si="381"/>
        <v>58.424999151975939</v>
      </c>
      <c r="Y887" s="314" t="str">
        <f t="shared" ca="1" si="399"/>
        <v/>
      </c>
      <c r="Z887" s="315" t="str">
        <f t="shared" ca="1" si="400"/>
        <v/>
      </c>
      <c r="AA887" s="316" t="str">
        <f t="shared" ca="1" si="401"/>
        <v/>
      </c>
      <c r="AC887" s="310" t="e">
        <f t="shared" ca="1" si="402"/>
        <v>#N/A</v>
      </c>
      <c r="AD887" s="323" t="e">
        <f t="shared" ca="1" si="403"/>
        <v>#N/A</v>
      </c>
      <c r="AE887" s="324" t="e">
        <f t="shared" ca="1" si="382"/>
        <v>#N/A</v>
      </c>
      <c r="AG887" s="306">
        <f t="shared" ca="1" si="404"/>
        <v>1.9274271691959122</v>
      </c>
      <c r="AH887" s="304">
        <f t="shared" ca="1" si="405"/>
        <v>-7.8422472618610612</v>
      </c>
    </row>
    <row r="888" spans="1:34" x14ac:dyDescent="0.2">
      <c r="A888" s="347">
        <f t="shared" ca="1" si="383"/>
        <v>1E-4</v>
      </c>
      <c r="B888" s="304">
        <f t="shared" ca="1" si="384"/>
        <v>34.535900000001412</v>
      </c>
      <c r="D888" s="306">
        <f t="shared" ca="1" si="385"/>
        <v>-0.71033448199017513</v>
      </c>
      <c r="E888" s="307">
        <f t="shared" ca="1" si="386"/>
        <v>-1.9999546601132829</v>
      </c>
      <c r="F888" s="304">
        <f t="shared" ca="1" si="387"/>
        <v>2.1223557003511657</v>
      </c>
      <c r="G888" s="306">
        <f t="shared" ca="1" si="388"/>
        <v>10.911312864853985</v>
      </c>
      <c r="H888" s="307">
        <f t="shared" ca="1" si="389"/>
        <v>-119.96960191424915</v>
      </c>
      <c r="I888" s="304">
        <f t="shared" ca="1" si="390"/>
        <v>120.4647754818733</v>
      </c>
      <c r="J888" s="306">
        <f t="shared" ca="1" si="391"/>
        <v>770.52896740167785</v>
      </c>
      <c r="K888" s="307">
        <f t="shared" ca="1" si="392"/>
        <v>-13.368570126083073</v>
      </c>
      <c r="L888" s="304">
        <f t="shared" ca="1" si="377"/>
        <v>770.64493008928048</v>
      </c>
      <c r="M888" s="306">
        <f t="shared" ca="1" si="393"/>
        <v>-1.4800952246912658</v>
      </c>
      <c r="N888" s="304">
        <f t="shared" ca="1" si="394"/>
        <v>-84.803209652276806</v>
      </c>
      <c r="P888" s="310">
        <f t="shared" ca="1" si="395"/>
        <v>23</v>
      </c>
      <c r="Q888" s="304">
        <f t="shared" ca="1" si="396"/>
        <v>0</v>
      </c>
      <c r="R888" s="306">
        <f t="shared" ca="1" si="397"/>
        <v>0</v>
      </c>
      <c r="S888" s="307">
        <f t="shared" ca="1" si="398"/>
        <v>7.4499999999999984</v>
      </c>
      <c r="T888" s="304">
        <f t="shared" ca="1" si="378"/>
        <v>73.084499999999991</v>
      </c>
      <c r="U888" s="311">
        <f t="shared" ca="1" si="379"/>
        <v>0</v>
      </c>
      <c r="V888" s="306">
        <f t="shared" ca="1" si="380"/>
        <v>1.226638745224468</v>
      </c>
      <c r="W888" s="304">
        <f t="shared" ca="1" si="381"/>
        <v>58.425256200752436</v>
      </c>
      <c r="Y888" s="314" t="str">
        <f t="shared" ca="1" si="399"/>
        <v/>
      </c>
      <c r="Z888" s="315" t="str">
        <f t="shared" ca="1" si="400"/>
        <v/>
      </c>
      <c r="AA888" s="316" t="str">
        <f t="shared" ca="1" si="401"/>
        <v/>
      </c>
      <c r="AC888" s="310" t="e">
        <f t="shared" ca="1" si="402"/>
        <v>#N/A</v>
      </c>
      <c r="AD888" s="323" t="e">
        <f t="shared" ca="1" si="403"/>
        <v>#N/A</v>
      </c>
      <c r="AE888" s="324" t="e">
        <f t="shared" ca="1" si="382"/>
        <v>#N/A</v>
      </c>
      <c r="AG888" s="306">
        <f t="shared" ca="1" si="404"/>
        <v>1.9273933211188305</v>
      </c>
      <c r="AH888" s="304">
        <f t="shared" ca="1" si="405"/>
        <v>-7.8422817653658994</v>
      </c>
    </row>
    <row r="889" spans="1:34" x14ac:dyDescent="0.2">
      <c r="A889" s="347">
        <f t="shared" ca="1" si="383"/>
        <v>1E-4</v>
      </c>
      <c r="B889" s="304">
        <f t="shared" ca="1" si="384"/>
        <v>34.536000000001415</v>
      </c>
      <c r="D889" s="306">
        <f t="shared" ca="1" si="385"/>
        <v>-0.71033184637645164</v>
      </c>
      <c r="E889" s="307">
        <f t="shared" ca="1" si="386"/>
        <v>-1.999919774797247</v>
      </c>
      <c r="F889" s="304">
        <f t="shared" ca="1" si="387"/>
        <v>2.1223219448523003</v>
      </c>
      <c r="G889" s="306">
        <f t="shared" ca="1" si="388"/>
        <v>10.911241831669347</v>
      </c>
      <c r="H889" s="307">
        <f t="shared" ca="1" si="389"/>
        <v>-119.96980190622664</v>
      </c>
      <c r="I889" s="304">
        <f t="shared" ca="1" si="390"/>
        <v>120.46496821785341</v>
      </c>
      <c r="J889" s="306">
        <f t="shared" ca="1" si="391"/>
        <v>770.52896740167785</v>
      </c>
      <c r="K889" s="307">
        <f t="shared" ca="1" si="392"/>
        <v>-13.380567096274097</v>
      </c>
      <c r="L889" s="304">
        <f t="shared" ca="1" si="377"/>
        <v>770.64513829707244</v>
      </c>
      <c r="M889" s="306">
        <f t="shared" ca="1" si="393"/>
        <v>-1.4800959622985044</v>
      </c>
      <c r="N889" s="304">
        <f t="shared" ca="1" si="394"/>
        <v>-84.803251914058507</v>
      </c>
      <c r="P889" s="310">
        <f t="shared" ca="1" si="395"/>
        <v>23</v>
      </c>
      <c r="Q889" s="304">
        <f t="shared" ca="1" si="396"/>
        <v>0</v>
      </c>
      <c r="R889" s="306">
        <f t="shared" ca="1" si="397"/>
        <v>0</v>
      </c>
      <c r="S889" s="307">
        <f t="shared" ca="1" si="398"/>
        <v>7.4499999999999984</v>
      </c>
      <c r="T889" s="304">
        <f t="shared" ca="1" si="378"/>
        <v>73.084499999999991</v>
      </c>
      <c r="U889" s="311">
        <f t="shared" ca="1" si="379"/>
        <v>0</v>
      </c>
      <c r="V889" s="306">
        <f t="shared" ca="1" si="380"/>
        <v>1.226640216820855</v>
      </c>
      <c r="W889" s="304">
        <f t="shared" ca="1" si="381"/>
        <v>58.425513247194388</v>
      </c>
      <c r="Y889" s="314" t="str">
        <f t="shared" ca="1" si="399"/>
        <v/>
      </c>
      <c r="Z889" s="315" t="str">
        <f t="shared" ca="1" si="400"/>
        <v/>
      </c>
      <c r="AA889" s="316" t="str">
        <f t="shared" ca="1" si="401"/>
        <v/>
      </c>
      <c r="AC889" s="310" t="e">
        <f t="shared" ca="1" si="402"/>
        <v>#N/A</v>
      </c>
      <c r="AD889" s="323" t="e">
        <f t="shared" ca="1" si="403"/>
        <v>#N/A</v>
      </c>
      <c r="AE889" s="324" t="e">
        <f t="shared" ca="1" si="382"/>
        <v>#N/A</v>
      </c>
      <c r="AG889" s="306">
        <f t="shared" ca="1" si="404"/>
        <v>1.9273594733434276</v>
      </c>
      <c r="AH889" s="304">
        <f t="shared" ca="1" si="405"/>
        <v>-7.8423162685573757</v>
      </c>
    </row>
    <row r="890" spans="1:34" x14ac:dyDescent="0.2">
      <c r="A890" s="347">
        <f t="shared" ca="1" si="383"/>
        <v>1E-4</v>
      </c>
      <c r="B890" s="304">
        <f t="shared" ca="1" si="384"/>
        <v>34.536100000001419</v>
      </c>
      <c r="D890" s="306">
        <f t="shared" ca="1" si="385"/>
        <v>-0.71032921073920607</v>
      </c>
      <c r="E890" s="307">
        <f t="shared" ca="1" si="386"/>
        <v>-1.999884889798011</v>
      </c>
      <c r="F890" s="304">
        <f t="shared" ca="1" si="387"/>
        <v>2.1222881896839048</v>
      </c>
      <c r="G890" s="306">
        <f t="shared" ca="1" si="388"/>
        <v>10.911170798748273</v>
      </c>
      <c r="H890" s="307">
        <f t="shared" ca="1" si="389"/>
        <v>-119.97000189471561</v>
      </c>
      <c r="I890" s="304">
        <f t="shared" ca="1" si="390"/>
        <v>120.46516095044875</v>
      </c>
      <c r="J890" s="306">
        <f t="shared" ca="1" si="391"/>
        <v>770.52896740167785</v>
      </c>
      <c r="K890" s="307">
        <f t="shared" ca="1" si="392"/>
        <v>-13.392564086464144</v>
      </c>
      <c r="L890" s="304">
        <f t="shared" ca="1" si="377"/>
        <v>770.64534669191767</v>
      </c>
      <c r="M890" s="306">
        <f t="shared" ca="1" si="393"/>
        <v>-1.4800966998985809</v>
      </c>
      <c r="N890" s="304">
        <f t="shared" ca="1" si="394"/>
        <v>-84.803294175429869</v>
      </c>
      <c r="P890" s="310">
        <f t="shared" ca="1" si="395"/>
        <v>23</v>
      </c>
      <c r="Q890" s="304">
        <f t="shared" ca="1" si="396"/>
        <v>0</v>
      </c>
      <c r="R890" s="306">
        <f t="shared" ca="1" si="397"/>
        <v>0</v>
      </c>
      <c r="S890" s="307">
        <f t="shared" ca="1" si="398"/>
        <v>7.4499999999999984</v>
      </c>
      <c r="T890" s="304">
        <f t="shared" ca="1" si="378"/>
        <v>73.084499999999991</v>
      </c>
      <c r="U890" s="311">
        <f t="shared" ca="1" si="379"/>
        <v>0</v>
      </c>
      <c r="V890" s="306">
        <f t="shared" ca="1" si="380"/>
        <v>1.2266416884214617</v>
      </c>
      <c r="W890" s="304">
        <f t="shared" ca="1" si="381"/>
        <v>58.425770291301781</v>
      </c>
      <c r="Y890" s="314" t="str">
        <f t="shared" ca="1" si="399"/>
        <v/>
      </c>
      <c r="Z890" s="315" t="str">
        <f t="shared" ca="1" si="400"/>
        <v/>
      </c>
      <c r="AA890" s="316" t="str">
        <f t="shared" ca="1" si="401"/>
        <v/>
      </c>
      <c r="AC890" s="310" t="e">
        <f t="shared" ca="1" si="402"/>
        <v>#N/A</v>
      </c>
      <c r="AD890" s="323" t="e">
        <f t="shared" ca="1" si="403"/>
        <v>#N/A</v>
      </c>
      <c r="AE890" s="324" t="e">
        <f t="shared" ca="1" si="382"/>
        <v>#N/A</v>
      </c>
      <c r="AG890" s="306">
        <f t="shared" ca="1" si="404"/>
        <v>1.9273256258697069</v>
      </c>
      <c r="AH890" s="304">
        <f t="shared" ca="1" si="405"/>
        <v>-7.8423507714354903</v>
      </c>
    </row>
    <row r="891" spans="1:34" x14ac:dyDescent="0.2">
      <c r="A891" s="347">
        <f t="shared" ca="1" si="383"/>
        <v>1E-4</v>
      </c>
      <c r="B891" s="304">
        <f t="shared" ca="1" si="384"/>
        <v>34.536200000001422</v>
      </c>
      <c r="D891" s="306">
        <f t="shared" ca="1" si="385"/>
        <v>-0.71032657507843755</v>
      </c>
      <c r="E891" s="307">
        <f t="shared" ca="1" si="386"/>
        <v>-1.9998500051155768</v>
      </c>
      <c r="F891" s="304">
        <f t="shared" ca="1" si="387"/>
        <v>2.1222544348459813</v>
      </c>
      <c r="G891" s="306">
        <f t="shared" ca="1" si="388"/>
        <v>10.911099766090766</v>
      </c>
      <c r="H891" s="307">
        <f t="shared" ca="1" si="389"/>
        <v>-119.97020187971611</v>
      </c>
      <c r="I891" s="304">
        <f t="shared" ca="1" si="390"/>
        <v>120.46535367965939</v>
      </c>
      <c r="J891" s="306">
        <f t="shared" ca="1" si="391"/>
        <v>770.52896740167785</v>
      </c>
      <c r="K891" s="307">
        <f t="shared" ca="1" si="392"/>
        <v>-13.404561096652866</v>
      </c>
      <c r="L891" s="304">
        <f t="shared" ca="1" si="377"/>
        <v>770.64555527381708</v>
      </c>
      <c r="M891" s="306">
        <f t="shared" ca="1" si="393"/>
        <v>-1.4800974374914957</v>
      </c>
      <c r="N891" s="304">
        <f t="shared" ca="1" si="394"/>
        <v>-84.803336436390879</v>
      </c>
      <c r="P891" s="310">
        <f t="shared" ca="1" si="395"/>
        <v>23</v>
      </c>
      <c r="Q891" s="304">
        <f t="shared" ca="1" si="396"/>
        <v>0</v>
      </c>
      <c r="R891" s="306">
        <f t="shared" ca="1" si="397"/>
        <v>0</v>
      </c>
      <c r="S891" s="307">
        <f t="shared" ca="1" si="398"/>
        <v>7.4499999999999984</v>
      </c>
      <c r="T891" s="304">
        <f t="shared" ca="1" si="378"/>
        <v>73.084499999999991</v>
      </c>
      <c r="U891" s="311">
        <f t="shared" ca="1" si="379"/>
        <v>0</v>
      </c>
      <c r="V891" s="306">
        <f t="shared" ca="1" si="380"/>
        <v>1.2266431600262881</v>
      </c>
      <c r="W891" s="304">
        <f t="shared" ca="1" si="381"/>
        <v>58.426027333074671</v>
      </c>
      <c r="Y891" s="314" t="str">
        <f t="shared" ca="1" si="399"/>
        <v/>
      </c>
      <c r="Z891" s="315" t="str">
        <f t="shared" ca="1" si="400"/>
        <v/>
      </c>
      <c r="AA891" s="316" t="str">
        <f t="shared" ca="1" si="401"/>
        <v/>
      </c>
      <c r="AC891" s="310" t="e">
        <f t="shared" ca="1" si="402"/>
        <v>#N/A</v>
      </c>
      <c r="AD891" s="323" t="e">
        <f t="shared" ca="1" si="403"/>
        <v>#N/A</v>
      </c>
      <c r="AE891" s="324" t="e">
        <f t="shared" ca="1" si="382"/>
        <v>#N/A</v>
      </c>
      <c r="AG891" s="306">
        <f t="shared" ca="1" si="404"/>
        <v>1.9272917786976747</v>
      </c>
      <c r="AH891" s="304">
        <f t="shared" ca="1" si="405"/>
        <v>-7.8423852740002404</v>
      </c>
    </row>
    <row r="892" spans="1:34" x14ac:dyDescent="0.2">
      <c r="A892" s="347">
        <f t="shared" ca="1" si="383"/>
        <v>1E-4</v>
      </c>
      <c r="B892" s="304">
        <f t="shared" ca="1" si="384"/>
        <v>34.536300000001425</v>
      </c>
      <c r="D892" s="306">
        <f t="shared" ca="1" si="385"/>
        <v>-0.71032393939414673</v>
      </c>
      <c r="E892" s="307">
        <f t="shared" ca="1" si="386"/>
        <v>-1.9998151207499371</v>
      </c>
      <c r="F892" s="304">
        <f t="shared" ca="1" si="387"/>
        <v>2.1222206803385233</v>
      </c>
      <c r="G892" s="306">
        <f t="shared" ca="1" si="388"/>
        <v>10.911028733696826</v>
      </c>
      <c r="H892" s="307">
        <f t="shared" ca="1" si="389"/>
        <v>-119.97040186122818</v>
      </c>
      <c r="I892" s="304">
        <f t="shared" ca="1" si="390"/>
        <v>120.46554640548533</v>
      </c>
      <c r="J892" s="306">
        <f t="shared" ca="1" si="391"/>
        <v>770.52896740167785</v>
      </c>
      <c r="K892" s="307">
        <f t="shared" ca="1" si="392"/>
        <v>-13.416558126839913</v>
      </c>
      <c r="L892" s="304">
        <f t="shared" ca="1" si="377"/>
        <v>770.64576404277136</v>
      </c>
      <c r="M892" s="306">
        <f t="shared" ca="1" si="393"/>
        <v>-1.4800981750772486</v>
      </c>
      <c r="N892" s="304">
        <f t="shared" ca="1" si="394"/>
        <v>-84.80337869694155</v>
      </c>
      <c r="P892" s="310">
        <f t="shared" ca="1" si="395"/>
        <v>23</v>
      </c>
      <c r="Q892" s="304">
        <f t="shared" ca="1" si="396"/>
        <v>0</v>
      </c>
      <c r="R892" s="306">
        <f t="shared" ca="1" si="397"/>
        <v>0</v>
      </c>
      <c r="S892" s="307">
        <f t="shared" ca="1" si="398"/>
        <v>7.4499999999999984</v>
      </c>
      <c r="T892" s="304">
        <f t="shared" ca="1" si="378"/>
        <v>73.084499999999991</v>
      </c>
      <c r="U892" s="311">
        <f t="shared" ca="1" si="379"/>
        <v>0</v>
      </c>
      <c r="V892" s="306">
        <f t="shared" ca="1" si="380"/>
        <v>1.2266446316353345</v>
      </c>
      <c r="W892" s="304">
        <f t="shared" ca="1" si="381"/>
        <v>58.426284372513045</v>
      </c>
      <c r="Y892" s="314" t="str">
        <f t="shared" ca="1" si="399"/>
        <v/>
      </c>
      <c r="Z892" s="315" t="str">
        <f t="shared" ca="1" si="400"/>
        <v/>
      </c>
      <c r="AA892" s="316" t="str">
        <f t="shared" ca="1" si="401"/>
        <v/>
      </c>
      <c r="AC892" s="310" t="e">
        <f t="shared" ca="1" si="402"/>
        <v>#N/A</v>
      </c>
      <c r="AD892" s="323" t="e">
        <f t="shared" ca="1" si="403"/>
        <v>#N/A</v>
      </c>
      <c r="AE892" s="324" t="e">
        <f t="shared" ca="1" si="382"/>
        <v>#N/A</v>
      </c>
      <c r="AG892" s="306">
        <f t="shared" ca="1" si="404"/>
        <v>1.9272579318273184</v>
      </c>
      <c r="AH892" s="304">
        <f t="shared" ca="1" si="405"/>
        <v>-7.842419776251635</v>
      </c>
    </row>
    <row r="893" spans="1:34" x14ac:dyDescent="0.2">
      <c r="A893" s="347">
        <f t="shared" ca="1" si="383"/>
        <v>1E-4</v>
      </c>
      <c r="B893" s="304">
        <f t="shared" ca="1" si="384"/>
        <v>34.536400000001429</v>
      </c>
      <c r="D893" s="306">
        <f t="shared" ca="1" si="385"/>
        <v>-0.71032130368633495</v>
      </c>
      <c r="E893" s="307">
        <f t="shared" ca="1" si="386"/>
        <v>-1.9997802367010937</v>
      </c>
      <c r="F893" s="304">
        <f t="shared" ca="1" si="387"/>
        <v>2.1221869261615334</v>
      </c>
      <c r="G893" s="306">
        <f t="shared" ca="1" si="388"/>
        <v>10.910957701566458</v>
      </c>
      <c r="H893" s="307">
        <f t="shared" ca="1" si="389"/>
        <v>-119.97060183925186</v>
      </c>
      <c r="I893" s="304">
        <f t="shared" ca="1" si="390"/>
        <v>120.46573912792662</v>
      </c>
      <c r="J893" s="306">
        <f t="shared" ca="1" si="391"/>
        <v>770.52896740167785</v>
      </c>
      <c r="K893" s="307">
        <f t="shared" ca="1" si="392"/>
        <v>-13.428555177024936</v>
      </c>
      <c r="L893" s="304">
        <f t="shared" ca="1" si="377"/>
        <v>770.6459729987813</v>
      </c>
      <c r="M893" s="306">
        <f t="shared" ca="1" si="393"/>
        <v>-1.4800989126558395</v>
      </c>
      <c r="N893" s="304">
        <f t="shared" ca="1" si="394"/>
        <v>-84.803420957081869</v>
      </c>
      <c r="P893" s="310">
        <f t="shared" ca="1" si="395"/>
        <v>23</v>
      </c>
      <c r="Q893" s="304">
        <f t="shared" ca="1" si="396"/>
        <v>0</v>
      </c>
      <c r="R893" s="306">
        <f t="shared" ca="1" si="397"/>
        <v>0</v>
      </c>
      <c r="S893" s="307">
        <f t="shared" ca="1" si="398"/>
        <v>7.4499999999999984</v>
      </c>
      <c r="T893" s="304">
        <f t="shared" ca="1" si="378"/>
        <v>73.084499999999991</v>
      </c>
      <c r="U893" s="311">
        <f t="shared" ca="1" si="379"/>
        <v>0</v>
      </c>
      <c r="V893" s="306">
        <f t="shared" ca="1" si="380"/>
        <v>1.2266461032486009</v>
      </c>
      <c r="W893" s="304">
        <f t="shared" ca="1" si="381"/>
        <v>58.426541409616895</v>
      </c>
      <c r="Y893" s="314" t="str">
        <f t="shared" ca="1" si="399"/>
        <v/>
      </c>
      <c r="Z893" s="315" t="str">
        <f t="shared" ca="1" si="400"/>
        <v/>
      </c>
      <c r="AA893" s="316" t="str">
        <f t="shared" ca="1" si="401"/>
        <v/>
      </c>
      <c r="AC893" s="310" t="e">
        <f t="shared" ca="1" si="402"/>
        <v>#N/A</v>
      </c>
      <c r="AD893" s="323" t="e">
        <f t="shared" ca="1" si="403"/>
        <v>#N/A</v>
      </c>
      <c r="AE893" s="324" t="e">
        <f t="shared" ca="1" si="382"/>
        <v>#N/A</v>
      </c>
      <c r="AG893" s="306">
        <f t="shared" ca="1" si="404"/>
        <v>1.9272240852586382</v>
      </c>
      <c r="AH893" s="304">
        <f t="shared" ca="1" si="405"/>
        <v>-7.8424542781896722</v>
      </c>
    </row>
    <row r="894" spans="1:34" x14ac:dyDescent="0.2">
      <c r="A894" s="347">
        <f t="shared" ca="1" si="383"/>
        <v>1E-4</v>
      </c>
      <c r="B894" s="304">
        <f t="shared" ca="1" si="384"/>
        <v>34.536500000001432</v>
      </c>
      <c r="D894" s="306">
        <f t="shared" ca="1" si="385"/>
        <v>-0.7103186679550052</v>
      </c>
      <c r="E894" s="307">
        <f t="shared" ca="1" si="386"/>
        <v>-1.9997453529690468</v>
      </c>
      <c r="F894" s="304">
        <f t="shared" ca="1" si="387"/>
        <v>2.1221531723150124</v>
      </c>
      <c r="G894" s="306">
        <f t="shared" ca="1" si="388"/>
        <v>10.910886669699662</v>
      </c>
      <c r="H894" s="307">
        <f t="shared" ca="1" si="389"/>
        <v>-119.97080181378715</v>
      </c>
      <c r="I894" s="304">
        <f t="shared" ca="1" si="390"/>
        <v>120.4659318469833</v>
      </c>
      <c r="J894" s="306">
        <f t="shared" ca="1" si="391"/>
        <v>770.52896740167785</v>
      </c>
      <c r="K894" s="307">
        <f t="shared" ca="1" si="392"/>
        <v>-13.440552247207588</v>
      </c>
      <c r="L894" s="304">
        <f t="shared" ca="1" si="377"/>
        <v>770.6461821418477</v>
      </c>
      <c r="M894" s="306">
        <f t="shared" ca="1" si="393"/>
        <v>-1.480099650227269</v>
      </c>
      <c r="N894" s="304">
        <f t="shared" ca="1" si="394"/>
        <v>-84.803463216811863</v>
      </c>
      <c r="P894" s="310">
        <f t="shared" ca="1" si="395"/>
        <v>23</v>
      </c>
      <c r="Q894" s="304">
        <f t="shared" ca="1" si="396"/>
        <v>0</v>
      </c>
      <c r="R894" s="306">
        <f t="shared" ca="1" si="397"/>
        <v>0</v>
      </c>
      <c r="S894" s="307">
        <f t="shared" ca="1" si="398"/>
        <v>7.4499999999999984</v>
      </c>
      <c r="T894" s="304">
        <f t="shared" ca="1" si="378"/>
        <v>73.084499999999991</v>
      </c>
      <c r="U894" s="311">
        <f t="shared" ca="1" si="379"/>
        <v>0</v>
      </c>
      <c r="V894" s="306">
        <f t="shared" ca="1" si="380"/>
        <v>1.2266475748660863</v>
      </c>
      <c r="W894" s="304">
        <f t="shared" ca="1" si="381"/>
        <v>58.426798444386208</v>
      </c>
      <c r="Y894" s="314" t="str">
        <f t="shared" ca="1" si="399"/>
        <v/>
      </c>
      <c r="Z894" s="315" t="str">
        <f t="shared" ca="1" si="400"/>
        <v/>
      </c>
      <c r="AA894" s="316" t="str">
        <f t="shared" ca="1" si="401"/>
        <v/>
      </c>
      <c r="AC894" s="310" t="e">
        <f t="shared" ca="1" si="402"/>
        <v>#N/A</v>
      </c>
      <c r="AD894" s="323" t="e">
        <f t="shared" ca="1" si="403"/>
        <v>#N/A</v>
      </c>
      <c r="AE894" s="324" t="e">
        <f t="shared" ca="1" si="382"/>
        <v>#N/A</v>
      </c>
      <c r="AG894" s="306">
        <f t="shared" ca="1" si="404"/>
        <v>1.9271902389916411</v>
      </c>
      <c r="AH894" s="304">
        <f t="shared" ca="1" si="405"/>
        <v>-7.8424887798143503</v>
      </c>
    </row>
    <row r="895" spans="1:34" x14ac:dyDescent="0.2">
      <c r="A895" s="347">
        <f t="shared" ca="1" si="383"/>
        <v>1E-4</v>
      </c>
      <c r="B895" s="304">
        <f t="shared" ca="1" si="384"/>
        <v>34.536600000001435</v>
      </c>
      <c r="D895" s="306">
        <f t="shared" ca="1" si="385"/>
        <v>-0.71031603220015349</v>
      </c>
      <c r="E895" s="307">
        <f t="shared" ca="1" si="386"/>
        <v>-1.9997104695537988</v>
      </c>
      <c r="F895" s="304">
        <f t="shared" ca="1" si="387"/>
        <v>2.1221194187989618</v>
      </c>
      <c r="G895" s="306">
        <f t="shared" ca="1" si="388"/>
        <v>10.910815638096443</v>
      </c>
      <c r="H895" s="307">
        <f t="shared" ca="1" si="389"/>
        <v>-119.9710017848341</v>
      </c>
      <c r="I895" s="304">
        <f t="shared" ca="1" si="390"/>
        <v>120.46612456265535</v>
      </c>
      <c r="J895" s="306">
        <f t="shared" ca="1" si="391"/>
        <v>770.52896740167785</v>
      </c>
      <c r="K895" s="307">
        <f t="shared" ca="1" si="392"/>
        <v>-13.452549337387518</v>
      </c>
      <c r="L895" s="304">
        <f t="shared" ca="1" si="377"/>
        <v>770.64639147197124</v>
      </c>
      <c r="M895" s="306">
        <f t="shared" ca="1" si="393"/>
        <v>-1.4801003877915369</v>
      </c>
      <c r="N895" s="304">
        <f t="shared" ca="1" si="394"/>
        <v>-84.803505476131534</v>
      </c>
      <c r="P895" s="310">
        <f t="shared" ca="1" si="395"/>
        <v>23</v>
      </c>
      <c r="Q895" s="304">
        <f t="shared" ca="1" si="396"/>
        <v>0</v>
      </c>
      <c r="R895" s="306">
        <f t="shared" ca="1" si="397"/>
        <v>0</v>
      </c>
      <c r="S895" s="307">
        <f t="shared" ca="1" si="398"/>
        <v>7.4499999999999984</v>
      </c>
      <c r="T895" s="304">
        <f t="shared" ca="1" si="378"/>
        <v>73.084499999999991</v>
      </c>
      <c r="U895" s="311">
        <f t="shared" ca="1" si="379"/>
        <v>0</v>
      </c>
      <c r="V895" s="306">
        <f t="shared" ca="1" si="380"/>
        <v>1.2266490464877919</v>
      </c>
      <c r="W895" s="304">
        <f t="shared" ca="1" si="381"/>
        <v>58.427055476821018</v>
      </c>
      <c r="Y895" s="314" t="str">
        <f t="shared" ca="1" si="399"/>
        <v/>
      </c>
      <c r="Z895" s="315" t="str">
        <f t="shared" ca="1" si="400"/>
        <v/>
      </c>
      <c r="AA895" s="316" t="str">
        <f t="shared" ca="1" si="401"/>
        <v/>
      </c>
      <c r="AC895" s="310" t="e">
        <f t="shared" ca="1" si="402"/>
        <v>#N/A</v>
      </c>
      <c r="AD895" s="323" t="e">
        <f t="shared" ca="1" si="403"/>
        <v>#N/A</v>
      </c>
      <c r="AE895" s="324" t="e">
        <f t="shared" ca="1" si="382"/>
        <v>#N/A</v>
      </c>
      <c r="AG895" s="306">
        <f t="shared" ca="1" si="404"/>
        <v>1.9271563930263271</v>
      </c>
      <c r="AH895" s="304">
        <f t="shared" ca="1" si="405"/>
        <v>-7.8425232811256675</v>
      </c>
    </row>
    <row r="896" spans="1:34" x14ac:dyDescent="0.2">
      <c r="A896" s="347">
        <f t="shared" ca="1" si="383"/>
        <v>1E-4</v>
      </c>
      <c r="B896" s="304">
        <f t="shared" ca="1" si="384"/>
        <v>34.536700000001439</v>
      </c>
      <c r="D896" s="306">
        <f t="shared" ca="1" si="385"/>
        <v>-0.71031339642178337</v>
      </c>
      <c r="E896" s="307">
        <f t="shared" ca="1" si="386"/>
        <v>-1.9996755864553473</v>
      </c>
      <c r="F896" s="304">
        <f t="shared" ca="1" si="387"/>
        <v>2.1220856656133811</v>
      </c>
      <c r="G896" s="306">
        <f t="shared" ca="1" si="388"/>
        <v>10.910744606756801</v>
      </c>
      <c r="H896" s="307">
        <f t="shared" ca="1" si="389"/>
        <v>-119.97120175239274</v>
      </c>
      <c r="I896" s="304">
        <f t="shared" ca="1" si="390"/>
        <v>120.46631727494287</v>
      </c>
      <c r="J896" s="306">
        <f t="shared" ca="1" si="391"/>
        <v>770.52896740167785</v>
      </c>
      <c r="K896" s="307">
        <f t="shared" ca="1" si="392"/>
        <v>-13.464546447564379</v>
      </c>
      <c r="L896" s="304">
        <f t="shared" ca="1" si="377"/>
        <v>770.64660098915283</v>
      </c>
      <c r="M896" s="306">
        <f t="shared" ca="1" si="393"/>
        <v>-1.4801011253486431</v>
      </c>
      <c r="N896" s="304">
        <f t="shared" ca="1" si="394"/>
        <v>-84.80354773504088</v>
      </c>
      <c r="P896" s="310">
        <f t="shared" ca="1" si="395"/>
        <v>23</v>
      </c>
      <c r="Q896" s="304">
        <f t="shared" ca="1" si="396"/>
        <v>0</v>
      </c>
      <c r="R896" s="306">
        <f t="shared" ca="1" si="397"/>
        <v>0</v>
      </c>
      <c r="S896" s="307">
        <f t="shared" ca="1" si="398"/>
        <v>7.4499999999999984</v>
      </c>
      <c r="T896" s="304">
        <f t="shared" ca="1" si="378"/>
        <v>73.084499999999991</v>
      </c>
      <c r="U896" s="311">
        <f t="shared" ca="1" si="379"/>
        <v>0</v>
      </c>
      <c r="V896" s="306">
        <f t="shared" ca="1" si="380"/>
        <v>1.2266505181137171</v>
      </c>
      <c r="W896" s="304">
        <f t="shared" ca="1" si="381"/>
        <v>58.427312506921332</v>
      </c>
      <c r="Y896" s="314" t="str">
        <f t="shared" ca="1" si="399"/>
        <v/>
      </c>
      <c r="Z896" s="315" t="str">
        <f t="shared" ca="1" si="400"/>
        <v/>
      </c>
      <c r="AA896" s="316" t="str">
        <f t="shared" ca="1" si="401"/>
        <v/>
      </c>
      <c r="AC896" s="310" t="e">
        <f t="shared" ca="1" si="402"/>
        <v>#N/A</v>
      </c>
      <c r="AD896" s="323" t="e">
        <f t="shared" ca="1" si="403"/>
        <v>#N/A</v>
      </c>
      <c r="AE896" s="324" t="e">
        <f t="shared" ca="1" si="382"/>
        <v>#N/A</v>
      </c>
      <c r="AG896" s="306">
        <f t="shared" ca="1" si="404"/>
        <v>1.9271225473626918</v>
      </c>
      <c r="AH896" s="304">
        <f t="shared" ca="1" si="405"/>
        <v>-7.8425577821236283</v>
      </c>
    </row>
    <row r="897" spans="1:34" x14ac:dyDescent="0.2">
      <c r="A897" s="347">
        <f t="shared" ca="1" si="383"/>
        <v>1E-4</v>
      </c>
      <c r="B897" s="304">
        <f t="shared" ca="1" si="384"/>
        <v>34.536800000001442</v>
      </c>
      <c r="D897" s="306">
        <f t="shared" ca="1" si="385"/>
        <v>-0.71031076061989662</v>
      </c>
      <c r="E897" s="307">
        <f t="shared" ca="1" si="386"/>
        <v>-1.9996407036736876</v>
      </c>
      <c r="F897" s="304">
        <f t="shared" ca="1" si="387"/>
        <v>2.1220519127582662</v>
      </c>
      <c r="G897" s="306">
        <f t="shared" ca="1" si="388"/>
        <v>10.910673575680738</v>
      </c>
      <c r="H897" s="307">
        <f t="shared" ca="1" si="389"/>
        <v>-119.97140171646311</v>
      </c>
      <c r="I897" s="304">
        <f t="shared" ca="1" si="390"/>
        <v>120.46650998384581</v>
      </c>
      <c r="J897" s="306">
        <f t="shared" ca="1" si="391"/>
        <v>770.52896740167785</v>
      </c>
      <c r="K897" s="307">
        <f t="shared" ca="1" si="392"/>
        <v>-13.476543577737822</v>
      </c>
      <c r="L897" s="304">
        <f t="shared" ca="1" si="377"/>
        <v>770.64681069339315</v>
      </c>
      <c r="M897" s="306">
        <f t="shared" ca="1" si="393"/>
        <v>-1.4801018628985882</v>
      </c>
      <c r="N897" s="304">
        <f t="shared" ca="1" si="394"/>
        <v>-84.803589993539916</v>
      </c>
      <c r="P897" s="310">
        <f t="shared" ca="1" si="395"/>
        <v>23</v>
      </c>
      <c r="Q897" s="304">
        <f t="shared" ca="1" si="396"/>
        <v>0</v>
      </c>
      <c r="R897" s="306">
        <f t="shared" ca="1" si="397"/>
        <v>0</v>
      </c>
      <c r="S897" s="307">
        <f t="shared" ca="1" si="398"/>
        <v>7.4499999999999984</v>
      </c>
      <c r="T897" s="304">
        <f t="shared" ca="1" si="378"/>
        <v>73.084499999999991</v>
      </c>
      <c r="U897" s="311">
        <f t="shared" ca="1" si="379"/>
        <v>0</v>
      </c>
      <c r="V897" s="306">
        <f t="shared" ca="1" si="380"/>
        <v>1.2266519897438615</v>
      </c>
      <c r="W897" s="304">
        <f t="shared" ca="1" si="381"/>
        <v>58.427569534687088</v>
      </c>
      <c r="Y897" s="314" t="str">
        <f t="shared" ca="1" si="399"/>
        <v/>
      </c>
      <c r="Z897" s="315" t="str">
        <f t="shared" ca="1" si="400"/>
        <v/>
      </c>
      <c r="AA897" s="316" t="str">
        <f t="shared" ca="1" si="401"/>
        <v/>
      </c>
      <c r="AC897" s="310" t="e">
        <f t="shared" ca="1" si="402"/>
        <v>#N/A</v>
      </c>
      <c r="AD897" s="323" t="e">
        <f t="shared" ca="1" si="403"/>
        <v>#N/A</v>
      </c>
      <c r="AE897" s="324" t="e">
        <f t="shared" ca="1" si="382"/>
        <v>#N/A</v>
      </c>
      <c r="AG897" s="306">
        <f t="shared" ca="1" si="404"/>
        <v>1.9270887020007299</v>
      </c>
      <c r="AH897" s="304">
        <f t="shared" ca="1" si="405"/>
        <v>-7.8425922828082344</v>
      </c>
    </row>
    <row r="898" spans="1:34" x14ac:dyDescent="0.2">
      <c r="A898" s="347">
        <f t="shared" ca="1" si="383"/>
        <v>1E-4</v>
      </c>
      <c r="B898" s="304">
        <f t="shared" ca="1" si="384"/>
        <v>34.536900000001445</v>
      </c>
      <c r="D898" s="306">
        <f t="shared" ca="1" si="385"/>
        <v>-0.71030812479449013</v>
      </c>
      <c r="E898" s="307">
        <f t="shared" ca="1" si="386"/>
        <v>-1.9996058212088297</v>
      </c>
      <c r="F898" s="304">
        <f t="shared" ca="1" si="387"/>
        <v>2.1220181602336261</v>
      </c>
      <c r="G898" s="306">
        <f t="shared" ca="1" si="388"/>
        <v>10.910602544868258</v>
      </c>
      <c r="H898" s="307">
        <f t="shared" ca="1" si="389"/>
        <v>-119.97160167704523</v>
      </c>
      <c r="I898" s="304">
        <f t="shared" ca="1" si="390"/>
        <v>120.46670268936428</v>
      </c>
      <c r="J898" s="306">
        <f t="shared" ca="1" si="391"/>
        <v>770.52896740167785</v>
      </c>
      <c r="K898" s="307">
        <f t="shared" ca="1" si="392"/>
        <v>-13.488540727907496</v>
      </c>
      <c r="L898" s="304">
        <f t="shared" ca="1" si="377"/>
        <v>770.64702058469311</v>
      </c>
      <c r="M898" s="306">
        <f t="shared" ca="1" si="393"/>
        <v>-1.480102600441372</v>
      </c>
      <c r="N898" s="304">
        <f t="shared" ca="1" si="394"/>
        <v>-84.803632251628628</v>
      </c>
      <c r="P898" s="310">
        <f t="shared" ca="1" si="395"/>
        <v>23</v>
      </c>
      <c r="Q898" s="304">
        <f t="shared" ca="1" si="396"/>
        <v>0</v>
      </c>
      <c r="R898" s="306">
        <f t="shared" ca="1" si="397"/>
        <v>0</v>
      </c>
      <c r="S898" s="307">
        <f t="shared" ca="1" si="398"/>
        <v>7.4499999999999984</v>
      </c>
      <c r="T898" s="304">
        <f t="shared" ca="1" si="378"/>
        <v>73.084499999999991</v>
      </c>
      <c r="U898" s="311">
        <f t="shared" ca="1" si="379"/>
        <v>0</v>
      </c>
      <c r="V898" s="306">
        <f t="shared" ca="1" si="380"/>
        <v>1.2266534613782258</v>
      </c>
      <c r="W898" s="304">
        <f t="shared" ca="1" si="381"/>
        <v>58.427826560118376</v>
      </c>
      <c r="Y898" s="314" t="str">
        <f t="shared" ca="1" si="399"/>
        <v/>
      </c>
      <c r="Z898" s="315" t="str">
        <f t="shared" ca="1" si="400"/>
        <v/>
      </c>
      <c r="AA898" s="316" t="str">
        <f t="shared" ca="1" si="401"/>
        <v/>
      </c>
      <c r="AC898" s="310" t="e">
        <f t="shared" ca="1" si="402"/>
        <v>#N/A</v>
      </c>
      <c r="AD898" s="323" t="e">
        <f t="shared" ca="1" si="403"/>
        <v>#N/A</v>
      </c>
      <c r="AE898" s="324" t="e">
        <f t="shared" ca="1" si="382"/>
        <v>#N/A</v>
      </c>
      <c r="AG898" s="306">
        <f t="shared" ca="1" si="404"/>
        <v>1.9270548569404555</v>
      </c>
      <c r="AH898" s="304">
        <f t="shared" ca="1" si="405"/>
        <v>-7.8426267831794769</v>
      </c>
    </row>
    <row r="899" spans="1:34" x14ac:dyDescent="0.2">
      <c r="A899" s="347">
        <f t="shared" ca="1" si="383"/>
        <v>1E-4</v>
      </c>
      <c r="B899" s="304">
        <f t="shared" ca="1" si="384"/>
        <v>34.537000000001449</v>
      </c>
      <c r="D899" s="306">
        <f t="shared" ca="1" si="385"/>
        <v>-0.71030548894556833</v>
      </c>
      <c r="E899" s="307">
        <f t="shared" ca="1" si="386"/>
        <v>-1.9995709390607628</v>
      </c>
      <c r="F899" s="304">
        <f t="shared" ca="1" si="387"/>
        <v>2.1219844080394519</v>
      </c>
      <c r="G899" s="306">
        <f t="shared" ca="1" si="388"/>
        <v>10.910531514319363</v>
      </c>
      <c r="H899" s="307">
        <f t="shared" ca="1" si="389"/>
        <v>-119.97180163413914</v>
      </c>
      <c r="I899" s="304">
        <f t="shared" ca="1" si="390"/>
        <v>120.46689539149827</v>
      </c>
      <c r="J899" s="306">
        <f t="shared" ca="1" si="391"/>
        <v>770.52896740167785</v>
      </c>
      <c r="K899" s="307">
        <f t="shared" ca="1" si="392"/>
        <v>-13.500537898073055</v>
      </c>
      <c r="L899" s="304">
        <f t="shared" ca="1" si="377"/>
        <v>770.64723066305328</v>
      </c>
      <c r="M899" s="306">
        <f t="shared" ca="1" si="393"/>
        <v>-1.4801033379769946</v>
      </c>
      <c r="N899" s="304">
        <f t="shared" ca="1" si="394"/>
        <v>-84.803674509307044</v>
      </c>
      <c r="P899" s="310">
        <f t="shared" ca="1" si="395"/>
        <v>23</v>
      </c>
      <c r="Q899" s="304">
        <f t="shared" ca="1" si="396"/>
        <v>0</v>
      </c>
      <c r="R899" s="306">
        <f t="shared" ca="1" si="397"/>
        <v>0</v>
      </c>
      <c r="S899" s="307">
        <f t="shared" ca="1" si="398"/>
        <v>7.4499999999999984</v>
      </c>
      <c r="T899" s="304">
        <f t="shared" ca="1" si="378"/>
        <v>73.084499999999991</v>
      </c>
      <c r="U899" s="311">
        <f t="shared" ca="1" si="379"/>
        <v>0</v>
      </c>
      <c r="V899" s="306">
        <f t="shared" ca="1" si="380"/>
        <v>1.2266549330168093</v>
      </c>
      <c r="W899" s="304">
        <f t="shared" ca="1" si="381"/>
        <v>58.428083583215155</v>
      </c>
      <c r="Y899" s="314" t="str">
        <f t="shared" ca="1" si="399"/>
        <v/>
      </c>
      <c r="Z899" s="315" t="str">
        <f t="shared" ca="1" si="400"/>
        <v/>
      </c>
      <c r="AA899" s="316" t="str">
        <f t="shared" ca="1" si="401"/>
        <v/>
      </c>
      <c r="AC899" s="310" t="e">
        <f t="shared" ca="1" si="402"/>
        <v>#N/A</v>
      </c>
      <c r="AD899" s="323" t="e">
        <f t="shared" ca="1" si="403"/>
        <v>#N/A</v>
      </c>
      <c r="AE899" s="324" t="e">
        <f t="shared" ca="1" si="382"/>
        <v>#N/A</v>
      </c>
      <c r="AG899" s="306">
        <f t="shared" ca="1" si="404"/>
        <v>1.9270210121818589</v>
      </c>
      <c r="AH899" s="304">
        <f t="shared" ca="1" si="405"/>
        <v>-7.8426612832373674</v>
      </c>
    </row>
    <row r="900" spans="1:34" x14ac:dyDescent="0.2">
      <c r="A900" s="347">
        <f t="shared" ca="1" si="383"/>
        <v>1E-4</v>
      </c>
      <c r="B900" s="304">
        <f t="shared" ca="1" si="384"/>
        <v>34.537100000001452</v>
      </c>
      <c r="D900" s="306">
        <f t="shared" ca="1" si="385"/>
        <v>-0.71030285307313046</v>
      </c>
      <c r="E900" s="307">
        <f t="shared" ca="1" si="386"/>
        <v>-1.9995360572294896</v>
      </c>
      <c r="F900" s="304">
        <f t="shared" ca="1" si="387"/>
        <v>2.1219506561757466</v>
      </c>
      <c r="G900" s="306">
        <f t="shared" ca="1" si="388"/>
        <v>10.910460484034056</v>
      </c>
      <c r="H900" s="307">
        <f t="shared" ca="1" si="389"/>
        <v>-119.97200158774487</v>
      </c>
      <c r="I900" s="304">
        <f t="shared" ca="1" si="390"/>
        <v>120.46708809024781</v>
      </c>
      <c r="J900" s="306">
        <f t="shared" ca="1" si="391"/>
        <v>770.52896740167785</v>
      </c>
      <c r="K900" s="307">
        <f t="shared" ca="1" si="392"/>
        <v>-13.51253508823415</v>
      </c>
      <c r="L900" s="304">
        <f t="shared" ref="L900:L963" ca="1" si="406">SQRT(pos_x^2+pos_z^2)</f>
        <v>770.64744092847457</v>
      </c>
      <c r="M900" s="306">
        <f t="shared" ca="1" si="393"/>
        <v>-1.480104075505456</v>
      </c>
      <c r="N900" s="304">
        <f t="shared" ca="1" si="394"/>
        <v>-84.80371676657515</v>
      </c>
      <c r="P900" s="310">
        <f t="shared" ca="1" si="395"/>
        <v>23</v>
      </c>
      <c r="Q900" s="304">
        <f t="shared" ca="1" si="396"/>
        <v>0</v>
      </c>
      <c r="R900" s="306">
        <f t="shared" ca="1" si="397"/>
        <v>0</v>
      </c>
      <c r="S900" s="307">
        <f t="shared" ca="1" si="398"/>
        <v>7.4499999999999984</v>
      </c>
      <c r="T900" s="304">
        <f t="shared" ref="T900:T963" ca="1" si="407">m*g</f>
        <v>73.084499999999991</v>
      </c>
      <c r="U900" s="311">
        <f t="shared" ref="U900:U963" ca="1" si="408">IF(pos_xz&lt;L_rampe,Poids*COS(Beta),0)</f>
        <v>0</v>
      </c>
      <c r="V900" s="306">
        <f t="shared" ref="V900:V963" ca="1" si="409">Rho_moyen*(20000-Alt_rampe-pos_z)/(20000+Alt_rampe+pos_z)</f>
        <v>1.2266564046596129</v>
      </c>
      <c r="W900" s="304">
        <f t="shared" ref="W900:W963" ca="1" si="410">1/2*Rho*Sref*Cx*vit_xz^2</f>
        <v>58.428340603977453</v>
      </c>
      <c r="Y900" s="314" t="str">
        <f t="shared" ca="1" si="399"/>
        <v/>
      </c>
      <c r="Z900" s="315" t="str">
        <f t="shared" ca="1" si="400"/>
        <v/>
      </c>
      <c r="AA900" s="316" t="str">
        <f t="shared" ca="1" si="401"/>
        <v/>
      </c>
      <c r="AC900" s="310" t="e">
        <f t="shared" ca="1" si="402"/>
        <v>#N/A</v>
      </c>
      <c r="AD900" s="323" t="e">
        <f t="shared" ca="1" si="403"/>
        <v>#N/A</v>
      </c>
      <c r="AE900" s="324" t="e">
        <f t="shared" ref="AE900:AE963" ca="1" si="411">IF(t&lt;T_para, pos_z, NA())</f>
        <v>#N/A</v>
      </c>
      <c r="AG900" s="306">
        <f t="shared" ca="1" si="404"/>
        <v>1.9269871677249375</v>
      </c>
      <c r="AH900" s="304">
        <f t="shared" ca="1" si="405"/>
        <v>-7.8426957829819015</v>
      </c>
    </row>
    <row r="901" spans="1:34" x14ac:dyDescent="0.2">
      <c r="A901" s="347">
        <f t="shared" ref="A901:A964" ca="1" si="412">IF(B900+0.01&lt;=T_ini+ROUNDUP(Temps_fin_propu,0), 0.01, IF(K900&gt;0, 0.1, 0.0001))</f>
        <v>1E-4</v>
      </c>
      <c r="B901" s="304">
        <f t="shared" ref="B901:B964" ca="1" si="413">B900+pas</f>
        <v>34.537200000001455</v>
      </c>
      <c r="D901" s="306">
        <f t="shared" ref="D901:D964" ca="1" si="414">IF(AND(L900&lt;L_rampe,Poussee&lt;Poids*SIN(M900)),0,(-W900+Poussee)/m*COS(M900)-U900/m*SIN(M900))</f>
        <v>-0.71030021717717828</v>
      </c>
      <c r="E901" s="307">
        <f t="shared" ref="E901:E964" ca="1" si="415">IF(AND(L900&lt;L_rampe,Poussee&lt;Poids*SIN(M900)),0,(-W900+Poussee)/m*SIN(M900)+U900/m*COS(M900)-Poids/m)</f>
        <v>-1.9995011757150083</v>
      </c>
      <c r="F901" s="304">
        <f t="shared" ref="F901:F964" ca="1" si="416">SQRT(acc_x^2+acc_z^2)</f>
        <v>2.121916904642509</v>
      </c>
      <c r="G901" s="306">
        <f t="shared" ref="G901:G964" ca="1" si="417">G900+acc_x*pas</f>
        <v>10.910389454012337</v>
      </c>
      <c r="H901" s="307">
        <f t="shared" ref="H901:H964" ca="1" si="418">H900+acc_z*pas</f>
        <v>-119.97220153786245</v>
      </c>
      <c r="I901" s="304">
        <f t="shared" ref="I901:I964" ca="1" si="419">SQRT(vit_x^2+vit_z^2)</f>
        <v>120.46728078561294</v>
      </c>
      <c r="J901" s="306">
        <f t="shared" ref="J901:J964" ca="1" si="420">J900+0.5*(vit_x+G900)*pas*(K900&gt;=0)</f>
        <v>770.52896740167785</v>
      </c>
      <c r="K901" s="307">
        <f t="shared" ref="K901:K964" ca="1" si="421">K900+0.5*(vit_z+H900)*pas</f>
        <v>-13.524532298390431</v>
      </c>
      <c r="L901" s="304">
        <f t="shared" ca="1" si="406"/>
        <v>770.64765138095777</v>
      </c>
      <c r="M901" s="306">
        <f t="shared" ref="M901:M964" ca="1" si="422">IF(AND(L900&gt;L_rampe,G901&gt;0),ATAN2(G901,H901),$M$4)</f>
        <v>-1.4801048130267567</v>
      </c>
      <c r="N901" s="304">
        <f t="shared" ref="N901:N964" ca="1" si="423">DEGREES(Beta)</f>
        <v>-84.803759023432988</v>
      </c>
      <c r="P901" s="310">
        <f t="shared" ref="P901:P964" ca="1" si="424">MATCH(t-pas/2-T_ini,CdP_t)</f>
        <v>23</v>
      </c>
      <c r="Q901" s="304">
        <f t="shared" ref="Q901:Q964" ca="1" si="425">(INDEX(CdP,2,i_P+1)-INDEX(CdP,2,i_P+0))/(INDEX(CdP,1,i_P+1)-INDEX(CdP,1,i_P+0))*(t-pas/2-T_ini-INDEX(CdP,1,i_P+0))+INDEX(CdP,2,i_P+0)</f>
        <v>0</v>
      </c>
      <c r="R901" s="306">
        <f t="shared" ref="R901:R964" ca="1" si="426">Poussee/(g*ISP)</f>
        <v>0</v>
      </c>
      <c r="S901" s="307">
        <f t="shared" ref="S901:S964" ca="1" si="427">S900-Débit*pas</f>
        <v>7.4499999999999984</v>
      </c>
      <c r="T901" s="304">
        <f t="shared" ca="1" si="407"/>
        <v>73.084499999999991</v>
      </c>
      <c r="U901" s="311">
        <f t="shared" ca="1" si="408"/>
        <v>0</v>
      </c>
      <c r="V901" s="306">
        <f t="shared" ca="1" si="409"/>
        <v>1.2266578763066358</v>
      </c>
      <c r="W901" s="304">
        <f t="shared" ca="1" si="410"/>
        <v>58.428597622405249</v>
      </c>
      <c r="Y901" s="314" t="str">
        <f t="shared" ref="Y901:Y964" ca="1" si="428">IF(AND(pos_z&lt;=0,K900&gt;0),"Impact balistique","") &amp; IF(AND(H902&lt;0,vit_z&gt;=0),"Apogée","") &amp; IF(AND(Poussee=0,Q900&gt;0),"Fin de propulsion","") &amp; IF(AND(L902&gt;L_rampe,pos_xz&lt;=L_rampe),"Sortie de rampe","")</f>
        <v/>
      </c>
      <c r="Z901" s="315" t="str">
        <f t="shared" ref="Z901:Z964" ca="1" si="429">IF(ABS(t-T_para)&lt;pas/2,"Para","")</f>
        <v/>
      </c>
      <c r="AA901" s="316" t="str">
        <f t="shared" ref="AA901:AA964" ca="1" si="430">IF(ABS(t-T_satellite)&lt;pas/2,"Satellite","")</f>
        <v/>
      </c>
      <c r="AC901" s="310" t="e">
        <f t="shared" ref="AC901:AC964" ca="1" si="431">IF(ABS(t-ROUND(t,0))&lt;0.001,t,NA())</f>
        <v>#N/A</v>
      </c>
      <c r="AD901" s="323" t="e">
        <f t="shared" ref="AD901:AD964" ca="1" si="432">IF(ABS(t-ROUND(t,0))&lt;0.001,pos_x,NA())</f>
        <v>#N/A</v>
      </c>
      <c r="AE901" s="324" t="e">
        <f t="shared" ca="1" si="411"/>
        <v>#N/A</v>
      </c>
      <c r="AG901" s="306">
        <f t="shared" ref="AG901:AG964" ca="1" si="433">IF(AND(L900&lt;L_rampe,Poussee&lt;Poids*SIN(M900)),0,(-W900+Poussee)/m-Poids*SIN(M900)/m)</f>
        <v>1.9269533235696947</v>
      </c>
      <c r="AH901" s="304">
        <f t="shared" ref="AH901:AH964" ca="1" si="434">IF(AND(L900&lt;L_rampe,Poussee&lt;Poids*SIN(M900)), g*SIN(M900), (-W900+Poussee)/m)</f>
        <v>-7.8427302824130827</v>
      </c>
    </row>
    <row r="902" spans="1:34" x14ac:dyDescent="0.2">
      <c r="A902" s="347">
        <f t="shared" ca="1" si="412"/>
        <v>1E-4</v>
      </c>
      <c r="B902" s="304">
        <f t="shared" ca="1" si="413"/>
        <v>34.537300000001458</v>
      </c>
      <c r="D902" s="306">
        <f t="shared" ca="1" si="414"/>
        <v>-0.71029758125770948</v>
      </c>
      <c r="E902" s="307">
        <f t="shared" ca="1" si="415"/>
        <v>-1.9994662945173216</v>
      </c>
      <c r="F902" s="304">
        <f t="shared" ca="1" si="416"/>
        <v>2.1218831534397413</v>
      </c>
      <c r="G902" s="306">
        <f t="shared" ca="1" si="417"/>
        <v>10.910318424254212</v>
      </c>
      <c r="H902" s="307">
        <f t="shared" ca="1" si="418"/>
        <v>-119.9724014844919</v>
      </c>
      <c r="I902" s="304">
        <f t="shared" ca="1" si="419"/>
        <v>120.46747347759367</v>
      </c>
      <c r="J902" s="306">
        <f t="shared" ca="1" si="420"/>
        <v>770.52896740167785</v>
      </c>
      <c r="K902" s="307">
        <f t="shared" ca="1" si="421"/>
        <v>-13.536529528541548</v>
      </c>
      <c r="L902" s="304">
        <f t="shared" ca="1" si="406"/>
        <v>770.64786202050357</v>
      </c>
      <c r="M902" s="306">
        <f t="shared" ca="1" si="422"/>
        <v>-1.4801055505408964</v>
      </c>
      <c r="N902" s="304">
        <f t="shared" ca="1" si="423"/>
        <v>-84.803801279880531</v>
      </c>
      <c r="P902" s="310">
        <f t="shared" ca="1" si="424"/>
        <v>23</v>
      </c>
      <c r="Q902" s="304">
        <f t="shared" ca="1" si="425"/>
        <v>0</v>
      </c>
      <c r="R902" s="306">
        <f t="shared" ca="1" si="426"/>
        <v>0</v>
      </c>
      <c r="S902" s="307">
        <f t="shared" ca="1" si="427"/>
        <v>7.4499999999999984</v>
      </c>
      <c r="T902" s="304">
        <f t="shared" ca="1" si="407"/>
        <v>73.084499999999991</v>
      </c>
      <c r="U902" s="311">
        <f t="shared" ca="1" si="408"/>
        <v>0</v>
      </c>
      <c r="V902" s="306">
        <f t="shared" ca="1" si="409"/>
        <v>1.2266593479578778</v>
      </c>
      <c r="W902" s="304">
        <f t="shared" ca="1" si="410"/>
        <v>58.428854638498528</v>
      </c>
      <c r="Y902" s="314" t="str">
        <f t="shared" ca="1" si="428"/>
        <v/>
      </c>
      <c r="Z902" s="315" t="str">
        <f t="shared" ca="1" si="429"/>
        <v/>
      </c>
      <c r="AA902" s="316" t="str">
        <f t="shared" ca="1" si="430"/>
        <v/>
      </c>
      <c r="AC902" s="310" t="e">
        <f t="shared" ca="1" si="431"/>
        <v>#N/A</v>
      </c>
      <c r="AD902" s="323" t="e">
        <f t="shared" ca="1" si="432"/>
        <v>#N/A</v>
      </c>
      <c r="AE902" s="324" t="e">
        <f t="shared" ca="1" si="411"/>
        <v>#N/A</v>
      </c>
      <c r="AG902" s="306">
        <f t="shared" ca="1" si="433"/>
        <v>1.9269194797161342</v>
      </c>
      <c r="AH902" s="304">
        <f t="shared" ca="1" si="434"/>
        <v>-7.8427647815309074</v>
      </c>
    </row>
    <row r="903" spans="1:34" x14ac:dyDescent="0.2">
      <c r="A903" s="347">
        <f t="shared" ca="1" si="412"/>
        <v>1E-4</v>
      </c>
      <c r="B903" s="304">
        <f t="shared" ca="1" si="413"/>
        <v>34.537400000001462</v>
      </c>
      <c r="D903" s="306">
        <f t="shared" ca="1" si="414"/>
        <v>-0.71029494531472692</v>
      </c>
      <c r="E903" s="307">
        <f t="shared" ca="1" si="415"/>
        <v>-1.9994314136364304</v>
      </c>
      <c r="F903" s="304">
        <f t="shared" ca="1" si="416"/>
        <v>2.1218494025674457</v>
      </c>
      <c r="G903" s="306">
        <f t="shared" ca="1" si="417"/>
        <v>10.910247394759681</v>
      </c>
      <c r="H903" s="307">
        <f t="shared" ca="1" si="418"/>
        <v>-119.97260142763326</v>
      </c>
      <c r="I903" s="304">
        <f t="shared" ca="1" si="419"/>
        <v>120.46766616619006</v>
      </c>
      <c r="J903" s="306">
        <f t="shared" ca="1" si="420"/>
        <v>770.52896740167785</v>
      </c>
      <c r="K903" s="307">
        <f t="shared" ca="1" si="421"/>
        <v>-13.548526778687155</v>
      </c>
      <c r="L903" s="304">
        <f t="shared" ca="1" si="406"/>
        <v>770.64807284711276</v>
      </c>
      <c r="M903" s="306">
        <f t="shared" ca="1" si="422"/>
        <v>-1.4801062880478755</v>
      </c>
      <c r="N903" s="304">
        <f t="shared" ca="1" si="423"/>
        <v>-84.803843535917792</v>
      </c>
      <c r="P903" s="310">
        <f t="shared" ca="1" si="424"/>
        <v>23</v>
      </c>
      <c r="Q903" s="304">
        <f t="shared" ca="1" si="425"/>
        <v>0</v>
      </c>
      <c r="R903" s="306">
        <f t="shared" ca="1" si="426"/>
        <v>0</v>
      </c>
      <c r="S903" s="307">
        <f t="shared" ca="1" si="427"/>
        <v>7.4499999999999984</v>
      </c>
      <c r="T903" s="304">
        <f t="shared" ca="1" si="407"/>
        <v>73.084499999999991</v>
      </c>
      <c r="U903" s="311">
        <f t="shared" ca="1" si="408"/>
        <v>0</v>
      </c>
      <c r="V903" s="306">
        <f t="shared" ca="1" si="409"/>
        <v>1.2266608196133395</v>
      </c>
      <c r="W903" s="304">
        <f t="shared" ca="1" si="410"/>
        <v>58.42911165225734</v>
      </c>
      <c r="Y903" s="314" t="str">
        <f t="shared" ca="1" si="428"/>
        <v/>
      </c>
      <c r="Z903" s="315" t="str">
        <f t="shared" ca="1" si="429"/>
        <v/>
      </c>
      <c r="AA903" s="316" t="str">
        <f t="shared" ca="1" si="430"/>
        <v/>
      </c>
      <c r="AC903" s="310" t="e">
        <f t="shared" ca="1" si="431"/>
        <v>#N/A</v>
      </c>
      <c r="AD903" s="323" t="e">
        <f t="shared" ca="1" si="432"/>
        <v>#N/A</v>
      </c>
      <c r="AE903" s="324" t="e">
        <f t="shared" ca="1" si="411"/>
        <v>#N/A</v>
      </c>
      <c r="AG903" s="306">
        <f t="shared" ca="1" si="433"/>
        <v>1.9268856361642515</v>
      </c>
      <c r="AH903" s="304">
        <f t="shared" ca="1" si="434"/>
        <v>-7.8427992803353748</v>
      </c>
    </row>
    <row r="904" spans="1:34" x14ac:dyDescent="0.2">
      <c r="A904" s="347">
        <f t="shared" ca="1" si="412"/>
        <v>1E-4</v>
      </c>
      <c r="B904" s="304">
        <f t="shared" ca="1" si="413"/>
        <v>34.537500000001465</v>
      </c>
      <c r="D904" s="306">
        <f t="shared" ca="1" si="414"/>
        <v>-0.71029230934823118</v>
      </c>
      <c r="E904" s="307">
        <f t="shared" ca="1" si="415"/>
        <v>-1.9993965330723285</v>
      </c>
      <c r="F904" s="304">
        <f t="shared" ca="1" si="416"/>
        <v>2.121815652025616</v>
      </c>
      <c r="G904" s="306">
        <f t="shared" ca="1" si="417"/>
        <v>10.910176365528747</v>
      </c>
      <c r="H904" s="307">
        <f t="shared" ca="1" si="418"/>
        <v>-119.97280136728658</v>
      </c>
      <c r="I904" s="304">
        <f t="shared" ca="1" si="419"/>
        <v>120.46785885140211</v>
      </c>
      <c r="J904" s="306">
        <f t="shared" ca="1" si="420"/>
        <v>770.52896740167785</v>
      </c>
      <c r="K904" s="307">
        <f t="shared" ca="1" si="421"/>
        <v>-13.560524048826901</v>
      </c>
      <c r="L904" s="304">
        <f t="shared" ca="1" si="406"/>
        <v>770.64828386078614</v>
      </c>
      <c r="M904" s="306">
        <f t="shared" ca="1" si="422"/>
        <v>-1.4801070255476938</v>
      </c>
      <c r="N904" s="304">
        <f t="shared" ca="1" si="423"/>
        <v>-84.803885791544772</v>
      </c>
      <c r="P904" s="310">
        <f t="shared" ca="1" si="424"/>
        <v>23</v>
      </c>
      <c r="Q904" s="304">
        <f t="shared" ca="1" si="425"/>
        <v>0</v>
      </c>
      <c r="R904" s="306">
        <f t="shared" ca="1" si="426"/>
        <v>0</v>
      </c>
      <c r="S904" s="307">
        <f t="shared" ca="1" si="427"/>
        <v>7.4499999999999984</v>
      </c>
      <c r="T904" s="304">
        <f t="shared" ca="1" si="407"/>
        <v>73.084499999999991</v>
      </c>
      <c r="U904" s="311">
        <f t="shared" ca="1" si="408"/>
        <v>0</v>
      </c>
      <c r="V904" s="306">
        <f t="shared" ca="1" si="409"/>
        <v>1.2266622912730205</v>
      </c>
      <c r="W904" s="304">
        <f t="shared" ca="1" si="410"/>
        <v>58.429368663681643</v>
      </c>
      <c r="Y904" s="314" t="str">
        <f t="shared" ca="1" si="428"/>
        <v/>
      </c>
      <c r="Z904" s="315" t="str">
        <f t="shared" ca="1" si="429"/>
        <v/>
      </c>
      <c r="AA904" s="316" t="str">
        <f t="shared" ca="1" si="430"/>
        <v/>
      </c>
      <c r="AC904" s="310" t="e">
        <f t="shared" ca="1" si="431"/>
        <v>#N/A</v>
      </c>
      <c r="AD904" s="323" t="e">
        <f t="shared" ca="1" si="432"/>
        <v>#N/A</v>
      </c>
      <c r="AE904" s="324" t="e">
        <f t="shared" ca="1" si="411"/>
        <v>#N/A</v>
      </c>
      <c r="AG904" s="306">
        <f t="shared" ca="1" si="433"/>
        <v>1.9268517929140465</v>
      </c>
      <c r="AH904" s="304">
        <f t="shared" ca="1" si="434"/>
        <v>-7.8428337788264901</v>
      </c>
    </row>
    <row r="905" spans="1:34" x14ac:dyDescent="0.2">
      <c r="A905" s="347">
        <f t="shared" ca="1" si="412"/>
        <v>1E-4</v>
      </c>
      <c r="B905" s="304">
        <f t="shared" ca="1" si="413"/>
        <v>34.537600000001468</v>
      </c>
      <c r="D905" s="306">
        <f t="shared" ca="1" si="414"/>
        <v>-0.71028967335822291</v>
      </c>
      <c r="E905" s="307">
        <f t="shared" ca="1" si="415"/>
        <v>-1.9993616528250229</v>
      </c>
      <c r="F905" s="304">
        <f t="shared" ca="1" si="416"/>
        <v>2.1217819018142601</v>
      </c>
      <c r="G905" s="306">
        <f t="shared" ca="1" si="417"/>
        <v>10.910105336561411</v>
      </c>
      <c r="H905" s="307">
        <f t="shared" ca="1" si="418"/>
        <v>-119.97300130345187</v>
      </c>
      <c r="I905" s="304">
        <f t="shared" ca="1" si="419"/>
        <v>120.46805153322988</v>
      </c>
      <c r="J905" s="306">
        <f t="shared" ca="1" si="420"/>
        <v>770.52896740167785</v>
      </c>
      <c r="K905" s="307">
        <f t="shared" ca="1" si="421"/>
        <v>-13.572521338960438</v>
      </c>
      <c r="L905" s="304">
        <f t="shared" ca="1" si="406"/>
        <v>770.64849506152439</v>
      </c>
      <c r="M905" s="306">
        <f t="shared" ca="1" si="422"/>
        <v>-1.4801077630403516</v>
      </c>
      <c r="N905" s="304">
        <f t="shared" ca="1" si="423"/>
        <v>-84.803928046761484</v>
      </c>
      <c r="P905" s="310">
        <f t="shared" ca="1" si="424"/>
        <v>23</v>
      </c>
      <c r="Q905" s="304">
        <f t="shared" ca="1" si="425"/>
        <v>0</v>
      </c>
      <c r="R905" s="306">
        <f t="shared" ca="1" si="426"/>
        <v>0</v>
      </c>
      <c r="S905" s="307">
        <f t="shared" ca="1" si="427"/>
        <v>7.4499999999999984</v>
      </c>
      <c r="T905" s="304">
        <f t="shared" ca="1" si="407"/>
        <v>73.084499999999991</v>
      </c>
      <c r="U905" s="311">
        <f t="shared" ca="1" si="408"/>
        <v>0</v>
      </c>
      <c r="V905" s="306">
        <f t="shared" ca="1" si="409"/>
        <v>1.2266637629369208</v>
      </c>
      <c r="W905" s="304">
        <f t="shared" ca="1" si="410"/>
        <v>58.429625672771479</v>
      </c>
      <c r="Y905" s="314" t="str">
        <f t="shared" ca="1" si="428"/>
        <v/>
      </c>
      <c r="Z905" s="315" t="str">
        <f t="shared" ca="1" si="429"/>
        <v/>
      </c>
      <c r="AA905" s="316" t="str">
        <f t="shared" ca="1" si="430"/>
        <v/>
      </c>
      <c r="AC905" s="310" t="e">
        <f t="shared" ca="1" si="431"/>
        <v>#N/A</v>
      </c>
      <c r="AD905" s="323" t="e">
        <f t="shared" ca="1" si="432"/>
        <v>#N/A</v>
      </c>
      <c r="AE905" s="324" t="e">
        <f t="shared" ca="1" si="411"/>
        <v>#N/A</v>
      </c>
      <c r="AG905" s="306">
        <f t="shared" ca="1" si="433"/>
        <v>1.9268179499655202</v>
      </c>
      <c r="AH905" s="304">
        <f t="shared" ca="1" si="434"/>
        <v>-7.842868277004249</v>
      </c>
    </row>
    <row r="906" spans="1:34" x14ac:dyDescent="0.2">
      <c r="A906" s="347">
        <f t="shared" ca="1" si="412"/>
        <v>1E-4</v>
      </c>
      <c r="B906" s="304">
        <f t="shared" ca="1" si="413"/>
        <v>34.537700000001472</v>
      </c>
      <c r="D906" s="306">
        <f t="shared" ca="1" si="414"/>
        <v>-0.71028703734470267</v>
      </c>
      <c r="E906" s="307">
        <f t="shared" ca="1" si="415"/>
        <v>-1.9993267728945057</v>
      </c>
      <c r="F906" s="304">
        <f t="shared" ca="1" si="416"/>
        <v>2.1217481519333705</v>
      </c>
      <c r="G906" s="306">
        <f t="shared" ca="1" si="417"/>
        <v>10.910034307857677</v>
      </c>
      <c r="H906" s="307">
        <f t="shared" ca="1" si="418"/>
        <v>-119.97320123612916</v>
      </c>
      <c r="I906" s="304">
        <f t="shared" ca="1" si="419"/>
        <v>120.46824421167337</v>
      </c>
      <c r="J906" s="306">
        <f t="shared" ca="1" si="420"/>
        <v>770.52896740167785</v>
      </c>
      <c r="K906" s="307">
        <f t="shared" ca="1" si="421"/>
        <v>-13.584518649087418</v>
      </c>
      <c r="L906" s="304">
        <f t="shared" ca="1" si="406"/>
        <v>770.64870644932853</v>
      </c>
      <c r="M906" s="306">
        <f t="shared" ca="1" si="422"/>
        <v>-1.480108500525849</v>
      </c>
      <c r="N906" s="304">
        <f t="shared" ca="1" si="423"/>
        <v>-84.803970301567929</v>
      </c>
      <c r="P906" s="310">
        <f t="shared" ca="1" si="424"/>
        <v>23</v>
      </c>
      <c r="Q906" s="304">
        <f t="shared" ca="1" si="425"/>
        <v>0</v>
      </c>
      <c r="R906" s="306">
        <f t="shared" ca="1" si="426"/>
        <v>0</v>
      </c>
      <c r="S906" s="307">
        <f t="shared" ca="1" si="427"/>
        <v>7.4499999999999984</v>
      </c>
      <c r="T906" s="304">
        <f t="shared" ca="1" si="407"/>
        <v>73.084499999999991</v>
      </c>
      <c r="U906" s="311">
        <f t="shared" ca="1" si="408"/>
        <v>0</v>
      </c>
      <c r="V906" s="306">
        <f t="shared" ca="1" si="409"/>
        <v>1.2266652346050408</v>
      </c>
      <c r="W906" s="304">
        <f t="shared" ca="1" si="410"/>
        <v>58.429882679526834</v>
      </c>
      <c r="Y906" s="314" t="str">
        <f t="shared" ca="1" si="428"/>
        <v/>
      </c>
      <c r="Z906" s="315" t="str">
        <f t="shared" ca="1" si="429"/>
        <v/>
      </c>
      <c r="AA906" s="316" t="str">
        <f t="shared" ca="1" si="430"/>
        <v/>
      </c>
      <c r="AC906" s="310" t="e">
        <f t="shared" ca="1" si="431"/>
        <v>#N/A</v>
      </c>
      <c r="AD906" s="323" t="e">
        <f t="shared" ca="1" si="432"/>
        <v>#N/A</v>
      </c>
      <c r="AE906" s="324" t="e">
        <f t="shared" ca="1" si="411"/>
        <v>#N/A</v>
      </c>
      <c r="AG906" s="306">
        <f t="shared" ca="1" si="433"/>
        <v>1.9267841073186709</v>
      </c>
      <c r="AH906" s="304">
        <f t="shared" ca="1" si="434"/>
        <v>-7.8429027748686568</v>
      </c>
    </row>
    <row r="907" spans="1:34" x14ac:dyDescent="0.2">
      <c r="A907" s="347">
        <f t="shared" ca="1" si="412"/>
        <v>1E-4</v>
      </c>
      <c r="B907" s="304">
        <f t="shared" ca="1" si="413"/>
        <v>34.537800000001475</v>
      </c>
      <c r="D907" s="306">
        <f t="shared" ca="1" si="414"/>
        <v>-0.71028440130767134</v>
      </c>
      <c r="E907" s="307">
        <f t="shared" ca="1" si="415"/>
        <v>-1.9992918932807813</v>
      </c>
      <c r="F907" s="304">
        <f t="shared" ca="1" si="416"/>
        <v>2.1217144023829522</v>
      </c>
      <c r="G907" s="306">
        <f t="shared" ca="1" si="417"/>
        <v>10.909963279417546</v>
      </c>
      <c r="H907" s="307">
        <f t="shared" ca="1" si="418"/>
        <v>-119.97340116531848</v>
      </c>
      <c r="I907" s="304">
        <f t="shared" ca="1" si="419"/>
        <v>120.46843688673262</v>
      </c>
      <c r="J907" s="306">
        <f t="shared" ca="1" si="420"/>
        <v>770.52896740167785</v>
      </c>
      <c r="K907" s="307">
        <f t="shared" ca="1" si="421"/>
        <v>-13.59651597920749</v>
      </c>
      <c r="L907" s="304">
        <f t="shared" ca="1" si="406"/>
        <v>770.64891802419913</v>
      </c>
      <c r="M907" s="306">
        <f t="shared" ca="1" si="422"/>
        <v>-1.480109238004186</v>
      </c>
      <c r="N907" s="304">
        <f t="shared" ca="1" si="423"/>
        <v>-84.804012555964135</v>
      </c>
      <c r="P907" s="310">
        <f t="shared" ca="1" si="424"/>
        <v>23</v>
      </c>
      <c r="Q907" s="304">
        <f t="shared" ca="1" si="425"/>
        <v>0</v>
      </c>
      <c r="R907" s="306">
        <f t="shared" ca="1" si="426"/>
        <v>0</v>
      </c>
      <c r="S907" s="307">
        <f t="shared" ca="1" si="427"/>
        <v>7.4499999999999984</v>
      </c>
      <c r="T907" s="304">
        <f t="shared" ca="1" si="407"/>
        <v>73.084499999999991</v>
      </c>
      <c r="U907" s="311">
        <f t="shared" ca="1" si="408"/>
        <v>0</v>
      </c>
      <c r="V907" s="306">
        <f t="shared" ca="1" si="409"/>
        <v>1.2266667062773795</v>
      </c>
      <c r="W907" s="304">
        <f t="shared" ca="1" si="410"/>
        <v>58.430139683947687</v>
      </c>
      <c r="Y907" s="314" t="str">
        <f t="shared" ca="1" si="428"/>
        <v/>
      </c>
      <c r="Z907" s="315" t="str">
        <f t="shared" ca="1" si="429"/>
        <v/>
      </c>
      <c r="AA907" s="316" t="str">
        <f t="shared" ca="1" si="430"/>
        <v/>
      </c>
      <c r="AC907" s="310" t="e">
        <f t="shared" ca="1" si="431"/>
        <v>#N/A</v>
      </c>
      <c r="AD907" s="323" t="e">
        <f t="shared" ca="1" si="432"/>
        <v>#N/A</v>
      </c>
      <c r="AE907" s="324" t="e">
        <f t="shared" ca="1" si="411"/>
        <v>#N/A</v>
      </c>
      <c r="AG907" s="306">
        <f t="shared" ca="1" si="433"/>
        <v>1.9267502649734993</v>
      </c>
      <c r="AH907" s="304">
        <f t="shared" ca="1" si="434"/>
        <v>-7.8429372724197108</v>
      </c>
    </row>
    <row r="908" spans="1:34" x14ac:dyDescent="0.2">
      <c r="A908" s="347">
        <f t="shared" ca="1" si="412"/>
        <v>1E-4</v>
      </c>
      <c r="B908" s="304">
        <f t="shared" ca="1" si="413"/>
        <v>34.537900000001478</v>
      </c>
      <c r="D908" s="306">
        <f t="shared" ca="1" si="414"/>
        <v>-0.7102817652471286</v>
      </c>
      <c r="E908" s="307">
        <f t="shared" ca="1" si="415"/>
        <v>-1.9992570139838497</v>
      </c>
      <c r="F908" s="304">
        <f t="shared" ca="1" si="416"/>
        <v>2.121680653163005</v>
      </c>
      <c r="G908" s="306">
        <f t="shared" ca="1" si="417"/>
        <v>10.909892251241022</v>
      </c>
      <c r="H908" s="307">
        <f t="shared" ca="1" si="418"/>
        <v>-119.97360109101987</v>
      </c>
      <c r="I908" s="304">
        <f t="shared" ca="1" si="419"/>
        <v>120.46862955840767</v>
      </c>
      <c r="J908" s="306">
        <f t="shared" ca="1" si="420"/>
        <v>770.52896740167785</v>
      </c>
      <c r="K908" s="307">
        <f t="shared" ca="1" si="421"/>
        <v>-13.608513329320306</v>
      </c>
      <c r="L908" s="304">
        <f t="shared" ca="1" si="406"/>
        <v>770.649129786137</v>
      </c>
      <c r="M908" s="306">
        <f t="shared" ca="1" si="422"/>
        <v>-1.4801099754753628</v>
      </c>
      <c r="N908" s="304">
        <f t="shared" ca="1" si="423"/>
        <v>-84.804054809950074</v>
      </c>
      <c r="P908" s="310">
        <f t="shared" ca="1" si="424"/>
        <v>23</v>
      </c>
      <c r="Q908" s="304">
        <f t="shared" ca="1" si="425"/>
        <v>0</v>
      </c>
      <c r="R908" s="306">
        <f t="shared" ca="1" si="426"/>
        <v>0</v>
      </c>
      <c r="S908" s="307">
        <f t="shared" ca="1" si="427"/>
        <v>7.4499999999999984</v>
      </c>
      <c r="T908" s="304">
        <f t="shared" ca="1" si="407"/>
        <v>73.084499999999991</v>
      </c>
      <c r="U908" s="311">
        <f t="shared" ca="1" si="408"/>
        <v>0</v>
      </c>
      <c r="V908" s="306">
        <f t="shared" ca="1" si="409"/>
        <v>1.2266681779539379</v>
      </c>
      <c r="W908" s="304">
        <f t="shared" ca="1" si="410"/>
        <v>58.430396686034079</v>
      </c>
      <c r="Y908" s="314" t="str">
        <f t="shared" ca="1" si="428"/>
        <v/>
      </c>
      <c r="Z908" s="315" t="str">
        <f t="shared" ca="1" si="429"/>
        <v/>
      </c>
      <c r="AA908" s="316" t="str">
        <f t="shared" ca="1" si="430"/>
        <v/>
      </c>
      <c r="AC908" s="310" t="e">
        <f t="shared" ca="1" si="431"/>
        <v>#N/A</v>
      </c>
      <c r="AD908" s="323" t="e">
        <f t="shared" ca="1" si="432"/>
        <v>#N/A</v>
      </c>
      <c r="AE908" s="324" t="e">
        <f t="shared" ca="1" si="411"/>
        <v>#N/A</v>
      </c>
      <c r="AG908" s="306">
        <f t="shared" ca="1" si="433"/>
        <v>1.9267164229300109</v>
      </c>
      <c r="AH908" s="304">
        <f t="shared" ca="1" si="434"/>
        <v>-7.8429717696574093</v>
      </c>
    </row>
    <row r="909" spans="1:34" x14ac:dyDescent="0.2">
      <c r="A909" s="347">
        <f t="shared" ca="1" si="412"/>
        <v>1E-4</v>
      </c>
      <c r="B909" s="304">
        <f t="shared" ca="1" si="413"/>
        <v>34.538000000001482</v>
      </c>
      <c r="D909" s="306">
        <f t="shared" ca="1" si="414"/>
        <v>-0.71027912916307634</v>
      </c>
      <c r="E909" s="307">
        <f t="shared" ca="1" si="415"/>
        <v>-1.9992221350037074</v>
      </c>
      <c r="F909" s="304">
        <f t="shared" ca="1" si="416"/>
        <v>2.1216469042735269</v>
      </c>
      <c r="G909" s="306">
        <f t="shared" ca="1" si="417"/>
        <v>10.909821223328105</v>
      </c>
      <c r="H909" s="307">
        <f t="shared" ca="1" si="418"/>
        <v>-119.97380101323337</v>
      </c>
      <c r="I909" s="304">
        <f t="shared" ca="1" si="419"/>
        <v>120.46882222669855</v>
      </c>
      <c r="J909" s="306">
        <f t="shared" ca="1" si="420"/>
        <v>770.52896740167785</v>
      </c>
      <c r="K909" s="307">
        <f t="shared" ca="1" si="421"/>
        <v>-13.62051069942552</v>
      </c>
      <c r="L909" s="304">
        <f t="shared" ca="1" si="406"/>
        <v>770.64934173514291</v>
      </c>
      <c r="M909" s="306">
        <f t="shared" ca="1" si="422"/>
        <v>-1.4801107129393793</v>
      </c>
      <c r="N909" s="304">
        <f t="shared" ca="1" si="423"/>
        <v>-84.804097063525759</v>
      </c>
      <c r="P909" s="310">
        <f t="shared" ca="1" si="424"/>
        <v>23</v>
      </c>
      <c r="Q909" s="304">
        <f t="shared" ca="1" si="425"/>
        <v>0</v>
      </c>
      <c r="R909" s="306">
        <f t="shared" ca="1" si="426"/>
        <v>0</v>
      </c>
      <c r="S909" s="307">
        <f t="shared" ca="1" si="427"/>
        <v>7.4499999999999984</v>
      </c>
      <c r="T909" s="304">
        <f t="shared" ca="1" si="407"/>
        <v>73.084499999999991</v>
      </c>
      <c r="U909" s="311">
        <f t="shared" ca="1" si="408"/>
        <v>0</v>
      </c>
      <c r="V909" s="306">
        <f t="shared" ca="1" si="409"/>
        <v>1.2266696496347151</v>
      </c>
      <c r="W909" s="304">
        <f t="shared" ca="1" si="410"/>
        <v>58.430653685785991</v>
      </c>
      <c r="Y909" s="314" t="str">
        <f t="shared" ca="1" si="428"/>
        <v/>
      </c>
      <c r="Z909" s="315" t="str">
        <f t="shared" ca="1" si="429"/>
        <v/>
      </c>
      <c r="AA909" s="316" t="str">
        <f t="shared" ca="1" si="430"/>
        <v/>
      </c>
      <c r="AC909" s="310" t="e">
        <f t="shared" ca="1" si="431"/>
        <v>#N/A</v>
      </c>
      <c r="AD909" s="323" t="e">
        <f t="shared" ca="1" si="432"/>
        <v>#N/A</v>
      </c>
      <c r="AE909" s="324" t="e">
        <f t="shared" ca="1" si="411"/>
        <v>#N/A</v>
      </c>
      <c r="AG909" s="306">
        <f t="shared" ca="1" si="433"/>
        <v>1.9266825811881967</v>
      </c>
      <c r="AH909" s="304">
        <f t="shared" ca="1" si="434"/>
        <v>-7.8430062665817575</v>
      </c>
    </row>
    <row r="910" spans="1:34" x14ac:dyDescent="0.2">
      <c r="A910" s="347">
        <f t="shared" ca="1" si="412"/>
        <v>1E-4</v>
      </c>
      <c r="B910" s="304">
        <f t="shared" ca="1" si="413"/>
        <v>34.538100000001485</v>
      </c>
      <c r="D910" s="306">
        <f t="shared" ca="1" si="414"/>
        <v>-0.71027649305551566</v>
      </c>
      <c r="E910" s="307">
        <f t="shared" ca="1" si="415"/>
        <v>-1.9991872563403561</v>
      </c>
      <c r="F910" s="304">
        <f t="shared" ca="1" si="416"/>
        <v>2.1216131557145199</v>
      </c>
      <c r="G910" s="306">
        <f t="shared" ca="1" si="417"/>
        <v>10.9097501956788</v>
      </c>
      <c r="H910" s="307">
        <f t="shared" ca="1" si="418"/>
        <v>-119.974000931959</v>
      </c>
      <c r="I910" s="304">
        <f t="shared" ca="1" si="419"/>
        <v>120.46901489160527</v>
      </c>
      <c r="J910" s="306">
        <f t="shared" ca="1" si="420"/>
        <v>770.52896740167785</v>
      </c>
      <c r="K910" s="307">
        <f t="shared" ca="1" si="421"/>
        <v>-13.63250808952278</v>
      </c>
      <c r="L910" s="304">
        <f t="shared" ca="1" si="406"/>
        <v>770.64955387121768</v>
      </c>
      <c r="M910" s="306">
        <f t="shared" ca="1" si="422"/>
        <v>-1.480111450396236</v>
      </c>
      <c r="N910" s="304">
        <f t="shared" ca="1" si="423"/>
        <v>-84.80413931669122</v>
      </c>
      <c r="P910" s="310">
        <f t="shared" ca="1" si="424"/>
        <v>23</v>
      </c>
      <c r="Q910" s="304">
        <f t="shared" ca="1" si="425"/>
        <v>0</v>
      </c>
      <c r="R910" s="306">
        <f t="shared" ca="1" si="426"/>
        <v>0</v>
      </c>
      <c r="S910" s="307">
        <f t="shared" ca="1" si="427"/>
        <v>7.4499999999999984</v>
      </c>
      <c r="T910" s="304">
        <f t="shared" ca="1" si="407"/>
        <v>73.084499999999991</v>
      </c>
      <c r="U910" s="311">
        <f t="shared" ca="1" si="408"/>
        <v>0</v>
      </c>
      <c r="V910" s="306">
        <f t="shared" ca="1" si="409"/>
        <v>1.2266711213197121</v>
      </c>
      <c r="W910" s="304">
        <f t="shared" ca="1" si="410"/>
        <v>58.430910683203443</v>
      </c>
      <c r="Y910" s="314" t="str">
        <f t="shared" ca="1" si="428"/>
        <v/>
      </c>
      <c r="Z910" s="315" t="str">
        <f t="shared" ca="1" si="429"/>
        <v/>
      </c>
      <c r="AA910" s="316" t="str">
        <f t="shared" ca="1" si="430"/>
        <v/>
      </c>
      <c r="AC910" s="310" t="e">
        <f t="shared" ca="1" si="431"/>
        <v>#N/A</v>
      </c>
      <c r="AD910" s="323" t="e">
        <f t="shared" ca="1" si="432"/>
        <v>#N/A</v>
      </c>
      <c r="AE910" s="324" t="e">
        <f t="shared" ca="1" si="411"/>
        <v>#N/A</v>
      </c>
      <c r="AG910" s="306">
        <f t="shared" ca="1" si="433"/>
        <v>1.9266487397480585</v>
      </c>
      <c r="AH910" s="304">
        <f t="shared" ca="1" si="434"/>
        <v>-7.8430407631927519</v>
      </c>
    </row>
    <row r="911" spans="1:34" x14ac:dyDescent="0.2">
      <c r="A911" s="347">
        <f t="shared" ca="1" si="412"/>
        <v>1E-4</v>
      </c>
      <c r="B911" s="304">
        <f t="shared" ca="1" si="413"/>
        <v>34.538200000001488</v>
      </c>
      <c r="D911" s="306">
        <f t="shared" ca="1" si="414"/>
        <v>-0.710273856924445</v>
      </c>
      <c r="E911" s="307">
        <f t="shared" ca="1" si="415"/>
        <v>-1.9991523779937932</v>
      </c>
      <c r="F911" s="304">
        <f t="shared" ca="1" si="416"/>
        <v>2.1215794074859811</v>
      </c>
      <c r="G911" s="306">
        <f t="shared" ca="1" si="417"/>
        <v>10.909679168293108</v>
      </c>
      <c r="H911" s="307">
        <f t="shared" ca="1" si="418"/>
        <v>-119.9742008471968</v>
      </c>
      <c r="I911" s="304">
        <f t="shared" ca="1" si="419"/>
        <v>120.46920755312789</v>
      </c>
      <c r="J911" s="306">
        <f t="shared" ca="1" si="420"/>
        <v>770.52896740167785</v>
      </c>
      <c r="K911" s="307">
        <f t="shared" ca="1" si="421"/>
        <v>-13.644505499611737</v>
      </c>
      <c r="L911" s="304">
        <f t="shared" ca="1" si="406"/>
        <v>770.64976619436209</v>
      </c>
      <c r="M911" s="306">
        <f t="shared" ca="1" si="422"/>
        <v>-1.4801121878459327</v>
      </c>
      <c r="N911" s="304">
        <f t="shared" ca="1" si="423"/>
        <v>-84.804181569446442</v>
      </c>
      <c r="P911" s="310">
        <f t="shared" ca="1" si="424"/>
        <v>23</v>
      </c>
      <c r="Q911" s="304">
        <f t="shared" ca="1" si="425"/>
        <v>0</v>
      </c>
      <c r="R911" s="306">
        <f t="shared" ca="1" si="426"/>
        <v>0</v>
      </c>
      <c r="S911" s="307">
        <f t="shared" ca="1" si="427"/>
        <v>7.4499999999999984</v>
      </c>
      <c r="T911" s="304">
        <f t="shared" ca="1" si="407"/>
        <v>73.084499999999991</v>
      </c>
      <c r="U911" s="311">
        <f t="shared" ca="1" si="408"/>
        <v>0</v>
      </c>
      <c r="V911" s="306">
        <f t="shared" ca="1" si="409"/>
        <v>1.2266725930089279</v>
      </c>
      <c r="W911" s="304">
        <f t="shared" ca="1" si="410"/>
        <v>58.431167678286442</v>
      </c>
      <c r="Y911" s="314" t="str">
        <f t="shared" ca="1" si="428"/>
        <v/>
      </c>
      <c r="Z911" s="315" t="str">
        <f t="shared" ca="1" si="429"/>
        <v/>
      </c>
      <c r="AA911" s="316" t="str">
        <f t="shared" ca="1" si="430"/>
        <v/>
      </c>
      <c r="AC911" s="310" t="e">
        <f t="shared" ca="1" si="431"/>
        <v>#N/A</v>
      </c>
      <c r="AD911" s="323" t="e">
        <f t="shared" ca="1" si="432"/>
        <v>#N/A</v>
      </c>
      <c r="AE911" s="324" t="e">
        <f t="shared" ca="1" si="411"/>
        <v>#N/A</v>
      </c>
      <c r="AG911" s="306">
        <f t="shared" ca="1" si="433"/>
        <v>1.926614898609599</v>
      </c>
      <c r="AH911" s="304">
        <f t="shared" ca="1" si="434"/>
        <v>-7.843075259490397</v>
      </c>
    </row>
    <row r="912" spans="1:34" x14ac:dyDescent="0.2">
      <c r="A912" s="347">
        <f t="shared" ca="1" si="412"/>
        <v>1E-4</v>
      </c>
      <c r="B912" s="304">
        <f t="shared" ca="1" si="413"/>
        <v>34.538300000001492</v>
      </c>
      <c r="D912" s="306">
        <f t="shared" ca="1" si="414"/>
        <v>-0.71027122076986748</v>
      </c>
      <c r="E912" s="307">
        <f t="shared" ca="1" si="415"/>
        <v>-1.9991174999640178</v>
      </c>
      <c r="F912" s="304">
        <f t="shared" ca="1" si="416"/>
        <v>2.1215456595879107</v>
      </c>
      <c r="G912" s="306">
        <f t="shared" ca="1" si="417"/>
        <v>10.909608141171031</v>
      </c>
      <c r="H912" s="307">
        <f t="shared" ca="1" si="418"/>
        <v>-119.9744007589468</v>
      </c>
      <c r="I912" s="304">
        <f t="shared" ca="1" si="419"/>
        <v>120.46940021126643</v>
      </c>
      <c r="J912" s="306">
        <f t="shared" ca="1" si="420"/>
        <v>770.52896740167785</v>
      </c>
      <c r="K912" s="307">
        <f t="shared" ca="1" si="421"/>
        <v>-13.656502929692044</v>
      </c>
      <c r="L912" s="304">
        <f t="shared" ca="1" si="406"/>
        <v>770.64997870457671</v>
      </c>
      <c r="M912" s="306">
        <f t="shared" ca="1" si="422"/>
        <v>-1.4801129252884695</v>
      </c>
      <c r="N912" s="304">
        <f t="shared" ca="1" si="423"/>
        <v>-84.804223821791439</v>
      </c>
      <c r="P912" s="310">
        <f t="shared" ca="1" si="424"/>
        <v>23</v>
      </c>
      <c r="Q912" s="304">
        <f t="shared" ca="1" si="425"/>
        <v>0</v>
      </c>
      <c r="R912" s="306">
        <f t="shared" ca="1" si="426"/>
        <v>0</v>
      </c>
      <c r="S912" s="307">
        <f t="shared" ca="1" si="427"/>
        <v>7.4499999999999984</v>
      </c>
      <c r="T912" s="304">
        <f t="shared" ca="1" si="407"/>
        <v>73.084499999999991</v>
      </c>
      <c r="U912" s="311">
        <f t="shared" ca="1" si="408"/>
        <v>0</v>
      </c>
      <c r="V912" s="306">
        <f t="shared" ca="1" si="409"/>
        <v>1.2266740647023628</v>
      </c>
      <c r="W912" s="304">
        <f t="shared" ca="1" si="410"/>
        <v>58.431424671034989</v>
      </c>
      <c r="Y912" s="314" t="str">
        <f t="shared" ca="1" si="428"/>
        <v/>
      </c>
      <c r="Z912" s="315" t="str">
        <f t="shared" ca="1" si="429"/>
        <v/>
      </c>
      <c r="AA912" s="316" t="str">
        <f t="shared" ca="1" si="430"/>
        <v/>
      </c>
      <c r="AC912" s="310" t="e">
        <f t="shared" ca="1" si="431"/>
        <v>#N/A</v>
      </c>
      <c r="AD912" s="323" t="e">
        <f t="shared" ca="1" si="432"/>
        <v>#N/A</v>
      </c>
      <c r="AE912" s="324" t="e">
        <f t="shared" ca="1" si="411"/>
        <v>#N/A</v>
      </c>
      <c r="AG912" s="306">
        <f t="shared" ca="1" si="433"/>
        <v>1.9265810577728137</v>
      </c>
      <c r="AH912" s="304">
        <f t="shared" ca="1" si="434"/>
        <v>-7.8431097554746918</v>
      </c>
    </row>
    <row r="913" spans="1:34" x14ac:dyDescent="0.2">
      <c r="A913" s="347">
        <f t="shared" ca="1" si="412"/>
        <v>1E-4</v>
      </c>
      <c r="B913" s="304">
        <f t="shared" ca="1" si="413"/>
        <v>34.538400000001495</v>
      </c>
      <c r="D913" s="306">
        <f t="shared" ca="1" si="414"/>
        <v>-0.71026858459178277</v>
      </c>
      <c r="E913" s="307">
        <f t="shared" ca="1" si="415"/>
        <v>-1.9990826222510298</v>
      </c>
      <c r="F913" s="304">
        <f t="shared" ca="1" si="416"/>
        <v>2.1215119120203094</v>
      </c>
      <c r="G913" s="306">
        <f t="shared" ca="1" si="417"/>
        <v>10.909537114312572</v>
      </c>
      <c r="H913" s="307">
        <f t="shared" ca="1" si="418"/>
        <v>-119.97460066720903</v>
      </c>
      <c r="I913" s="304">
        <f t="shared" ca="1" si="419"/>
        <v>120.46959286602092</v>
      </c>
      <c r="J913" s="306">
        <f t="shared" ca="1" si="420"/>
        <v>770.52896740167785</v>
      </c>
      <c r="K913" s="307">
        <f t="shared" ca="1" si="421"/>
        <v>-13.668500379763351</v>
      </c>
      <c r="L913" s="304">
        <f t="shared" ca="1" si="406"/>
        <v>770.65019140186268</v>
      </c>
      <c r="M913" s="306">
        <f t="shared" ca="1" si="422"/>
        <v>-1.4801136627238467</v>
      </c>
      <c r="N913" s="304">
        <f t="shared" ca="1" si="423"/>
        <v>-84.804266073726211</v>
      </c>
      <c r="P913" s="310">
        <f t="shared" ca="1" si="424"/>
        <v>23</v>
      </c>
      <c r="Q913" s="304">
        <f t="shared" ca="1" si="425"/>
        <v>0</v>
      </c>
      <c r="R913" s="306">
        <f t="shared" ca="1" si="426"/>
        <v>0</v>
      </c>
      <c r="S913" s="307">
        <f t="shared" ca="1" si="427"/>
        <v>7.4499999999999984</v>
      </c>
      <c r="T913" s="304">
        <f t="shared" ca="1" si="407"/>
        <v>73.084499999999991</v>
      </c>
      <c r="U913" s="311">
        <f t="shared" ca="1" si="408"/>
        <v>0</v>
      </c>
      <c r="V913" s="306">
        <f t="shared" ca="1" si="409"/>
        <v>1.2266755364000173</v>
      </c>
      <c r="W913" s="304">
        <f t="shared" ca="1" si="410"/>
        <v>58.431681661449076</v>
      </c>
      <c r="Y913" s="314" t="str">
        <f t="shared" ca="1" si="428"/>
        <v/>
      </c>
      <c r="Z913" s="315" t="str">
        <f t="shared" ca="1" si="429"/>
        <v/>
      </c>
      <c r="AA913" s="316" t="str">
        <f t="shared" ca="1" si="430"/>
        <v/>
      </c>
      <c r="AC913" s="310" t="e">
        <f t="shared" ca="1" si="431"/>
        <v>#N/A</v>
      </c>
      <c r="AD913" s="323" t="e">
        <f t="shared" ca="1" si="432"/>
        <v>#N/A</v>
      </c>
      <c r="AE913" s="324" t="e">
        <f t="shared" ca="1" si="411"/>
        <v>#N/A</v>
      </c>
      <c r="AG913" s="306">
        <f t="shared" ca="1" si="433"/>
        <v>1.9265472172377063</v>
      </c>
      <c r="AH913" s="304">
        <f t="shared" ca="1" si="434"/>
        <v>-7.8431442511456382</v>
      </c>
    </row>
    <row r="914" spans="1:34" x14ac:dyDescent="0.2">
      <c r="A914" s="347">
        <f t="shared" ca="1" si="412"/>
        <v>1E-4</v>
      </c>
      <c r="B914" s="304">
        <f t="shared" ca="1" si="413"/>
        <v>34.538500000001498</v>
      </c>
      <c r="D914" s="306">
        <f t="shared" ca="1" si="414"/>
        <v>-0.71026594839019064</v>
      </c>
      <c r="E914" s="307">
        <f t="shared" ca="1" si="415"/>
        <v>-1.9990477448548303</v>
      </c>
      <c r="F914" s="304">
        <f t="shared" ca="1" si="416"/>
        <v>2.1214781647831775</v>
      </c>
      <c r="G914" s="306">
        <f t="shared" ca="1" si="417"/>
        <v>10.909466087717734</v>
      </c>
      <c r="H914" s="307">
        <f t="shared" ca="1" si="418"/>
        <v>-119.97480057198352</v>
      </c>
      <c r="I914" s="304">
        <f t="shared" ca="1" si="419"/>
        <v>120.46978551739137</v>
      </c>
      <c r="J914" s="306">
        <f t="shared" ca="1" si="420"/>
        <v>770.52896740167785</v>
      </c>
      <c r="K914" s="307">
        <f t="shared" ca="1" si="421"/>
        <v>-13.680497849825311</v>
      </c>
      <c r="L914" s="304">
        <f t="shared" ca="1" si="406"/>
        <v>770.65040428622046</v>
      </c>
      <c r="M914" s="306">
        <f t="shared" ca="1" si="422"/>
        <v>-1.4801144001520641</v>
      </c>
      <c r="N914" s="304">
        <f t="shared" ca="1" si="423"/>
        <v>-84.804308325250759</v>
      </c>
      <c r="P914" s="310">
        <f t="shared" ca="1" si="424"/>
        <v>23</v>
      </c>
      <c r="Q914" s="304">
        <f t="shared" ca="1" si="425"/>
        <v>0</v>
      </c>
      <c r="R914" s="306">
        <f t="shared" ca="1" si="426"/>
        <v>0</v>
      </c>
      <c r="S914" s="307">
        <f t="shared" ca="1" si="427"/>
        <v>7.4499999999999984</v>
      </c>
      <c r="T914" s="304">
        <f t="shared" ca="1" si="407"/>
        <v>73.084499999999991</v>
      </c>
      <c r="U914" s="311">
        <f t="shared" ca="1" si="408"/>
        <v>0</v>
      </c>
      <c r="V914" s="306">
        <f t="shared" ca="1" si="409"/>
        <v>1.2266770081018905</v>
      </c>
      <c r="W914" s="304">
        <f t="shared" ca="1" si="410"/>
        <v>58.431938649528703</v>
      </c>
      <c r="Y914" s="314" t="str">
        <f t="shared" ca="1" si="428"/>
        <v/>
      </c>
      <c r="Z914" s="315" t="str">
        <f t="shared" ca="1" si="429"/>
        <v/>
      </c>
      <c r="AA914" s="316" t="str">
        <f t="shared" ca="1" si="430"/>
        <v/>
      </c>
      <c r="AC914" s="310" t="e">
        <f t="shared" ca="1" si="431"/>
        <v>#N/A</v>
      </c>
      <c r="AD914" s="323" t="e">
        <f t="shared" ca="1" si="432"/>
        <v>#N/A</v>
      </c>
      <c r="AE914" s="324" t="e">
        <f t="shared" ca="1" si="411"/>
        <v>#N/A</v>
      </c>
      <c r="AG914" s="306">
        <f t="shared" ca="1" si="433"/>
        <v>1.9265133770042739</v>
      </c>
      <c r="AH914" s="304">
        <f t="shared" ca="1" si="434"/>
        <v>-7.8431787465032334</v>
      </c>
    </row>
    <row r="915" spans="1:34" x14ac:dyDescent="0.2">
      <c r="A915" s="347">
        <f t="shared" ca="1" si="412"/>
        <v>1E-4</v>
      </c>
      <c r="B915" s="304">
        <f t="shared" ca="1" si="413"/>
        <v>34.538600000001502</v>
      </c>
      <c r="D915" s="306">
        <f t="shared" ca="1" si="414"/>
        <v>-0.71026331216509397</v>
      </c>
      <c r="E915" s="307">
        <f t="shared" ca="1" si="415"/>
        <v>-1.99901286777542</v>
      </c>
      <c r="F915" s="304">
        <f t="shared" ca="1" si="416"/>
        <v>2.1214444178765182</v>
      </c>
      <c r="G915" s="306">
        <f t="shared" ca="1" si="417"/>
        <v>10.909395061386517</v>
      </c>
      <c r="H915" s="307">
        <f t="shared" ca="1" si="418"/>
        <v>-119.9750004732703</v>
      </c>
      <c r="I915" s="304">
        <f t="shared" ca="1" si="419"/>
        <v>120.46997816537784</v>
      </c>
      <c r="J915" s="306">
        <f t="shared" ca="1" si="420"/>
        <v>770.52896740167785</v>
      </c>
      <c r="K915" s="307">
        <f t="shared" ca="1" si="421"/>
        <v>-13.692495339877574</v>
      </c>
      <c r="L915" s="304">
        <f t="shared" ca="1" si="406"/>
        <v>770.65061735765096</v>
      </c>
      <c r="M915" s="306">
        <f t="shared" ca="1" si="422"/>
        <v>-1.4801151375731221</v>
      </c>
      <c r="N915" s="304">
        <f t="shared" ca="1" si="423"/>
        <v>-84.80435057636511</v>
      </c>
      <c r="P915" s="310">
        <f t="shared" ca="1" si="424"/>
        <v>23</v>
      </c>
      <c r="Q915" s="304">
        <f t="shared" ca="1" si="425"/>
        <v>0</v>
      </c>
      <c r="R915" s="306">
        <f t="shared" ca="1" si="426"/>
        <v>0</v>
      </c>
      <c r="S915" s="307">
        <f t="shared" ca="1" si="427"/>
        <v>7.4499999999999984</v>
      </c>
      <c r="T915" s="304">
        <f t="shared" ca="1" si="407"/>
        <v>73.084499999999991</v>
      </c>
      <c r="U915" s="311">
        <f t="shared" ca="1" si="408"/>
        <v>0</v>
      </c>
      <c r="V915" s="306">
        <f t="shared" ca="1" si="409"/>
        <v>1.2266784798079824</v>
      </c>
      <c r="W915" s="304">
        <f t="shared" ca="1" si="410"/>
        <v>58.43219563527385</v>
      </c>
      <c r="Y915" s="314" t="str">
        <f t="shared" ca="1" si="428"/>
        <v/>
      </c>
      <c r="Z915" s="315" t="str">
        <f t="shared" ca="1" si="429"/>
        <v/>
      </c>
      <c r="AA915" s="316" t="str">
        <f t="shared" ca="1" si="430"/>
        <v/>
      </c>
      <c r="AC915" s="310" t="e">
        <f t="shared" ca="1" si="431"/>
        <v>#N/A</v>
      </c>
      <c r="AD915" s="323" t="e">
        <f t="shared" ca="1" si="432"/>
        <v>#N/A</v>
      </c>
      <c r="AE915" s="324" t="e">
        <f t="shared" ca="1" si="411"/>
        <v>#N/A</v>
      </c>
      <c r="AG915" s="306">
        <f t="shared" ca="1" si="433"/>
        <v>1.9264795370725194</v>
      </c>
      <c r="AH915" s="304">
        <f t="shared" ca="1" si="434"/>
        <v>-7.8432132415474785</v>
      </c>
    </row>
    <row r="916" spans="1:34" x14ac:dyDescent="0.2">
      <c r="A916" s="347">
        <f t="shared" ca="1" si="412"/>
        <v>1E-4</v>
      </c>
      <c r="B916" s="304">
        <f t="shared" ca="1" si="413"/>
        <v>34.538700000001505</v>
      </c>
      <c r="D916" s="306">
        <f t="shared" ca="1" si="414"/>
        <v>-0.71026067591649078</v>
      </c>
      <c r="E916" s="307">
        <f t="shared" ca="1" si="415"/>
        <v>-1.9989779910128007</v>
      </c>
      <c r="F916" s="304">
        <f t="shared" ca="1" si="416"/>
        <v>2.1214106713003318</v>
      </c>
      <c r="G916" s="306">
        <f t="shared" ca="1" si="417"/>
        <v>10.909324035318926</v>
      </c>
      <c r="H916" s="307">
        <f t="shared" ca="1" si="418"/>
        <v>-119.97520037106941</v>
      </c>
      <c r="I916" s="304">
        <f t="shared" ca="1" si="419"/>
        <v>120.47017080998035</v>
      </c>
      <c r="J916" s="306">
        <f t="shared" ca="1" si="420"/>
        <v>770.52896740167785</v>
      </c>
      <c r="K916" s="307">
        <f t="shared" ca="1" si="421"/>
        <v>-13.704492849919792</v>
      </c>
      <c r="L916" s="304">
        <f t="shared" ca="1" si="406"/>
        <v>770.65083061615496</v>
      </c>
      <c r="M916" s="306">
        <f t="shared" ca="1" si="422"/>
        <v>-1.4801158749870205</v>
      </c>
      <c r="N916" s="304">
        <f t="shared" ca="1" si="423"/>
        <v>-84.80439282706925</v>
      </c>
      <c r="P916" s="310">
        <f t="shared" ca="1" si="424"/>
        <v>23</v>
      </c>
      <c r="Q916" s="304">
        <f t="shared" ca="1" si="425"/>
        <v>0</v>
      </c>
      <c r="R916" s="306">
        <f t="shared" ca="1" si="426"/>
        <v>0</v>
      </c>
      <c r="S916" s="307">
        <f t="shared" ca="1" si="427"/>
        <v>7.4499999999999984</v>
      </c>
      <c r="T916" s="304">
        <f t="shared" ca="1" si="407"/>
        <v>73.084499999999991</v>
      </c>
      <c r="U916" s="311">
        <f t="shared" ca="1" si="408"/>
        <v>0</v>
      </c>
      <c r="V916" s="306">
        <f t="shared" ca="1" si="409"/>
        <v>1.2266799515182938</v>
      </c>
      <c r="W916" s="304">
        <f t="shared" ca="1" si="410"/>
        <v>58.432452618684593</v>
      </c>
      <c r="Y916" s="314" t="str">
        <f t="shared" ca="1" si="428"/>
        <v/>
      </c>
      <c r="Z916" s="315" t="str">
        <f t="shared" ca="1" si="429"/>
        <v/>
      </c>
      <c r="AA916" s="316" t="str">
        <f t="shared" ca="1" si="430"/>
        <v/>
      </c>
      <c r="AC916" s="310" t="e">
        <f t="shared" ca="1" si="431"/>
        <v>#N/A</v>
      </c>
      <c r="AD916" s="323" t="e">
        <f t="shared" ca="1" si="432"/>
        <v>#N/A</v>
      </c>
      <c r="AE916" s="324" t="e">
        <f t="shared" ca="1" si="411"/>
        <v>#N/A</v>
      </c>
      <c r="AG916" s="306">
        <f t="shared" ca="1" si="433"/>
        <v>1.9264456974424435</v>
      </c>
      <c r="AH916" s="304">
        <f t="shared" ca="1" si="434"/>
        <v>-7.8432477362783706</v>
      </c>
    </row>
    <row r="917" spans="1:34" x14ac:dyDescent="0.2">
      <c r="A917" s="347">
        <f t="shared" ca="1" si="412"/>
        <v>1E-4</v>
      </c>
      <c r="B917" s="304">
        <f t="shared" ca="1" si="413"/>
        <v>34.538800000001508</v>
      </c>
      <c r="D917" s="306">
        <f t="shared" ca="1" si="414"/>
        <v>-0.71025803964438516</v>
      </c>
      <c r="E917" s="307">
        <f t="shared" ca="1" si="415"/>
        <v>-1.9989431145669618</v>
      </c>
      <c r="F917" s="304">
        <f t="shared" ca="1" si="416"/>
        <v>2.1213769250546095</v>
      </c>
      <c r="G917" s="306">
        <f t="shared" ca="1" si="417"/>
        <v>10.909253009514963</v>
      </c>
      <c r="H917" s="307">
        <f t="shared" ca="1" si="418"/>
        <v>-119.97540026538086</v>
      </c>
      <c r="I917" s="304">
        <f t="shared" ca="1" si="419"/>
        <v>120.47036345119891</v>
      </c>
      <c r="J917" s="306">
        <f t="shared" ca="1" si="420"/>
        <v>770.52896740167785</v>
      </c>
      <c r="K917" s="307">
        <f t="shared" ca="1" si="421"/>
        <v>-13.716490379951614</v>
      </c>
      <c r="L917" s="304">
        <f t="shared" ca="1" si="406"/>
        <v>770.65104406173305</v>
      </c>
      <c r="M917" s="306">
        <f t="shared" ca="1" si="422"/>
        <v>-1.4801166123937597</v>
      </c>
      <c r="N917" s="304">
        <f t="shared" ca="1" si="423"/>
        <v>-84.804435077363181</v>
      </c>
      <c r="P917" s="310">
        <f t="shared" ca="1" si="424"/>
        <v>23</v>
      </c>
      <c r="Q917" s="304">
        <f t="shared" ca="1" si="425"/>
        <v>0</v>
      </c>
      <c r="R917" s="306">
        <f t="shared" ca="1" si="426"/>
        <v>0</v>
      </c>
      <c r="S917" s="307">
        <f t="shared" ca="1" si="427"/>
        <v>7.4499999999999984</v>
      </c>
      <c r="T917" s="304">
        <f t="shared" ca="1" si="407"/>
        <v>73.084499999999991</v>
      </c>
      <c r="U917" s="311">
        <f t="shared" ca="1" si="408"/>
        <v>0</v>
      </c>
      <c r="V917" s="306">
        <f t="shared" ca="1" si="409"/>
        <v>1.2266814232328243</v>
      </c>
      <c r="W917" s="304">
        <f t="shared" ca="1" si="410"/>
        <v>58.432709599760869</v>
      </c>
      <c r="Y917" s="314" t="str">
        <f t="shared" ca="1" si="428"/>
        <v/>
      </c>
      <c r="Z917" s="315" t="str">
        <f t="shared" ca="1" si="429"/>
        <v/>
      </c>
      <c r="AA917" s="316" t="str">
        <f t="shared" ca="1" si="430"/>
        <v/>
      </c>
      <c r="AC917" s="310" t="e">
        <f t="shared" ca="1" si="431"/>
        <v>#N/A</v>
      </c>
      <c r="AD917" s="323" t="e">
        <f t="shared" ca="1" si="432"/>
        <v>#N/A</v>
      </c>
      <c r="AE917" s="324" t="e">
        <f t="shared" ca="1" si="411"/>
        <v>#N/A</v>
      </c>
      <c r="AG917" s="306">
        <f t="shared" ca="1" si="433"/>
        <v>1.9264118581140375</v>
      </c>
      <c r="AH917" s="304">
        <f t="shared" ca="1" si="434"/>
        <v>-7.8432822306959205</v>
      </c>
    </row>
    <row r="918" spans="1:34" x14ac:dyDescent="0.2">
      <c r="A918" s="347">
        <f t="shared" ca="1" si="412"/>
        <v>1E-4</v>
      </c>
      <c r="B918" s="304">
        <f t="shared" ca="1" si="413"/>
        <v>34.538900000001512</v>
      </c>
      <c r="D918" s="306">
        <f t="shared" ca="1" si="414"/>
        <v>-0.71025540334877391</v>
      </c>
      <c r="E918" s="307">
        <f t="shared" ca="1" si="415"/>
        <v>-1.9989082384379122</v>
      </c>
      <c r="F918" s="304">
        <f t="shared" ca="1" si="416"/>
        <v>2.1213431791393598</v>
      </c>
      <c r="G918" s="306">
        <f t="shared" ca="1" si="417"/>
        <v>10.909181983974628</v>
      </c>
      <c r="H918" s="307">
        <f t="shared" ca="1" si="418"/>
        <v>-119.97560015620471</v>
      </c>
      <c r="I918" s="304">
        <f t="shared" ca="1" si="419"/>
        <v>120.47055608903356</v>
      </c>
      <c r="J918" s="306">
        <f t="shared" ca="1" si="420"/>
        <v>770.52896740167785</v>
      </c>
      <c r="K918" s="307">
        <f t="shared" ca="1" si="421"/>
        <v>-13.728487929972692</v>
      </c>
      <c r="L918" s="304">
        <f t="shared" ca="1" si="406"/>
        <v>770.65125769438635</v>
      </c>
      <c r="M918" s="306">
        <f t="shared" ca="1" si="422"/>
        <v>-1.4801173497933395</v>
      </c>
      <c r="N918" s="304">
        <f t="shared" ca="1" si="423"/>
        <v>-84.804477327246929</v>
      </c>
      <c r="P918" s="310">
        <f t="shared" ca="1" si="424"/>
        <v>23</v>
      </c>
      <c r="Q918" s="304">
        <f t="shared" ca="1" si="425"/>
        <v>0</v>
      </c>
      <c r="R918" s="306">
        <f t="shared" ca="1" si="426"/>
        <v>0</v>
      </c>
      <c r="S918" s="307">
        <f t="shared" ca="1" si="427"/>
        <v>7.4499999999999984</v>
      </c>
      <c r="T918" s="304">
        <f t="shared" ca="1" si="407"/>
        <v>73.084499999999991</v>
      </c>
      <c r="U918" s="311">
        <f t="shared" ca="1" si="408"/>
        <v>0</v>
      </c>
      <c r="V918" s="306">
        <f t="shared" ca="1" si="409"/>
        <v>1.2266828949515733</v>
      </c>
      <c r="W918" s="304">
        <f t="shared" ca="1" si="410"/>
        <v>58.432966578502693</v>
      </c>
      <c r="Y918" s="314" t="str">
        <f t="shared" ca="1" si="428"/>
        <v/>
      </c>
      <c r="Z918" s="315" t="str">
        <f t="shared" ca="1" si="429"/>
        <v/>
      </c>
      <c r="AA918" s="316" t="str">
        <f t="shared" ca="1" si="430"/>
        <v/>
      </c>
      <c r="AC918" s="310" t="e">
        <f t="shared" ca="1" si="431"/>
        <v>#N/A</v>
      </c>
      <c r="AD918" s="323" t="e">
        <f t="shared" ca="1" si="432"/>
        <v>#N/A</v>
      </c>
      <c r="AE918" s="324" t="e">
        <f t="shared" ca="1" si="411"/>
        <v>#N/A</v>
      </c>
      <c r="AG918" s="306">
        <f t="shared" ca="1" si="433"/>
        <v>1.9263780190873128</v>
      </c>
      <c r="AH918" s="304">
        <f t="shared" ca="1" si="434"/>
        <v>-7.8433167248001183</v>
      </c>
    </row>
    <row r="919" spans="1:34" x14ac:dyDescent="0.2">
      <c r="A919" s="347">
        <f t="shared" ca="1" si="412"/>
        <v>1E-4</v>
      </c>
      <c r="B919" s="304">
        <f t="shared" ca="1" si="413"/>
        <v>34.539000000001515</v>
      </c>
      <c r="D919" s="306">
        <f t="shared" ca="1" si="414"/>
        <v>-0.71025276702966078</v>
      </c>
      <c r="E919" s="307">
        <f t="shared" ca="1" si="415"/>
        <v>-1.998873362625651</v>
      </c>
      <c r="F919" s="304">
        <f t="shared" ca="1" si="416"/>
        <v>2.121309433554583</v>
      </c>
      <c r="G919" s="306">
        <f t="shared" ca="1" si="417"/>
        <v>10.909110958697925</v>
      </c>
      <c r="H919" s="307">
        <f t="shared" ca="1" si="418"/>
        <v>-119.97580004354097</v>
      </c>
      <c r="I919" s="304">
        <f t="shared" ca="1" si="419"/>
        <v>120.47074872348436</v>
      </c>
      <c r="J919" s="306">
        <f t="shared" ca="1" si="420"/>
        <v>770.52896740167785</v>
      </c>
      <c r="K919" s="307">
        <f t="shared" ca="1" si="421"/>
        <v>-13.740485499982679</v>
      </c>
      <c r="L919" s="304">
        <f t="shared" ca="1" si="406"/>
        <v>770.6514715141152</v>
      </c>
      <c r="M919" s="306">
        <f t="shared" ca="1" si="422"/>
        <v>-1.4801180871857604</v>
      </c>
      <c r="N919" s="304">
        <f t="shared" ca="1" si="423"/>
        <v>-84.804519576720494</v>
      </c>
      <c r="P919" s="310">
        <f t="shared" ca="1" si="424"/>
        <v>23</v>
      </c>
      <c r="Q919" s="304">
        <f t="shared" ca="1" si="425"/>
        <v>0</v>
      </c>
      <c r="R919" s="306">
        <f t="shared" ca="1" si="426"/>
        <v>0</v>
      </c>
      <c r="S919" s="307">
        <f t="shared" ca="1" si="427"/>
        <v>7.4499999999999984</v>
      </c>
      <c r="T919" s="304">
        <f t="shared" ca="1" si="407"/>
        <v>73.084499999999991</v>
      </c>
      <c r="U919" s="311">
        <f t="shared" ca="1" si="408"/>
        <v>0</v>
      </c>
      <c r="V919" s="306">
        <f t="shared" ca="1" si="409"/>
        <v>1.2266843666745415</v>
      </c>
      <c r="W919" s="304">
        <f t="shared" ca="1" si="410"/>
        <v>58.433223554910093</v>
      </c>
      <c r="Y919" s="314" t="str">
        <f t="shared" ca="1" si="428"/>
        <v/>
      </c>
      <c r="Z919" s="315" t="str">
        <f t="shared" ca="1" si="429"/>
        <v/>
      </c>
      <c r="AA919" s="316" t="str">
        <f t="shared" ca="1" si="430"/>
        <v/>
      </c>
      <c r="AC919" s="310" t="e">
        <f t="shared" ca="1" si="431"/>
        <v>#N/A</v>
      </c>
      <c r="AD919" s="323" t="e">
        <f t="shared" ca="1" si="432"/>
        <v>#N/A</v>
      </c>
      <c r="AE919" s="324" t="e">
        <f t="shared" ca="1" si="411"/>
        <v>#N/A</v>
      </c>
      <c r="AG919" s="306">
        <f t="shared" ca="1" si="433"/>
        <v>1.9263441803622632</v>
      </c>
      <c r="AH919" s="304">
        <f t="shared" ca="1" si="434"/>
        <v>-7.8433512185909668</v>
      </c>
    </row>
    <row r="920" spans="1:34" x14ac:dyDescent="0.2">
      <c r="A920" s="347">
        <f t="shared" ca="1" si="412"/>
        <v>1E-4</v>
      </c>
      <c r="B920" s="304">
        <f t="shared" ca="1" si="413"/>
        <v>34.539100000001518</v>
      </c>
      <c r="D920" s="306">
        <f t="shared" ca="1" si="414"/>
        <v>-0.71025013068704412</v>
      </c>
      <c r="E920" s="307">
        <f t="shared" ca="1" si="415"/>
        <v>-1.9988384871301728</v>
      </c>
      <c r="F920" s="304">
        <f t="shared" ca="1" si="416"/>
        <v>2.1212756883002739</v>
      </c>
      <c r="G920" s="306">
        <f t="shared" ca="1" si="417"/>
        <v>10.909039933684856</v>
      </c>
      <c r="H920" s="307">
        <f t="shared" ca="1" si="418"/>
        <v>-119.97599992738968</v>
      </c>
      <c r="I920" s="304">
        <f t="shared" ca="1" si="419"/>
        <v>120.4709413545513</v>
      </c>
      <c r="J920" s="306">
        <f t="shared" ca="1" si="420"/>
        <v>770.52896740167785</v>
      </c>
      <c r="K920" s="307">
        <f t="shared" ca="1" si="421"/>
        <v>-13.752483089981226</v>
      </c>
      <c r="L920" s="304">
        <f t="shared" ca="1" si="406"/>
        <v>770.65168552092075</v>
      </c>
      <c r="M920" s="306">
        <f t="shared" ca="1" si="422"/>
        <v>-1.4801188245710222</v>
      </c>
      <c r="N920" s="304">
        <f t="shared" ca="1" si="423"/>
        <v>-84.804561825783864</v>
      </c>
      <c r="P920" s="310">
        <f t="shared" ca="1" si="424"/>
        <v>23</v>
      </c>
      <c r="Q920" s="304">
        <f t="shared" ca="1" si="425"/>
        <v>0</v>
      </c>
      <c r="R920" s="306">
        <f t="shared" ca="1" si="426"/>
        <v>0</v>
      </c>
      <c r="S920" s="307">
        <f t="shared" ca="1" si="427"/>
        <v>7.4499999999999984</v>
      </c>
      <c r="T920" s="304">
        <f t="shared" ca="1" si="407"/>
        <v>73.084499999999991</v>
      </c>
      <c r="U920" s="311">
        <f t="shared" ca="1" si="408"/>
        <v>0</v>
      </c>
      <c r="V920" s="306">
        <f t="shared" ca="1" si="409"/>
        <v>1.2266858384017285</v>
      </c>
      <c r="W920" s="304">
        <f t="shared" ca="1" si="410"/>
        <v>58.433480528983047</v>
      </c>
      <c r="Y920" s="314" t="str">
        <f t="shared" ca="1" si="428"/>
        <v/>
      </c>
      <c r="Z920" s="315" t="str">
        <f t="shared" ca="1" si="429"/>
        <v/>
      </c>
      <c r="AA920" s="316" t="str">
        <f t="shared" ca="1" si="430"/>
        <v/>
      </c>
      <c r="AC920" s="310" t="e">
        <f t="shared" ca="1" si="431"/>
        <v>#N/A</v>
      </c>
      <c r="AD920" s="323" t="e">
        <f t="shared" ca="1" si="432"/>
        <v>#N/A</v>
      </c>
      <c r="AE920" s="324" t="e">
        <f t="shared" ca="1" si="411"/>
        <v>#N/A</v>
      </c>
      <c r="AG920" s="306">
        <f t="shared" ca="1" si="433"/>
        <v>1.9263103419388878</v>
      </c>
      <c r="AH920" s="304">
        <f t="shared" ca="1" si="434"/>
        <v>-7.8433857120684705</v>
      </c>
    </row>
    <row r="921" spans="1:34" x14ac:dyDescent="0.2">
      <c r="A921" s="347">
        <f t="shared" ca="1" si="412"/>
        <v>1E-4</v>
      </c>
      <c r="B921" s="304">
        <f t="shared" ca="1" si="413"/>
        <v>34.539200000001522</v>
      </c>
      <c r="D921" s="306">
        <f t="shared" ca="1" si="414"/>
        <v>-0.71024749432092671</v>
      </c>
      <c r="E921" s="307">
        <f t="shared" ca="1" si="415"/>
        <v>-1.9988036119514803</v>
      </c>
      <c r="F921" s="304">
        <f t="shared" ca="1" si="416"/>
        <v>2.121241943376436</v>
      </c>
      <c r="G921" s="306">
        <f t="shared" ca="1" si="417"/>
        <v>10.908968908935423</v>
      </c>
      <c r="H921" s="307">
        <f t="shared" ca="1" si="418"/>
        <v>-119.97619980775087</v>
      </c>
      <c r="I921" s="304">
        <f t="shared" ca="1" si="419"/>
        <v>120.47113398223443</v>
      </c>
      <c r="J921" s="306">
        <f t="shared" ca="1" si="420"/>
        <v>770.52896740167785</v>
      </c>
      <c r="K921" s="307">
        <f t="shared" ca="1" si="421"/>
        <v>-13.764480699967983</v>
      </c>
      <c r="L921" s="304">
        <f t="shared" ca="1" si="406"/>
        <v>770.65189971480356</v>
      </c>
      <c r="M921" s="306">
        <f t="shared" ca="1" si="422"/>
        <v>-1.480119561949125</v>
      </c>
      <c r="N921" s="304">
        <f t="shared" ca="1" si="423"/>
        <v>-84.804604074437052</v>
      </c>
      <c r="P921" s="310">
        <f t="shared" ca="1" si="424"/>
        <v>23</v>
      </c>
      <c r="Q921" s="304">
        <f t="shared" ca="1" si="425"/>
        <v>0</v>
      </c>
      <c r="R921" s="306">
        <f t="shared" ca="1" si="426"/>
        <v>0</v>
      </c>
      <c r="S921" s="307">
        <f t="shared" ca="1" si="427"/>
        <v>7.4499999999999984</v>
      </c>
      <c r="T921" s="304">
        <f t="shared" ca="1" si="407"/>
        <v>73.084499999999991</v>
      </c>
      <c r="U921" s="311">
        <f t="shared" ca="1" si="408"/>
        <v>0</v>
      </c>
      <c r="V921" s="306">
        <f t="shared" ca="1" si="409"/>
        <v>1.2266873101331341</v>
      </c>
      <c r="W921" s="304">
        <f t="shared" ca="1" si="410"/>
        <v>58.43373750072157</v>
      </c>
      <c r="Y921" s="314" t="str">
        <f t="shared" ca="1" si="428"/>
        <v/>
      </c>
      <c r="Z921" s="315" t="str">
        <f t="shared" ca="1" si="429"/>
        <v/>
      </c>
      <c r="AA921" s="316" t="str">
        <f t="shared" ca="1" si="430"/>
        <v/>
      </c>
      <c r="AC921" s="310" t="e">
        <f t="shared" ca="1" si="431"/>
        <v>#N/A</v>
      </c>
      <c r="AD921" s="323" t="e">
        <f t="shared" ca="1" si="432"/>
        <v>#N/A</v>
      </c>
      <c r="AE921" s="324" t="e">
        <f t="shared" ca="1" si="411"/>
        <v>#N/A</v>
      </c>
      <c r="AG921" s="306">
        <f t="shared" ca="1" si="433"/>
        <v>1.9262765038171885</v>
      </c>
      <c r="AH921" s="304">
        <f t="shared" ca="1" si="434"/>
        <v>-7.8434202052326256</v>
      </c>
    </row>
    <row r="922" spans="1:34" x14ac:dyDescent="0.2">
      <c r="A922" s="347">
        <f t="shared" ca="1" si="412"/>
        <v>1E-4</v>
      </c>
      <c r="B922" s="304">
        <f t="shared" ca="1" si="413"/>
        <v>34.539300000001525</v>
      </c>
      <c r="D922" s="306">
        <f t="shared" ca="1" si="414"/>
        <v>-0.71024485793130832</v>
      </c>
      <c r="E922" s="307">
        <f t="shared" ca="1" si="415"/>
        <v>-1.9987687370895726</v>
      </c>
      <c r="F922" s="304">
        <f t="shared" ca="1" si="416"/>
        <v>2.1212081987830684</v>
      </c>
      <c r="G922" s="306">
        <f t="shared" ca="1" si="417"/>
        <v>10.90889788444963</v>
      </c>
      <c r="H922" s="307">
        <f t="shared" ca="1" si="418"/>
        <v>-119.97639968462458</v>
      </c>
      <c r="I922" s="304">
        <f t="shared" ca="1" si="419"/>
        <v>120.47132660653378</v>
      </c>
      <c r="J922" s="306">
        <f t="shared" ca="1" si="420"/>
        <v>770.52896740167785</v>
      </c>
      <c r="K922" s="307">
        <f t="shared" ca="1" si="421"/>
        <v>-13.776478329942602</v>
      </c>
      <c r="L922" s="304">
        <f t="shared" ca="1" si="406"/>
        <v>770.65211409576466</v>
      </c>
      <c r="M922" s="306">
        <f t="shared" ca="1" si="422"/>
        <v>-1.4801202993200691</v>
      </c>
      <c r="N922" s="304">
        <f t="shared" ca="1" si="423"/>
        <v>-84.804646322680085</v>
      </c>
      <c r="P922" s="310">
        <f t="shared" ca="1" si="424"/>
        <v>23</v>
      </c>
      <c r="Q922" s="304">
        <f t="shared" ca="1" si="425"/>
        <v>0</v>
      </c>
      <c r="R922" s="306">
        <f t="shared" ca="1" si="426"/>
        <v>0</v>
      </c>
      <c r="S922" s="307">
        <f t="shared" ca="1" si="427"/>
        <v>7.4499999999999984</v>
      </c>
      <c r="T922" s="304">
        <f t="shared" ca="1" si="407"/>
        <v>73.084499999999991</v>
      </c>
      <c r="U922" s="311">
        <f t="shared" ca="1" si="408"/>
        <v>0</v>
      </c>
      <c r="V922" s="306">
        <f t="shared" ca="1" si="409"/>
        <v>1.2266887818687591</v>
      </c>
      <c r="W922" s="304">
        <f t="shared" ca="1" si="410"/>
        <v>58.433994470125661</v>
      </c>
      <c r="Y922" s="314" t="str">
        <f t="shared" ca="1" si="428"/>
        <v/>
      </c>
      <c r="Z922" s="315" t="str">
        <f t="shared" ca="1" si="429"/>
        <v/>
      </c>
      <c r="AA922" s="316" t="str">
        <f t="shared" ca="1" si="430"/>
        <v/>
      </c>
      <c r="AC922" s="310" t="e">
        <f t="shared" ca="1" si="431"/>
        <v>#N/A</v>
      </c>
      <c r="AD922" s="323" t="e">
        <f t="shared" ca="1" si="432"/>
        <v>#N/A</v>
      </c>
      <c r="AE922" s="324" t="e">
        <f t="shared" ca="1" si="411"/>
        <v>#N/A</v>
      </c>
      <c r="AG922" s="306">
        <f t="shared" ca="1" si="433"/>
        <v>1.9262426659971617</v>
      </c>
      <c r="AH922" s="304">
        <f t="shared" ca="1" si="434"/>
        <v>-7.8434546980834341</v>
      </c>
    </row>
    <row r="923" spans="1:34" x14ac:dyDescent="0.2">
      <c r="A923" s="347">
        <f t="shared" ca="1" si="412"/>
        <v>1E-4</v>
      </c>
      <c r="B923" s="304">
        <f t="shared" ca="1" si="413"/>
        <v>34.539400000001528</v>
      </c>
      <c r="D923" s="306">
        <f t="shared" ca="1" si="414"/>
        <v>-0.71024222151818872</v>
      </c>
      <c r="E923" s="307">
        <f t="shared" ca="1" si="415"/>
        <v>-1.9987338625444506</v>
      </c>
      <c r="F923" s="304">
        <f t="shared" ca="1" si="416"/>
        <v>2.1211744545201725</v>
      </c>
      <c r="G923" s="306">
        <f t="shared" ca="1" si="417"/>
        <v>10.908826860227478</v>
      </c>
      <c r="H923" s="307">
        <f t="shared" ca="1" si="418"/>
        <v>-119.97659955801083</v>
      </c>
      <c r="I923" s="304">
        <f t="shared" ca="1" si="419"/>
        <v>120.47151922744939</v>
      </c>
      <c r="J923" s="306">
        <f t="shared" ca="1" si="420"/>
        <v>770.52896740167785</v>
      </c>
      <c r="K923" s="307">
        <f t="shared" ca="1" si="421"/>
        <v>-13.788475979904733</v>
      </c>
      <c r="L923" s="304">
        <f t="shared" ca="1" si="406"/>
        <v>770.65232866380438</v>
      </c>
      <c r="M923" s="306">
        <f t="shared" ca="1" si="422"/>
        <v>-1.4801210366838544</v>
      </c>
      <c r="N923" s="304">
        <f t="shared" ca="1" si="423"/>
        <v>-84.804688570512951</v>
      </c>
      <c r="P923" s="310">
        <f t="shared" ca="1" si="424"/>
        <v>23</v>
      </c>
      <c r="Q923" s="304">
        <f t="shared" ca="1" si="425"/>
        <v>0</v>
      </c>
      <c r="R923" s="306">
        <f t="shared" ca="1" si="426"/>
        <v>0</v>
      </c>
      <c r="S923" s="307">
        <f t="shared" ca="1" si="427"/>
        <v>7.4499999999999984</v>
      </c>
      <c r="T923" s="304">
        <f t="shared" ca="1" si="407"/>
        <v>73.084499999999991</v>
      </c>
      <c r="U923" s="311">
        <f t="shared" ca="1" si="408"/>
        <v>0</v>
      </c>
      <c r="V923" s="306">
        <f t="shared" ca="1" si="409"/>
        <v>1.2266902536086026</v>
      </c>
      <c r="W923" s="304">
        <f t="shared" ca="1" si="410"/>
        <v>58.434251437195343</v>
      </c>
      <c r="Y923" s="314" t="str">
        <f t="shared" ca="1" si="428"/>
        <v/>
      </c>
      <c r="Z923" s="315" t="str">
        <f t="shared" ca="1" si="429"/>
        <v/>
      </c>
      <c r="AA923" s="316" t="str">
        <f t="shared" ca="1" si="430"/>
        <v/>
      </c>
      <c r="AC923" s="310" t="e">
        <f t="shared" ca="1" si="431"/>
        <v>#N/A</v>
      </c>
      <c r="AD923" s="323" t="e">
        <f t="shared" ca="1" si="432"/>
        <v>#N/A</v>
      </c>
      <c r="AE923" s="324" t="e">
        <f t="shared" ca="1" si="411"/>
        <v>#N/A</v>
      </c>
      <c r="AG923" s="306">
        <f t="shared" ca="1" si="433"/>
        <v>1.9262088284788144</v>
      </c>
      <c r="AH923" s="304">
        <f t="shared" ca="1" si="434"/>
        <v>-7.8434891906208959</v>
      </c>
    </row>
    <row r="924" spans="1:34" x14ac:dyDescent="0.2">
      <c r="A924" s="347">
        <f t="shared" ca="1" si="412"/>
        <v>1E-4</v>
      </c>
      <c r="B924" s="304">
        <f t="shared" ca="1" si="413"/>
        <v>34.539500000001532</v>
      </c>
      <c r="D924" s="306">
        <f t="shared" ca="1" si="414"/>
        <v>-0.7102395850815697</v>
      </c>
      <c r="E924" s="307">
        <f t="shared" ca="1" si="415"/>
        <v>-1.998698988316109</v>
      </c>
      <c r="F924" s="304">
        <f t="shared" ca="1" si="416"/>
        <v>2.1211407105877438</v>
      </c>
      <c r="G924" s="306">
        <f t="shared" ca="1" si="417"/>
        <v>10.90875583626897</v>
      </c>
      <c r="H924" s="307">
        <f t="shared" ca="1" si="418"/>
        <v>-119.97679942790967</v>
      </c>
      <c r="I924" s="304">
        <f t="shared" ca="1" si="419"/>
        <v>120.47171184498126</v>
      </c>
      <c r="J924" s="306">
        <f t="shared" ca="1" si="420"/>
        <v>770.52896740167785</v>
      </c>
      <c r="K924" s="307">
        <f t="shared" ca="1" si="421"/>
        <v>-13.800473649854029</v>
      </c>
      <c r="L924" s="304">
        <f t="shared" ca="1" si="406"/>
        <v>770.65254341892387</v>
      </c>
      <c r="M924" s="306">
        <f t="shared" ca="1" si="422"/>
        <v>-1.4801217740404811</v>
      </c>
      <c r="N924" s="304">
        <f t="shared" ca="1" si="423"/>
        <v>-84.804730817935663</v>
      </c>
      <c r="P924" s="310">
        <f t="shared" ca="1" si="424"/>
        <v>23</v>
      </c>
      <c r="Q924" s="304">
        <f t="shared" ca="1" si="425"/>
        <v>0</v>
      </c>
      <c r="R924" s="306">
        <f t="shared" ca="1" si="426"/>
        <v>0</v>
      </c>
      <c r="S924" s="307">
        <f t="shared" ca="1" si="427"/>
        <v>7.4499999999999984</v>
      </c>
      <c r="T924" s="304">
        <f t="shared" ca="1" si="407"/>
        <v>73.084499999999991</v>
      </c>
      <c r="U924" s="311">
        <f t="shared" ca="1" si="408"/>
        <v>0</v>
      </c>
      <c r="V924" s="306">
        <f t="shared" ca="1" si="409"/>
        <v>1.226691725352665</v>
      </c>
      <c r="W924" s="304">
        <f t="shared" ca="1" si="410"/>
        <v>58.434508401930586</v>
      </c>
      <c r="Y924" s="314" t="str">
        <f t="shared" ca="1" si="428"/>
        <v/>
      </c>
      <c r="Z924" s="315" t="str">
        <f t="shared" ca="1" si="429"/>
        <v/>
      </c>
      <c r="AA924" s="316" t="str">
        <f t="shared" ca="1" si="430"/>
        <v/>
      </c>
      <c r="AC924" s="310" t="e">
        <f t="shared" ca="1" si="431"/>
        <v>#N/A</v>
      </c>
      <c r="AD924" s="323" t="e">
        <f t="shared" ca="1" si="432"/>
        <v>#N/A</v>
      </c>
      <c r="AE924" s="324" t="e">
        <f t="shared" ca="1" si="411"/>
        <v>#N/A</v>
      </c>
      <c r="AG924" s="306">
        <f t="shared" ca="1" si="433"/>
        <v>1.926174991262136</v>
      </c>
      <c r="AH924" s="304">
        <f t="shared" ca="1" si="434"/>
        <v>-7.8435236828450146</v>
      </c>
    </row>
    <row r="925" spans="1:34" x14ac:dyDescent="0.2">
      <c r="A925" s="347">
        <f t="shared" ca="1" si="412"/>
        <v>1E-4</v>
      </c>
      <c r="B925" s="304">
        <f t="shared" ca="1" si="413"/>
        <v>34.539600000001535</v>
      </c>
      <c r="D925" s="306">
        <f t="shared" ca="1" si="414"/>
        <v>-0.71023694862145215</v>
      </c>
      <c r="E925" s="307">
        <f t="shared" ca="1" si="415"/>
        <v>-1.9986641144045549</v>
      </c>
      <c r="F925" s="304">
        <f t="shared" ca="1" si="416"/>
        <v>2.1211069669857894</v>
      </c>
      <c r="G925" s="306">
        <f t="shared" ca="1" si="417"/>
        <v>10.908684812574108</v>
      </c>
      <c r="H925" s="307">
        <f t="shared" ca="1" si="418"/>
        <v>-119.9769992943211</v>
      </c>
      <c r="I925" s="304">
        <f t="shared" ca="1" si="419"/>
        <v>120.47190445912945</v>
      </c>
      <c r="J925" s="306">
        <f t="shared" ca="1" si="420"/>
        <v>770.52896740167785</v>
      </c>
      <c r="K925" s="307">
        <f t="shared" ca="1" si="421"/>
        <v>-13.81247133979014</v>
      </c>
      <c r="L925" s="304">
        <f t="shared" ca="1" si="406"/>
        <v>770.65275836112369</v>
      </c>
      <c r="M925" s="306">
        <f t="shared" ca="1" si="422"/>
        <v>-1.4801225113899492</v>
      </c>
      <c r="N925" s="304">
        <f t="shared" ca="1" si="423"/>
        <v>-84.804773064948208</v>
      </c>
      <c r="P925" s="310">
        <f t="shared" ca="1" si="424"/>
        <v>23</v>
      </c>
      <c r="Q925" s="304">
        <f t="shared" ca="1" si="425"/>
        <v>0</v>
      </c>
      <c r="R925" s="306">
        <f t="shared" ca="1" si="426"/>
        <v>0</v>
      </c>
      <c r="S925" s="307">
        <f t="shared" ca="1" si="427"/>
        <v>7.4499999999999984</v>
      </c>
      <c r="T925" s="304">
        <f t="shared" ca="1" si="407"/>
        <v>73.084499999999991</v>
      </c>
      <c r="U925" s="311">
        <f t="shared" ca="1" si="408"/>
        <v>0</v>
      </c>
      <c r="V925" s="306">
        <f t="shared" ca="1" si="409"/>
        <v>1.226693197100946</v>
      </c>
      <c r="W925" s="304">
        <f t="shared" ca="1" si="410"/>
        <v>58.43476536433144</v>
      </c>
      <c r="Y925" s="314" t="str">
        <f t="shared" ca="1" si="428"/>
        <v/>
      </c>
      <c r="Z925" s="315" t="str">
        <f t="shared" ca="1" si="429"/>
        <v/>
      </c>
      <c r="AA925" s="316" t="str">
        <f t="shared" ca="1" si="430"/>
        <v/>
      </c>
      <c r="AC925" s="310" t="e">
        <f t="shared" ca="1" si="431"/>
        <v>#N/A</v>
      </c>
      <c r="AD925" s="323" t="e">
        <f t="shared" ca="1" si="432"/>
        <v>#N/A</v>
      </c>
      <c r="AE925" s="324" t="e">
        <f t="shared" ca="1" si="411"/>
        <v>#N/A</v>
      </c>
      <c r="AG925" s="306">
        <f t="shared" ca="1" si="433"/>
        <v>1.9261411543471372</v>
      </c>
      <c r="AH925" s="304">
        <f t="shared" ca="1" si="434"/>
        <v>-7.8435581747557848</v>
      </c>
    </row>
    <row r="926" spans="1:34" x14ac:dyDescent="0.2">
      <c r="A926" s="347">
        <f t="shared" ca="1" si="412"/>
        <v>1E-4</v>
      </c>
      <c r="B926" s="304">
        <f t="shared" ca="1" si="413"/>
        <v>34.539700000001538</v>
      </c>
      <c r="D926" s="306">
        <f t="shared" ca="1" si="414"/>
        <v>-0.71023431213783672</v>
      </c>
      <c r="E926" s="307">
        <f t="shared" ca="1" si="415"/>
        <v>-1.9986292408097777</v>
      </c>
      <c r="F926" s="304">
        <f t="shared" ca="1" si="416"/>
        <v>2.1210732237143004</v>
      </c>
      <c r="G926" s="306">
        <f t="shared" ca="1" si="417"/>
        <v>10.908613789142894</v>
      </c>
      <c r="H926" s="307">
        <f t="shared" ca="1" si="418"/>
        <v>-119.97719915724518</v>
      </c>
      <c r="I926" s="304">
        <f t="shared" ca="1" si="419"/>
        <v>120.47209706989396</v>
      </c>
      <c r="J926" s="306">
        <f t="shared" ca="1" si="420"/>
        <v>770.52896740167785</v>
      </c>
      <c r="K926" s="307">
        <f t="shared" ca="1" si="421"/>
        <v>-13.824469049712718</v>
      </c>
      <c r="L926" s="304">
        <f t="shared" ca="1" si="406"/>
        <v>770.65297349040475</v>
      </c>
      <c r="M926" s="306">
        <f t="shared" ca="1" si="422"/>
        <v>-1.4801232487322589</v>
      </c>
      <c r="N926" s="304">
        <f t="shared" ca="1" si="423"/>
        <v>-84.804815311550612</v>
      </c>
      <c r="P926" s="310">
        <f t="shared" ca="1" si="424"/>
        <v>23</v>
      </c>
      <c r="Q926" s="304">
        <f t="shared" ca="1" si="425"/>
        <v>0</v>
      </c>
      <c r="R926" s="306">
        <f t="shared" ca="1" si="426"/>
        <v>0</v>
      </c>
      <c r="S926" s="307">
        <f t="shared" ca="1" si="427"/>
        <v>7.4499999999999984</v>
      </c>
      <c r="T926" s="304">
        <f t="shared" ca="1" si="407"/>
        <v>73.084499999999991</v>
      </c>
      <c r="U926" s="311">
        <f t="shared" ca="1" si="408"/>
        <v>0</v>
      </c>
      <c r="V926" s="306">
        <f t="shared" ca="1" si="409"/>
        <v>1.2266946688534455</v>
      </c>
      <c r="W926" s="304">
        <f t="shared" ca="1" si="410"/>
        <v>58.435022324397835</v>
      </c>
      <c r="Y926" s="314" t="str">
        <f t="shared" ca="1" si="428"/>
        <v/>
      </c>
      <c r="Z926" s="315" t="str">
        <f t="shared" ca="1" si="429"/>
        <v/>
      </c>
      <c r="AA926" s="316" t="str">
        <f t="shared" ca="1" si="430"/>
        <v/>
      </c>
      <c r="AC926" s="310" t="e">
        <f t="shared" ca="1" si="431"/>
        <v>#N/A</v>
      </c>
      <c r="AD926" s="323" t="e">
        <f t="shared" ca="1" si="432"/>
        <v>#N/A</v>
      </c>
      <c r="AE926" s="324" t="e">
        <f t="shared" ca="1" si="411"/>
        <v>#N/A</v>
      </c>
      <c r="AG926" s="306">
        <f t="shared" ca="1" si="433"/>
        <v>1.9261073177338055</v>
      </c>
      <c r="AH926" s="304">
        <f t="shared" ca="1" si="434"/>
        <v>-7.8435926663532154</v>
      </c>
    </row>
    <row r="927" spans="1:34" x14ac:dyDescent="0.2">
      <c r="A927" s="347">
        <f t="shared" ca="1" si="412"/>
        <v>1E-4</v>
      </c>
      <c r="B927" s="304">
        <f t="shared" ca="1" si="413"/>
        <v>34.539800000001541</v>
      </c>
      <c r="D927" s="306">
        <f t="shared" ca="1" si="414"/>
        <v>-0.71023167563072354</v>
      </c>
      <c r="E927" s="307">
        <f t="shared" ca="1" si="415"/>
        <v>-1.9985943675317905</v>
      </c>
      <c r="F927" s="304">
        <f t="shared" ca="1" si="416"/>
        <v>2.1210394807732889</v>
      </c>
      <c r="G927" s="306">
        <f t="shared" ca="1" si="417"/>
        <v>10.908542765975332</v>
      </c>
      <c r="H927" s="307">
        <f t="shared" ca="1" si="418"/>
        <v>-119.97739901668193</v>
      </c>
      <c r="I927" s="304">
        <f t="shared" ca="1" si="419"/>
        <v>120.47228967727484</v>
      </c>
      <c r="J927" s="306">
        <f t="shared" ca="1" si="420"/>
        <v>770.52896740167785</v>
      </c>
      <c r="K927" s="307">
        <f t="shared" ca="1" si="421"/>
        <v>-13.836466779621414</v>
      </c>
      <c r="L927" s="304">
        <f t="shared" ca="1" si="406"/>
        <v>770.65318880676773</v>
      </c>
      <c r="M927" s="306">
        <f t="shared" ca="1" si="422"/>
        <v>-1.4801239860674105</v>
      </c>
      <c r="N927" s="304">
        <f t="shared" ca="1" si="423"/>
        <v>-84.804857557742878</v>
      </c>
      <c r="P927" s="310">
        <f t="shared" ca="1" si="424"/>
        <v>23</v>
      </c>
      <c r="Q927" s="304">
        <f t="shared" ca="1" si="425"/>
        <v>0</v>
      </c>
      <c r="R927" s="306">
        <f t="shared" ca="1" si="426"/>
        <v>0</v>
      </c>
      <c r="S927" s="307">
        <f t="shared" ca="1" si="427"/>
        <v>7.4499999999999984</v>
      </c>
      <c r="T927" s="304">
        <f t="shared" ca="1" si="407"/>
        <v>73.084499999999991</v>
      </c>
      <c r="U927" s="311">
        <f t="shared" ca="1" si="408"/>
        <v>0</v>
      </c>
      <c r="V927" s="306">
        <f t="shared" ca="1" si="409"/>
        <v>1.2266961406101642</v>
      </c>
      <c r="W927" s="304">
        <f t="shared" ca="1" si="410"/>
        <v>58.435279282129841</v>
      </c>
      <c r="Y927" s="314" t="str">
        <f t="shared" ca="1" si="428"/>
        <v/>
      </c>
      <c r="Z927" s="315" t="str">
        <f t="shared" ca="1" si="429"/>
        <v/>
      </c>
      <c r="AA927" s="316" t="str">
        <f t="shared" ca="1" si="430"/>
        <v/>
      </c>
      <c r="AC927" s="310" t="e">
        <f t="shared" ca="1" si="431"/>
        <v>#N/A</v>
      </c>
      <c r="AD927" s="323" t="e">
        <f t="shared" ca="1" si="432"/>
        <v>#N/A</v>
      </c>
      <c r="AE927" s="324" t="e">
        <f t="shared" ca="1" si="411"/>
        <v>#N/A</v>
      </c>
      <c r="AG927" s="306">
        <f t="shared" ca="1" si="433"/>
        <v>1.9260734814221561</v>
      </c>
      <c r="AH927" s="304">
        <f t="shared" ca="1" si="434"/>
        <v>-7.8436271576372949</v>
      </c>
    </row>
    <row r="928" spans="1:34" x14ac:dyDescent="0.2">
      <c r="A928" s="347">
        <f t="shared" ca="1" si="412"/>
        <v>1E-4</v>
      </c>
      <c r="B928" s="304">
        <f t="shared" ca="1" si="413"/>
        <v>34.539900000001545</v>
      </c>
      <c r="D928" s="306">
        <f t="shared" ca="1" si="414"/>
        <v>-0.71022903910011181</v>
      </c>
      <c r="E928" s="307">
        <f t="shared" ca="1" si="415"/>
        <v>-1.9985594945705802</v>
      </c>
      <c r="F928" s="304">
        <f t="shared" ca="1" si="416"/>
        <v>2.1210057381627427</v>
      </c>
      <c r="G928" s="306">
        <f t="shared" ca="1" si="417"/>
        <v>10.908471743071422</v>
      </c>
      <c r="H928" s="307">
        <f t="shared" ca="1" si="418"/>
        <v>-119.97759887263139</v>
      </c>
      <c r="I928" s="304">
        <f t="shared" ca="1" si="419"/>
        <v>120.47248228127214</v>
      </c>
      <c r="J928" s="306">
        <f t="shared" ca="1" si="420"/>
        <v>770.52896740167785</v>
      </c>
      <c r="K928" s="307">
        <f t="shared" ca="1" si="421"/>
        <v>-13.84846452951588</v>
      </c>
      <c r="L928" s="304">
        <f t="shared" ca="1" si="406"/>
        <v>770.65340431021343</v>
      </c>
      <c r="M928" s="306">
        <f t="shared" ca="1" si="422"/>
        <v>-1.4801247233954036</v>
      </c>
      <c r="N928" s="304">
        <f t="shared" ca="1" si="423"/>
        <v>-84.804899803525004</v>
      </c>
      <c r="P928" s="310">
        <f t="shared" ca="1" si="424"/>
        <v>23</v>
      </c>
      <c r="Q928" s="304">
        <f t="shared" ca="1" si="425"/>
        <v>0</v>
      </c>
      <c r="R928" s="306">
        <f t="shared" ca="1" si="426"/>
        <v>0</v>
      </c>
      <c r="S928" s="307">
        <f t="shared" ca="1" si="427"/>
        <v>7.4499999999999984</v>
      </c>
      <c r="T928" s="304">
        <f t="shared" ca="1" si="407"/>
        <v>73.084499999999991</v>
      </c>
      <c r="U928" s="311">
        <f t="shared" ca="1" si="408"/>
        <v>0</v>
      </c>
      <c r="V928" s="306">
        <f t="shared" ca="1" si="409"/>
        <v>1.2266976123711013</v>
      </c>
      <c r="W928" s="304">
        <f t="shared" ca="1" si="410"/>
        <v>58.435536237527437</v>
      </c>
      <c r="Y928" s="314" t="str">
        <f t="shared" ca="1" si="428"/>
        <v/>
      </c>
      <c r="Z928" s="315" t="str">
        <f t="shared" ca="1" si="429"/>
        <v/>
      </c>
      <c r="AA928" s="316" t="str">
        <f t="shared" ca="1" si="430"/>
        <v/>
      </c>
      <c r="AC928" s="310" t="e">
        <f t="shared" ca="1" si="431"/>
        <v>#N/A</v>
      </c>
      <c r="AD928" s="323" t="e">
        <f t="shared" ca="1" si="432"/>
        <v>#N/A</v>
      </c>
      <c r="AE928" s="324" t="e">
        <f t="shared" ca="1" si="411"/>
        <v>#N/A</v>
      </c>
      <c r="AG928" s="306">
        <f t="shared" ca="1" si="433"/>
        <v>1.9260396454121782</v>
      </c>
      <c r="AH928" s="304">
        <f t="shared" ca="1" si="434"/>
        <v>-7.8436616486080339</v>
      </c>
    </row>
    <row r="929" spans="1:34" x14ac:dyDescent="0.2">
      <c r="A929" s="347">
        <f t="shared" ca="1" si="412"/>
        <v>1E-4</v>
      </c>
      <c r="B929" s="304">
        <f t="shared" ca="1" si="413"/>
        <v>34.540000000001548</v>
      </c>
      <c r="D929" s="306">
        <f t="shared" ca="1" si="414"/>
        <v>-0.71022640254600611</v>
      </c>
      <c r="E929" s="307">
        <f t="shared" ca="1" si="415"/>
        <v>-1.9985246219261521</v>
      </c>
      <c r="F929" s="304">
        <f t="shared" ca="1" si="416"/>
        <v>2.1209719958826683</v>
      </c>
      <c r="G929" s="306">
        <f t="shared" ca="1" si="417"/>
        <v>10.908400720431167</v>
      </c>
      <c r="H929" s="307">
        <f t="shared" ca="1" si="418"/>
        <v>-119.97779872509358</v>
      </c>
      <c r="I929" s="304">
        <f t="shared" ca="1" si="419"/>
        <v>120.47267488188585</v>
      </c>
      <c r="J929" s="306">
        <f t="shared" ca="1" si="420"/>
        <v>770.52896740167785</v>
      </c>
      <c r="K929" s="307">
        <f t="shared" ca="1" si="421"/>
        <v>-13.860462299395767</v>
      </c>
      <c r="L929" s="304">
        <f t="shared" ca="1" si="406"/>
        <v>770.65362000074254</v>
      </c>
      <c r="M929" s="306">
        <f t="shared" ca="1" si="422"/>
        <v>-1.4801254607162386</v>
      </c>
      <c r="N929" s="304">
        <f t="shared" ca="1" si="423"/>
        <v>-84.804942048897004</v>
      </c>
      <c r="P929" s="310">
        <f t="shared" ca="1" si="424"/>
        <v>23</v>
      </c>
      <c r="Q929" s="304">
        <f t="shared" ca="1" si="425"/>
        <v>0</v>
      </c>
      <c r="R929" s="306">
        <f t="shared" ca="1" si="426"/>
        <v>0</v>
      </c>
      <c r="S929" s="307">
        <f t="shared" ca="1" si="427"/>
        <v>7.4499999999999984</v>
      </c>
      <c r="T929" s="304">
        <f t="shared" ca="1" si="407"/>
        <v>73.084499999999991</v>
      </c>
      <c r="U929" s="311">
        <f t="shared" ca="1" si="408"/>
        <v>0</v>
      </c>
      <c r="V929" s="306">
        <f t="shared" ca="1" si="409"/>
        <v>1.2266990841362568</v>
      </c>
      <c r="W929" s="304">
        <f t="shared" ca="1" si="410"/>
        <v>58.435793190590623</v>
      </c>
      <c r="Y929" s="314" t="str">
        <f t="shared" ca="1" si="428"/>
        <v/>
      </c>
      <c r="Z929" s="315" t="str">
        <f t="shared" ca="1" si="429"/>
        <v/>
      </c>
      <c r="AA929" s="316" t="str">
        <f t="shared" ca="1" si="430"/>
        <v/>
      </c>
      <c r="AC929" s="310" t="e">
        <f t="shared" ca="1" si="431"/>
        <v>#N/A</v>
      </c>
      <c r="AD929" s="323" t="e">
        <f t="shared" ca="1" si="432"/>
        <v>#N/A</v>
      </c>
      <c r="AE929" s="324" t="e">
        <f t="shared" ca="1" si="411"/>
        <v>#N/A</v>
      </c>
      <c r="AG929" s="306">
        <f t="shared" ca="1" si="433"/>
        <v>1.9260058097038728</v>
      </c>
      <c r="AH929" s="304">
        <f t="shared" ca="1" si="434"/>
        <v>-7.8436961392654299</v>
      </c>
    </row>
    <row r="930" spans="1:34" x14ac:dyDescent="0.2">
      <c r="A930" s="347">
        <f t="shared" ca="1" si="412"/>
        <v>1E-4</v>
      </c>
      <c r="B930" s="304">
        <f t="shared" ca="1" si="413"/>
        <v>34.540100000001551</v>
      </c>
      <c r="D930" s="306">
        <f t="shared" ca="1" si="414"/>
        <v>-0.7102237659684042</v>
      </c>
      <c r="E930" s="307">
        <f t="shared" ca="1" si="415"/>
        <v>-1.998489749598507</v>
      </c>
      <c r="F930" s="304">
        <f t="shared" ca="1" si="416"/>
        <v>2.1209382539330668</v>
      </c>
      <c r="G930" s="306">
        <f t="shared" ca="1" si="417"/>
        <v>10.908329698054571</v>
      </c>
      <c r="H930" s="307">
        <f t="shared" ca="1" si="418"/>
        <v>-119.97799857406854</v>
      </c>
      <c r="I930" s="304">
        <f t="shared" ca="1" si="419"/>
        <v>120.47286747911603</v>
      </c>
      <c r="J930" s="306">
        <f t="shared" ca="1" si="420"/>
        <v>770.52896740167785</v>
      </c>
      <c r="K930" s="307">
        <f t="shared" ca="1" si="421"/>
        <v>-13.872460089260725</v>
      </c>
      <c r="L930" s="304">
        <f t="shared" ca="1" si="406"/>
        <v>770.65383587835595</v>
      </c>
      <c r="M930" s="306">
        <f t="shared" ca="1" si="422"/>
        <v>-1.4801261980299159</v>
      </c>
      <c r="N930" s="304">
        <f t="shared" ca="1" si="423"/>
        <v>-84.80498429385888</v>
      </c>
      <c r="P930" s="310">
        <f t="shared" ca="1" si="424"/>
        <v>23</v>
      </c>
      <c r="Q930" s="304">
        <f t="shared" ca="1" si="425"/>
        <v>0</v>
      </c>
      <c r="R930" s="306">
        <f t="shared" ca="1" si="426"/>
        <v>0</v>
      </c>
      <c r="S930" s="307">
        <f t="shared" ca="1" si="427"/>
        <v>7.4499999999999984</v>
      </c>
      <c r="T930" s="304">
        <f t="shared" ca="1" si="407"/>
        <v>73.084499999999991</v>
      </c>
      <c r="U930" s="311">
        <f t="shared" ca="1" si="408"/>
        <v>0</v>
      </c>
      <c r="V930" s="306">
        <f t="shared" ca="1" si="409"/>
        <v>1.226700555905631</v>
      </c>
      <c r="W930" s="304">
        <f t="shared" ca="1" si="410"/>
        <v>58.436050141319413</v>
      </c>
      <c r="Y930" s="314" t="str">
        <f t="shared" ca="1" si="428"/>
        <v/>
      </c>
      <c r="Z930" s="315" t="str">
        <f t="shared" ca="1" si="429"/>
        <v/>
      </c>
      <c r="AA930" s="316" t="str">
        <f t="shared" ca="1" si="430"/>
        <v/>
      </c>
      <c r="AC930" s="310" t="e">
        <f t="shared" ca="1" si="431"/>
        <v>#N/A</v>
      </c>
      <c r="AD930" s="323" t="e">
        <f t="shared" ca="1" si="432"/>
        <v>#N/A</v>
      </c>
      <c r="AE930" s="324" t="e">
        <f t="shared" ca="1" si="411"/>
        <v>#N/A</v>
      </c>
      <c r="AG930" s="306">
        <f t="shared" ca="1" si="433"/>
        <v>1.9259719742972417</v>
      </c>
      <c r="AH930" s="304">
        <f t="shared" ca="1" si="434"/>
        <v>-7.8437306296094809</v>
      </c>
    </row>
    <row r="931" spans="1:34" x14ac:dyDescent="0.2">
      <c r="A931" s="347">
        <f t="shared" ca="1" si="412"/>
        <v>1E-4</v>
      </c>
      <c r="B931" s="304">
        <f t="shared" ca="1" si="413"/>
        <v>34.540200000001555</v>
      </c>
      <c r="D931" s="306">
        <f t="shared" ca="1" si="414"/>
        <v>-0.7102211293673063</v>
      </c>
      <c r="E931" s="307">
        <f t="shared" ca="1" si="415"/>
        <v>-1.9984548775876396</v>
      </c>
      <c r="F931" s="304">
        <f t="shared" ca="1" si="416"/>
        <v>2.1209045123139325</v>
      </c>
      <c r="G931" s="306">
        <f t="shared" ca="1" si="417"/>
        <v>10.908258675941633</v>
      </c>
      <c r="H931" s="307">
        <f t="shared" ca="1" si="418"/>
        <v>-119.97819841955629</v>
      </c>
      <c r="I931" s="304">
        <f t="shared" ca="1" si="419"/>
        <v>120.4730600729627</v>
      </c>
      <c r="J931" s="306">
        <f t="shared" ca="1" si="420"/>
        <v>770.52896740167785</v>
      </c>
      <c r="K931" s="307">
        <f t="shared" ca="1" si="421"/>
        <v>-13.884457899110407</v>
      </c>
      <c r="L931" s="304">
        <f t="shared" ca="1" si="406"/>
        <v>770.65405194305458</v>
      </c>
      <c r="M931" s="306">
        <f t="shared" ca="1" si="422"/>
        <v>-1.480126935336435</v>
      </c>
      <c r="N931" s="304">
        <f t="shared" ca="1" si="423"/>
        <v>-84.805026538410644</v>
      </c>
      <c r="P931" s="310">
        <f t="shared" ca="1" si="424"/>
        <v>23</v>
      </c>
      <c r="Q931" s="304">
        <f t="shared" ca="1" si="425"/>
        <v>0</v>
      </c>
      <c r="R931" s="306">
        <f t="shared" ca="1" si="426"/>
        <v>0</v>
      </c>
      <c r="S931" s="307">
        <f t="shared" ca="1" si="427"/>
        <v>7.4499999999999984</v>
      </c>
      <c r="T931" s="304">
        <f t="shared" ca="1" si="407"/>
        <v>73.084499999999991</v>
      </c>
      <c r="U931" s="311">
        <f t="shared" ca="1" si="408"/>
        <v>0</v>
      </c>
      <c r="V931" s="306">
        <f t="shared" ca="1" si="409"/>
        <v>1.226702027679224</v>
      </c>
      <c r="W931" s="304">
        <f t="shared" ca="1" si="410"/>
        <v>58.436307089713793</v>
      </c>
      <c r="Y931" s="314" t="str">
        <f t="shared" ca="1" si="428"/>
        <v/>
      </c>
      <c r="Z931" s="315" t="str">
        <f t="shared" ca="1" si="429"/>
        <v/>
      </c>
      <c r="AA931" s="316" t="str">
        <f t="shared" ca="1" si="430"/>
        <v/>
      </c>
      <c r="AC931" s="310" t="e">
        <f t="shared" ca="1" si="431"/>
        <v>#N/A</v>
      </c>
      <c r="AD931" s="323" t="e">
        <f t="shared" ca="1" si="432"/>
        <v>#N/A</v>
      </c>
      <c r="AE931" s="324" t="e">
        <f t="shared" ca="1" si="411"/>
        <v>#N/A</v>
      </c>
      <c r="AG931" s="306">
        <f t="shared" ca="1" si="433"/>
        <v>1.9259381391922821</v>
      </c>
      <c r="AH931" s="304">
        <f t="shared" ca="1" si="434"/>
        <v>-7.8437651196401914</v>
      </c>
    </row>
    <row r="932" spans="1:34" x14ac:dyDescent="0.2">
      <c r="A932" s="347">
        <f t="shared" ca="1" si="412"/>
        <v>1E-4</v>
      </c>
      <c r="B932" s="304">
        <f t="shared" ca="1" si="413"/>
        <v>34.540300000001558</v>
      </c>
      <c r="D932" s="306">
        <f t="shared" ca="1" si="414"/>
        <v>-0.71021849274271509</v>
      </c>
      <c r="E932" s="307">
        <f t="shared" ca="1" si="415"/>
        <v>-1.9984200058935553</v>
      </c>
      <c r="F932" s="304">
        <f t="shared" ca="1" si="416"/>
        <v>2.1208707710252721</v>
      </c>
      <c r="G932" s="306">
        <f t="shared" ca="1" si="417"/>
        <v>10.908187654092359</v>
      </c>
      <c r="H932" s="307">
        <f t="shared" ca="1" si="418"/>
        <v>-119.97839826155688</v>
      </c>
      <c r="I932" s="304">
        <f t="shared" ca="1" si="419"/>
        <v>120.47325266342587</v>
      </c>
      <c r="J932" s="306">
        <f t="shared" ca="1" si="420"/>
        <v>770.52896740167785</v>
      </c>
      <c r="K932" s="307">
        <f t="shared" ca="1" si="421"/>
        <v>-13.896455728944462</v>
      </c>
      <c r="L932" s="304">
        <f t="shared" ca="1" si="406"/>
        <v>770.65426819483878</v>
      </c>
      <c r="M932" s="306">
        <f t="shared" ca="1" si="422"/>
        <v>-1.4801276726357964</v>
      </c>
      <c r="N932" s="304">
        <f t="shared" ca="1" si="423"/>
        <v>-84.805068782552283</v>
      </c>
      <c r="P932" s="310">
        <f t="shared" ca="1" si="424"/>
        <v>23</v>
      </c>
      <c r="Q932" s="304">
        <f t="shared" ca="1" si="425"/>
        <v>0</v>
      </c>
      <c r="R932" s="306">
        <f t="shared" ca="1" si="426"/>
        <v>0</v>
      </c>
      <c r="S932" s="307">
        <f t="shared" ca="1" si="427"/>
        <v>7.4499999999999984</v>
      </c>
      <c r="T932" s="304">
        <f t="shared" ca="1" si="407"/>
        <v>73.084499999999991</v>
      </c>
      <c r="U932" s="311">
        <f t="shared" ca="1" si="408"/>
        <v>0</v>
      </c>
      <c r="V932" s="306">
        <f t="shared" ca="1" si="409"/>
        <v>1.2267034994570352</v>
      </c>
      <c r="W932" s="304">
        <f t="shared" ca="1" si="410"/>
        <v>58.43656403577377</v>
      </c>
      <c r="Y932" s="314" t="str">
        <f t="shared" ca="1" si="428"/>
        <v/>
      </c>
      <c r="Z932" s="315" t="str">
        <f t="shared" ca="1" si="429"/>
        <v/>
      </c>
      <c r="AA932" s="316" t="str">
        <f t="shared" ca="1" si="430"/>
        <v/>
      </c>
      <c r="AC932" s="310" t="e">
        <f t="shared" ca="1" si="431"/>
        <v>#N/A</v>
      </c>
      <c r="AD932" s="323" t="e">
        <f t="shared" ca="1" si="432"/>
        <v>#N/A</v>
      </c>
      <c r="AE932" s="324" t="e">
        <f t="shared" ca="1" si="411"/>
        <v>#N/A</v>
      </c>
      <c r="AG932" s="306">
        <f t="shared" ca="1" si="433"/>
        <v>1.9259043043889976</v>
      </c>
      <c r="AH932" s="304">
        <f t="shared" ca="1" si="434"/>
        <v>-7.8437996093575579</v>
      </c>
    </row>
    <row r="933" spans="1:34" x14ac:dyDescent="0.2">
      <c r="A933" s="347">
        <f t="shared" ca="1" si="412"/>
        <v>1E-4</v>
      </c>
      <c r="B933" s="304">
        <f t="shared" ca="1" si="413"/>
        <v>34.540400000001561</v>
      </c>
      <c r="D933" s="306">
        <f t="shared" ca="1" si="414"/>
        <v>-0.71021585609463045</v>
      </c>
      <c r="E933" s="307">
        <f t="shared" ca="1" si="415"/>
        <v>-1.9983851345162522</v>
      </c>
      <c r="F933" s="304">
        <f t="shared" ca="1" si="416"/>
        <v>2.1208370300670838</v>
      </c>
      <c r="G933" s="306">
        <f t="shared" ca="1" si="417"/>
        <v>10.908116632506749</v>
      </c>
      <c r="H933" s="307">
        <f t="shared" ca="1" si="418"/>
        <v>-119.97859810007033</v>
      </c>
      <c r="I933" s="304">
        <f t="shared" ca="1" si="419"/>
        <v>120.47344525050559</v>
      </c>
      <c r="J933" s="306">
        <f t="shared" ca="1" si="420"/>
        <v>770.52896740167785</v>
      </c>
      <c r="K933" s="307">
        <f t="shared" ca="1" si="421"/>
        <v>-13.908453578762543</v>
      </c>
      <c r="L933" s="304">
        <f t="shared" ca="1" si="406"/>
        <v>770.65448463370956</v>
      </c>
      <c r="M933" s="306">
        <f t="shared" ca="1" si="422"/>
        <v>-1.4801284099280001</v>
      </c>
      <c r="N933" s="304">
        <f t="shared" ca="1" si="423"/>
        <v>-84.805111026283825</v>
      </c>
      <c r="P933" s="310">
        <f t="shared" ca="1" si="424"/>
        <v>23</v>
      </c>
      <c r="Q933" s="304">
        <f t="shared" ca="1" si="425"/>
        <v>0</v>
      </c>
      <c r="R933" s="306">
        <f t="shared" ca="1" si="426"/>
        <v>0</v>
      </c>
      <c r="S933" s="307">
        <f t="shared" ca="1" si="427"/>
        <v>7.4499999999999984</v>
      </c>
      <c r="T933" s="304">
        <f t="shared" ca="1" si="407"/>
        <v>73.084499999999991</v>
      </c>
      <c r="U933" s="311">
        <f t="shared" ca="1" si="408"/>
        <v>0</v>
      </c>
      <c r="V933" s="306">
        <f t="shared" ca="1" si="409"/>
        <v>1.226704971239065</v>
      </c>
      <c r="W933" s="304">
        <f t="shared" ca="1" si="410"/>
        <v>58.436820979499345</v>
      </c>
      <c r="Y933" s="314" t="str">
        <f t="shared" ca="1" si="428"/>
        <v/>
      </c>
      <c r="Z933" s="315" t="str">
        <f t="shared" ca="1" si="429"/>
        <v/>
      </c>
      <c r="AA933" s="316" t="str">
        <f t="shared" ca="1" si="430"/>
        <v/>
      </c>
      <c r="AC933" s="310" t="e">
        <f t="shared" ca="1" si="431"/>
        <v>#N/A</v>
      </c>
      <c r="AD933" s="323" t="e">
        <f t="shared" ca="1" si="432"/>
        <v>#N/A</v>
      </c>
      <c r="AE933" s="324" t="e">
        <f t="shared" ca="1" si="411"/>
        <v>#N/A</v>
      </c>
      <c r="AG933" s="306">
        <f t="shared" ca="1" si="433"/>
        <v>1.9258704698873856</v>
      </c>
      <c r="AH933" s="304">
        <f t="shared" ca="1" si="434"/>
        <v>-7.8438340987615813</v>
      </c>
    </row>
    <row r="934" spans="1:34" x14ac:dyDescent="0.2">
      <c r="A934" s="347">
        <f t="shared" ca="1" si="412"/>
        <v>1E-4</v>
      </c>
      <c r="B934" s="304">
        <f t="shared" ca="1" si="413"/>
        <v>34.540500000001565</v>
      </c>
      <c r="D934" s="306">
        <f t="shared" ca="1" si="414"/>
        <v>-0.71021321942305204</v>
      </c>
      <c r="E934" s="307">
        <f t="shared" ca="1" si="415"/>
        <v>-1.9983502634557286</v>
      </c>
      <c r="F934" s="304">
        <f t="shared" ca="1" si="416"/>
        <v>2.1208032894393662</v>
      </c>
      <c r="G934" s="306">
        <f t="shared" ca="1" si="417"/>
        <v>10.908045611184807</v>
      </c>
      <c r="H934" s="307">
        <f t="shared" ca="1" si="418"/>
        <v>-119.97879793509668</v>
      </c>
      <c r="I934" s="304">
        <f t="shared" ca="1" si="419"/>
        <v>120.47363783420191</v>
      </c>
      <c r="J934" s="306">
        <f t="shared" ca="1" si="420"/>
        <v>770.52896740167785</v>
      </c>
      <c r="K934" s="307">
        <f t="shared" ca="1" si="421"/>
        <v>-13.920451448564302</v>
      </c>
      <c r="L934" s="304">
        <f t="shared" ca="1" si="406"/>
        <v>770.65470125966783</v>
      </c>
      <c r="M934" s="306">
        <f t="shared" ca="1" si="422"/>
        <v>-1.480129147213046</v>
      </c>
      <c r="N934" s="304">
        <f t="shared" ca="1" si="423"/>
        <v>-84.805153269605256</v>
      </c>
      <c r="P934" s="310">
        <f t="shared" ca="1" si="424"/>
        <v>23</v>
      </c>
      <c r="Q934" s="304">
        <f t="shared" ca="1" si="425"/>
        <v>0</v>
      </c>
      <c r="R934" s="306">
        <f t="shared" ca="1" si="426"/>
        <v>0</v>
      </c>
      <c r="S934" s="307">
        <f t="shared" ca="1" si="427"/>
        <v>7.4499999999999984</v>
      </c>
      <c r="T934" s="304">
        <f t="shared" ca="1" si="407"/>
        <v>73.084499999999991</v>
      </c>
      <c r="U934" s="311">
        <f t="shared" ca="1" si="408"/>
        <v>0</v>
      </c>
      <c r="V934" s="306">
        <f t="shared" ca="1" si="409"/>
        <v>1.2267064430253134</v>
      </c>
      <c r="W934" s="304">
        <f t="shared" ca="1" si="410"/>
        <v>58.437077920890566</v>
      </c>
      <c r="Y934" s="314" t="str">
        <f t="shared" ca="1" si="428"/>
        <v/>
      </c>
      <c r="Z934" s="315" t="str">
        <f t="shared" ca="1" si="429"/>
        <v/>
      </c>
      <c r="AA934" s="316" t="str">
        <f t="shared" ca="1" si="430"/>
        <v/>
      </c>
      <c r="AC934" s="310" t="e">
        <f t="shared" ca="1" si="431"/>
        <v>#N/A</v>
      </c>
      <c r="AD934" s="323" t="e">
        <f t="shared" ca="1" si="432"/>
        <v>#N/A</v>
      </c>
      <c r="AE934" s="324" t="e">
        <f t="shared" ca="1" si="411"/>
        <v>#N/A</v>
      </c>
      <c r="AG934" s="306">
        <f t="shared" ca="1" si="433"/>
        <v>1.9258366356874506</v>
      </c>
      <c r="AH934" s="304">
        <f t="shared" ca="1" si="434"/>
        <v>-7.8438685878522625</v>
      </c>
    </row>
    <row r="935" spans="1:34" x14ac:dyDescent="0.2">
      <c r="A935" s="347">
        <f t="shared" ca="1" si="412"/>
        <v>1E-4</v>
      </c>
      <c r="B935" s="304">
        <f t="shared" ca="1" si="413"/>
        <v>34.540600000001568</v>
      </c>
      <c r="D935" s="306">
        <f t="shared" ca="1" si="414"/>
        <v>-0.71021058272798387</v>
      </c>
      <c r="E935" s="307">
        <f t="shared" ca="1" si="415"/>
        <v>-1.9983153927119792</v>
      </c>
      <c r="F935" s="304">
        <f t="shared" ca="1" si="416"/>
        <v>2.1207695491421164</v>
      </c>
      <c r="G935" s="306">
        <f t="shared" ca="1" si="417"/>
        <v>10.907974590126534</v>
      </c>
      <c r="H935" s="307">
        <f t="shared" ca="1" si="418"/>
        <v>-119.97899776663596</v>
      </c>
      <c r="I935" s="304">
        <f t="shared" ca="1" si="419"/>
        <v>120.47383041451485</v>
      </c>
      <c r="J935" s="306">
        <f t="shared" ca="1" si="420"/>
        <v>770.52896740167785</v>
      </c>
      <c r="K935" s="307">
        <f t="shared" ca="1" si="421"/>
        <v>-13.932449338349389</v>
      </c>
      <c r="L935" s="304">
        <f t="shared" ca="1" si="406"/>
        <v>770.65491807271405</v>
      </c>
      <c r="M935" s="306">
        <f t="shared" ca="1" si="422"/>
        <v>-1.4801298844909345</v>
      </c>
      <c r="N935" s="304">
        <f t="shared" ca="1" si="423"/>
        <v>-84.80519551251659</v>
      </c>
      <c r="P935" s="310">
        <f t="shared" ca="1" si="424"/>
        <v>23</v>
      </c>
      <c r="Q935" s="304">
        <f t="shared" ca="1" si="425"/>
        <v>0</v>
      </c>
      <c r="R935" s="306">
        <f t="shared" ca="1" si="426"/>
        <v>0</v>
      </c>
      <c r="S935" s="307">
        <f t="shared" ca="1" si="427"/>
        <v>7.4499999999999984</v>
      </c>
      <c r="T935" s="304">
        <f t="shared" ca="1" si="407"/>
        <v>73.084499999999991</v>
      </c>
      <c r="U935" s="311">
        <f t="shared" ca="1" si="408"/>
        <v>0</v>
      </c>
      <c r="V935" s="306">
        <f t="shared" ca="1" si="409"/>
        <v>1.2267079148157802</v>
      </c>
      <c r="W935" s="304">
        <f t="shared" ca="1" si="410"/>
        <v>58.43733485994742</v>
      </c>
      <c r="Y935" s="314" t="str">
        <f t="shared" ca="1" si="428"/>
        <v/>
      </c>
      <c r="Z935" s="315" t="str">
        <f t="shared" ca="1" si="429"/>
        <v/>
      </c>
      <c r="AA935" s="316" t="str">
        <f t="shared" ca="1" si="430"/>
        <v/>
      </c>
      <c r="AC935" s="310" t="e">
        <f t="shared" ca="1" si="431"/>
        <v>#N/A</v>
      </c>
      <c r="AD935" s="323" t="e">
        <f t="shared" ca="1" si="432"/>
        <v>#N/A</v>
      </c>
      <c r="AE935" s="324" t="e">
        <f t="shared" ca="1" si="411"/>
        <v>#N/A</v>
      </c>
      <c r="AG935" s="306">
        <f t="shared" ca="1" si="433"/>
        <v>1.9258028017891808</v>
      </c>
      <c r="AH935" s="304">
        <f t="shared" ca="1" si="434"/>
        <v>-7.8439030766296076</v>
      </c>
    </row>
    <row r="936" spans="1:34" x14ac:dyDescent="0.2">
      <c r="A936" s="347">
        <f t="shared" ca="1" si="412"/>
        <v>1E-4</v>
      </c>
      <c r="B936" s="304">
        <f t="shared" ca="1" si="413"/>
        <v>34.540700000001571</v>
      </c>
      <c r="D936" s="306">
        <f t="shared" ca="1" si="414"/>
        <v>-0.7102079460094235</v>
      </c>
      <c r="E936" s="307">
        <f t="shared" ca="1" si="415"/>
        <v>-1.9982805222850057</v>
      </c>
      <c r="F936" s="304">
        <f t="shared" ca="1" si="416"/>
        <v>2.1207358091753341</v>
      </c>
      <c r="G936" s="306">
        <f t="shared" ca="1" si="417"/>
        <v>10.907903569331932</v>
      </c>
      <c r="H936" s="307">
        <f t="shared" ca="1" si="418"/>
        <v>-119.97919759468819</v>
      </c>
      <c r="I936" s="304">
        <f t="shared" ca="1" si="419"/>
        <v>120.47402299144441</v>
      </c>
      <c r="J936" s="306">
        <f t="shared" ca="1" si="420"/>
        <v>770.52896740167785</v>
      </c>
      <c r="K936" s="307">
        <f t="shared" ca="1" si="421"/>
        <v>-13.944447248117456</v>
      </c>
      <c r="L936" s="304">
        <f t="shared" ca="1" si="406"/>
        <v>770.65513507284925</v>
      </c>
      <c r="M936" s="306">
        <f t="shared" ca="1" si="422"/>
        <v>-1.4801306217616657</v>
      </c>
      <c r="N936" s="304">
        <f t="shared" ca="1" si="423"/>
        <v>-84.805237755017842</v>
      </c>
      <c r="P936" s="310">
        <f t="shared" ca="1" si="424"/>
        <v>23</v>
      </c>
      <c r="Q936" s="304">
        <f t="shared" ca="1" si="425"/>
        <v>0</v>
      </c>
      <c r="R936" s="306">
        <f t="shared" ca="1" si="426"/>
        <v>0</v>
      </c>
      <c r="S936" s="307">
        <f t="shared" ca="1" si="427"/>
        <v>7.4499999999999984</v>
      </c>
      <c r="T936" s="304">
        <f t="shared" ca="1" si="407"/>
        <v>73.084499999999991</v>
      </c>
      <c r="U936" s="311">
        <f t="shared" ca="1" si="408"/>
        <v>0</v>
      </c>
      <c r="V936" s="306">
        <f t="shared" ca="1" si="409"/>
        <v>1.2267093866104655</v>
      </c>
      <c r="W936" s="304">
        <f t="shared" ca="1" si="410"/>
        <v>58.437591796669857</v>
      </c>
      <c r="Y936" s="314" t="str">
        <f t="shared" ca="1" si="428"/>
        <v/>
      </c>
      <c r="Z936" s="315" t="str">
        <f t="shared" ca="1" si="429"/>
        <v/>
      </c>
      <c r="AA936" s="316" t="str">
        <f t="shared" ca="1" si="430"/>
        <v/>
      </c>
      <c r="AC936" s="310" t="e">
        <f t="shared" ca="1" si="431"/>
        <v>#N/A</v>
      </c>
      <c r="AD936" s="323" t="e">
        <f t="shared" ca="1" si="432"/>
        <v>#N/A</v>
      </c>
      <c r="AE936" s="324" t="e">
        <f t="shared" ca="1" si="411"/>
        <v>#N/A</v>
      </c>
      <c r="AG936" s="306">
        <f t="shared" ca="1" si="433"/>
        <v>1.9257689681925818</v>
      </c>
      <c r="AH936" s="304">
        <f t="shared" ca="1" si="434"/>
        <v>-7.8439375650936149</v>
      </c>
    </row>
    <row r="937" spans="1:34" x14ac:dyDescent="0.2">
      <c r="A937" s="347">
        <f t="shared" ca="1" si="412"/>
        <v>1E-4</v>
      </c>
      <c r="B937" s="304">
        <f t="shared" ca="1" si="413"/>
        <v>34.540800000001575</v>
      </c>
      <c r="D937" s="306">
        <f t="shared" ca="1" si="414"/>
        <v>-0.7102053092673718</v>
      </c>
      <c r="E937" s="307">
        <f t="shared" ca="1" si="415"/>
        <v>-1.9982456521748153</v>
      </c>
      <c r="F937" s="304">
        <f t="shared" ca="1" si="416"/>
        <v>2.120702069539028</v>
      </c>
      <c r="G937" s="306">
        <f t="shared" ca="1" si="417"/>
        <v>10.907832548801006</v>
      </c>
      <c r="H937" s="307">
        <f t="shared" ca="1" si="418"/>
        <v>-119.9793974192534</v>
      </c>
      <c r="I937" s="304">
        <f t="shared" ca="1" si="419"/>
        <v>120.47421556499063</v>
      </c>
      <c r="J937" s="306">
        <f t="shared" ca="1" si="420"/>
        <v>770.52896740167785</v>
      </c>
      <c r="K937" s="307">
        <f t="shared" ca="1" si="421"/>
        <v>-13.956445177868153</v>
      </c>
      <c r="L937" s="304">
        <f t="shared" ca="1" si="406"/>
        <v>770.6553522600741</v>
      </c>
      <c r="M937" s="306">
        <f t="shared" ca="1" si="422"/>
        <v>-1.4801313590252396</v>
      </c>
      <c r="N937" s="304">
        <f t="shared" ca="1" si="423"/>
        <v>-84.805279997109025</v>
      </c>
      <c r="P937" s="310">
        <f t="shared" ca="1" si="424"/>
        <v>23</v>
      </c>
      <c r="Q937" s="304">
        <f t="shared" ca="1" si="425"/>
        <v>0</v>
      </c>
      <c r="R937" s="306">
        <f t="shared" ca="1" si="426"/>
        <v>0</v>
      </c>
      <c r="S937" s="307">
        <f t="shared" ca="1" si="427"/>
        <v>7.4499999999999984</v>
      </c>
      <c r="T937" s="304">
        <f t="shared" ca="1" si="407"/>
        <v>73.084499999999991</v>
      </c>
      <c r="U937" s="311">
        <f t="shared" ca="1" si="408"/>
        <v>0</v>
      </c>
      <c r="V937" s="306">
        <f t="shared" ca="1" si="409"/>
        <v>1.2267108584093687</v>
      </c>
      <c r="W937" s="304">
        <f t="shared" ca="1" si="410"/>
        <v>58.437848731057876</v>
      </c>
      <c r="Y937" s="314" t="str">
        <f t="shared" ca="1" si="428"/>
        <v/>
      </c>
      <c r="Z937" s="315" t="str">
        <f t="shared" ca="1" si="429"/>
        <v/>
      </c>
      <c r="AA937" s="316" t="str">
        <f t="shared" ca="1" si="430"/>
        <v/>
      </c>
      <c r="AC937" s="310" t="e">
        <f t="shared" ca="1" si="431"/>
        <v>#N/A</v>
      </c>
      <c r="AD937" s="323" t="e">
        <f t="shared" ca="1" si="432"/>
        <v>#N/A</v>
      </c>
      <c r="AE937" s="324" t="e">
        <f t="shared" ca="1" si="411"/>
        <v>#N/A</v>
      </c>
      <c r="AG937" s="306">
        <f t="shared" ca="1" si="433"/>
        <v>1.9257351348976588</v>
      </c>
      <c r="AH937" s="304">
        <f t="shared" ca="1" si="434"/>
        <v>-7.8439720532442774</v>
      </c>
    </row>
    <row r="938" spans="1:34" x14ac:dyDescent="0.2">
      <c r="A938" s="347">
        <f t="shared" ca="1" si="412"/>
        <v>1E-4</v>
      </c>
      <c r="B938" s="304">
        <f t="shared" ca="1" si="413"/>
        <v>34.540900000001578</v>
      </c>
      <c r="D938" s="306">
        <f t="shared" ca="1" si="414"/>
        <v>-0.71020267250182856</v>
      </c>
      <c r="E938" s="307">
        <f t="shared" ca="1" si="415"/>
        <v>-1.998210782381407</v>
      </c>
      <c r="F938" s="304">
        <f t="shared" ca="1" si="416"/>
        <v>2.1206683302331966</v>
      </c>
      <c r="G938" s="306">
        <f t="shared" ca="1" si="417"/>
        <v>10.907761528533756</v>
      </c>
      <c r="H938" s="307">
        <f t="shared" ca="1" si="418"/>
        <v>-119.97959724033164</v>
      </c>
      <c r="I938" s="304">
        <f t="shared" ca="1" si="419"/>
        <v>120.47440813515358</v>
      </c>
      <c r="J938" s="306">
        <f t="shared" ca="1" si="420"/>
        <v>770.52896740167785</v>
      </c>
      <c r="K938" s="307">
        <f t="shared" ca="1" si="421"/>
        <v>-13.968443127601132</v>
      </c>
      <c r="L938" s="304">
        <f t="shared" ca="1" si="406"/>
        <v>770.65556963438917</v>
      </c>
      <c r="M938" s="306">
        <f t="shared" ca="1" si="422"/>
        <v>-1.4801320962816562</v>
      </c>
      <c r="N938" s="304">
        <f t="shared" ca="1" si="423"/>
        <v>-84.805322238790112</v>
      </c>
      <c r="P938" s="310">
        <f t="shared" ca="1" si="424"/>
        <v>23</v>
      </c>
      <c r="Q938" s="304">
        <f t="shared" ca="1" si="425"/>
        <v>0</v>
      </c>
      <c r="R938" s="306">
        <f t="shared" ca="1" si="426"/>
        <v>0</v>
      </c>
      <c r="S938" s="307">
        <f t="shared" ca="1" si="427"/>
        <v>7.4499999999999984</v>
      </c>
      <c r="T938" s="304">
        <f t="shared" ca="1" si="407"/>
        <v>73.084499999999991</v>
      </c>
      <c r="U938" s="311">
        <f t="shared" ca="1" si="408"/>
        <v>0</v>
      </c>
      <c r="V938" s="306">
        <f t="shared" ca="1" si="409"/>
        <v>1.2267123302124905</v>
      </c>
      <c r="W938" s="304">
        <f t="shared" ca="1" si="410"/>
        <v>58.438105663111585</v>
      </c>
      <c r="Y938" s="314" t="str">
        <f t="shared" ca="1" si="428"/>
        <v/>
      </c>
      <c r="Z938" s="315" t="str">
        <f t="shared" ca="1" si="429"/>
        <v/>
      </c>
      <c r="AA938" s="316" t="str">
        <f t="shared" ca="1" si="430"/>
        <v/>
      </c>
      <c r="AC938" s="310" t="e">
        <f t="shared" ca="1" si="431"/>
        <v>#N/A</v>
      </c>
      <c r="AD938" s="323" t="e">
        <f t="shared" ca="1" si="432"/>
        <v>#N/A</v>
      </c>
      <c r="AE938" s="324" t="e">
        <f t="shared" ca="1" si="411"/>
        <v>#N/A</v>
      </c>
      <c r="AG938" s="306">
        <f t="shared" ca="1" si="433"/>
        <v>1.9257013019044109</v>
      </c>
      <c r="AH938" s="304">
        <f t="shared" ca="1" si="434"/>
        <v>-7.8440065410815958</v>
      </c>
    </row>
    <row r="939" spans="1:34" x14ac:dyDescent="0.2">
      <c r="A939" s="347">
        <f t="shared" ca="1" si="412"/>
        <v>1E-4</v>
      </c>
      <c r="B939" s="304">
        <f t="shared" ca="1" si="413"/>
        <v>34.541000000001581</v>
      </c>
      <c r="D939" s="306">
        <f t="shared" ca="1" si="414"/>
        <v>-0.71020003571279811</v>
      </c>
      <c r="E939" s="307">
        <f t="shared" ca="1" si="415"/>
        <v>-1.9981759129047667</v>
      </c>
      <c r="F939" s="304">
        <f t="shared" ca="1" si="416"/>
        <v>2.1206345912578288</v>
      </c>
      <c r="G939" s="306">
        <f t="shared" ca="1" si="417"/>
        <v>10.907690508530186</v>
      </c>
      <c r="H939" s="307">
        <f t="shared" ca="1" si="418"/>
        <v>-119.97979705792294</v>
      </c>
      <c r="I939" s="304">
        <f t="shared" ca="1" si="419"/>
        <v>120.47460070193324</v>
      </c>
      <c r="J939" s="306">
        <f t="shared" ca="1" si="420"/>
        <v>770.52896740167785</v>
      </c>
      <c r="K939" s="307">
        <f t="shared" ca="1" si="421"/>
        <v>-13.980441097316044</v>
      </c>
      <c r="L939" s="304">
        <f t="shared" ca="1" si="406"/>
        <v>770.6557871957956</v>
      </c>
      <c r="M939" s="306">
        <f t="shared" ca="1" si="422"/>
        <v>-1.4801328335309156</v>
      </c>
      <c r="N939" s="304">
        <f t="shared" ca="1" si="423"/>
        <v>-84.805364480061129</v>
      </c>
      <c r="P939" s="310">
        <f t="shared" ca="1" si="424"/>
        <v>23</v>
      </c>
      <c r="Q939" s="304">
        <f t="shared" ca="1" si="425"/>
        <v>0</v>
      </c>
      <c r="R939" s="306">
        <f t="shared" ca="1" si="426"/>
        <v>0</v>
      </c>
      <c r="S939" s="307">
        <f t="shared" ca="1" si="427"/>
        <v>7.4499999999999984</v>
      </c>
      <c r="T939" s="304">
        <f t="shared" ca="1" si="407"/>
        <v>73.084499999999991</v>
      </c>
      <c r="U939" s="311">
        <f t="shared" ca="1" si="408"/>
        <v>0</v>
      </c>
      <c r="V939" s="306">
        <f t="shared" ca="1" si="409"/>
        <v>1.2267138020198307</v>
      </c>
      <c r="W939" s="304">
        <f t="shared" ca="1" si="410"/>
        <v>58.438362592830885</v>
      </c>
      <c r="Y939" s="314" t="str">
        <f t="shared" ca="1" si="428"/>
        <v/>
      </c>
      <c r="Z939" s="315" t="str">
        <f t="shared" ca="1" si="429"/>
        <v/>
      </c>
      <c r="AA939" s="316" t="str">
        <f t="shared" ca="1" si="430"/>
        <v/>
      </c>
      <c r="AC939" s="310" t="e">
        <f t="shared" ca="1" si="431"/>
        <v>#N/A</v>
      </c>
      <c r="AD939" s="323" t="e">
        <f t="shared" ca="1" si="432"/>
        <v>#N/A</v>
      </c>
      <c r="AE939" s="324" t="e">
        <f t="shared" ca="1" si="411"/>
        <v>#N/A</v>
      </c>
      <c r="AG939" s="306">
        <f t="shared" ca="1" si="433"/>
        <v>1.9256674692128302</v>
      </c>
      <c r="AH939" s="304">
        <f t="shared" ca="1" si="434"/>
        <v>-7.8440410286055835</v>
      </c>
    </row>
    <row r="940" spans="1:34" x14ac:dyDescent="0.2">
      <c r="A940" s="347">
        <f t="shared" ca="1" si="412"/>
        <v>1E-4</v>
      </c>
      <c r="B940" s="304">
        <f t="shared" ca="1" si="413"/>
        <v>34.541100000001585</v>
      </c>
      <c r="D940" s="306">
        <f t="shared" ca="1" si="414"/>
        <v>-0.71019739890027922</v>
      </c>
      <c r="E940" s="307">
        <f t="shared" ca="1" si="415"/>
        <v>-1.9981410437449085</v>
      </c>
      <c r="F940" s="304">
        <f t="shared" ca="1" si="416"/>
        <v>2.1206008526129367</v>
      </c>
      <c r="G940" s="306">
        <f t="shared" ca="1" si="417"/>
        <v>10.907619488790296</v>
      </c>
      <c r="H940" s="307">
        <f t="shared" ca="1" si="418"/>
        <v>-119.97999687202731</v>
      </c>
      <c r="I940" s="304">
        <f t="shared" ca="1" si="419"/>
        <v>120.47479326532967</v>
      </c>
      <c r="J940" s="306">
        <f t="shared" ca="1" si="420"/>
        <v>770.52896740167785</v>
      </c>
      <c r="K940" s="307">
        <f t="shared" ca="1" si="421"/>
        <v>-13.992439087012542</v>
      </c>
      <c r="L940" s="304">
        <f t="shared" ca="1" si="406"/>
        <v>770.65600494429407</v>
      </c>
      <c r="M940" s="306">
        <f t="shared" ca="1" si="422"/>
        <v>-1.4801335707730181</v>
      </c>
      <c r="N940" s="304">
        <f t="shared" ca="1" si="423"/>
        <v>-84.805406720922079</v>
      </c>
      <c r="P940" s="310">
        <f t="shared" ca="1" si="424"/>
        <v>23</v>
      </c>
      <c r="Q940" s="304">
        <f t="shared" ca="1" si="425"/>
        <v>0</v>
      </c>
      <c r="R940" s="306">
        <f t="shared" ca="1" si="426"/>
        <v>0</v>
      </c>
      <c r="S940" s="307">
        <f t="shared" ca="1" si="427"/>
        <v>7.4499999999999984</v>
      </c>
      <c r="T940" s="304">
        <f t="shared" ca="1" si="407"/>
        <v>73.084499999999991</v>
      </c>
      <c r="U940" s="311">
        <f t="shared" ca="1" si="408"/>
        <v>0</v>
      </c>
      <c r="V940" s="306">
        <f t="shared" ca="1" si="409"/>
        <v>1.2267152738313891</v>
      </c>
      <c r="W940" s="304">
        <f t="shared" ca="1" si="410"/>
        <v>58.438619520215831</v>
      </c>
      <c r="Y940" s="314" t="str">
        <f t="shared" ca="1" si="428"/>
        <v/>
      </c>
      <c r="Z940" s="315" t="str">
        <f t="shared" ca="1" si="429"/>
        <v/>
      </c>
      <c r="AA940" s="316" t="str">
        <f t="shared" ca="1" si="430"/>
        <v/>
      </c>
      <c r="AC940" s="310" t="e">
        <f t="shared" ca="1" si="431"/>
        <v>#N/A</v>
      </c>
      <c r="AD940" s="323" t="e">
        <f t="shared" ca="1" si="432"/>
        <v>#N/A</v>
      </c>
      <c r="AE940" s="324" t="e">
        <f t="shared" ca="1" si="411"/>
        <v>#N/A</v>
      </c>
      <c r="AG940" s="306">
        <f t="shared" ca="1" si="433"/>
        <v>1.9256336368229219</v>
      </c>
      <c r="AH940" s="304">
        <f t="shared" ca="1" si="434"/>
        <v>-7.8440755158162281</v>
      </c>
    </row>
    <row r="941" spans="1:34" x14ac:dyDescent="0.2">
      <c r="A941" s="347">
        <f t="shared" ca="1" si="412"/>
        <v>1E-4</v>
      </c>
      <c r="B941" s="304">
        <f t="shared" ca="1" si="413"/>
        <v>34.541200000001588</v>
      </c>
      <c r="D941" s="306">
        <f t="shared" ca="1" si="414"/>
        <v>-0.71019476206427179</v>
      </c>
      <c r="E941" s="307">
        <f t="shared" ca="1" si="415"/>
        <v>-1.9981061749018245</v>
      </c>
      <c r="F941" s="304">
        <f t="shared" ca="1" si="416"/>
        <v>2.1205671142985145</v>
      </c>
      <c r="G941" s="306">
        <f t="shared" ca="1" si="417"/>
        <v>10.90754846931409</v>
      </c>
      <c r="H941" s="307">
        <f t="shared" ca="1" si="418"/>
        <v>-119.9801966826448</v>
      </c>
      <c r="I941" s="304">
        <f t="shared" ca="1" si="419"/>
        <v>120.47498582534288</v>
      </c>
      <c r="J941" s="306">
        <f t="shared" ca="1" si="420"/>
        <v>770.52896740167785</v>
      </c>
      <c r="K941" s="307">
        <f t="shared" ca="1" si="421"/>
        <v>-14.004437096690276</v>
      </c>
      <c r="L941" s="304">
        <f t="shared" ca="1" si="406"/>
        <v>770.65622287988515</v>
      </c>
      <c r="M941" s="306">
        <f t="shared" ca="1" si="422"/>
        <v>-1.4801343080079639</v>
      </c>
      <c r="N941" s="304">
        <f t="shared" ca="1" si="423"/>
        <v>-84.805448961372974</v>
      </c>
      <c r="P941" s="310">
        <f t="shared" ca="1" si="424"/>
        <v>23</v>
      </c>
      <c r="Q941" s="304">
        <f t="shared" ca="1" si="425"/>
        <v>0</v>
      </c>
      <c r="R941" s="306">
        <f t="shared" ca="1" si="426"/>
        <v>0</v>
      </c>
      <c r="S941" s="307">
        <f t="shared" ca="1" si="427"/>
        <v>7.4499999999999984</v>
      </c>
      <c r="T941" s="304">
        <f t="shared" ca="1" si="407"/>
        <v>73.084499999999991</v>
      </c>
      <c r="U941" s="311">
        <f t="shared" ca="1" si="408"/>
        <v>0</v>
      </c>
      <c r="V941" s="306">
        <f t="shared" ca="1" si="409"/>
        <v>1.2267167456471659</v>
      </c>
      <c r="W941" s="304">
        <f t="shared" ca="1" si="410"/>
        <v>58.438876445266395</v>
      </c>
      <c r="Y941" s="314" t="str">
        <f t="shared" ca="1" si="428"/>
        <v/>
      </c>
      <c r="Z941" s="315" t="str">
        <f t="shared" ca="1" si="429"/>
        <v/>
      </c>
      <c r="AA941" s="316" t="str">
        <f t="shared" ca="1" si="430"/>
        <v/>
      </c>
      <c r="AC941" s="310" t="e">
        <f t="shared" ca="1" si="431"/>
        <v>#N/A</v>
      </c>
      <c r="AD941" s="323" t="e">
        <f t="shared" ca="1" si="432"/>
        <v>#N/A</v>
      </c>
      <c r="AE941" s="324" t="e">
        <f t="shared" ca="1" si="411"/>
        <v>#N/A</v>
      </c>
      <c r="AG941" s="306">
        <f t="shared" ca="1" si="433"/>
        <v>1.9255998047346834</v>
      </c>
      <c r="AH941" s="304">
        <f t="shared" ca="1" si="434"/>
        <v>-7.8441100027135358</v>
      </c>
    </row>
    <row r="942" spans="1:34" x14ac:dyDescent="0.2">
      <c r="A942" s="347">
        <f t="shared" ca="1" si="412"/>
        <v>1E-4</v>
      </c>
      <c r="B942" s="304">
        <f t="shared" ca="1" si="413"/>
        <v>34.541300000001591</v>
      </c>
      <c r="D942" s="306">
        <f t="shared" ca="1" si="414"/>
        <v>-0.7101921252047757</v>
      </c>
      <c r="E942" s="307">
        <f t="shared" ca="1" si="415"/>
        <v>-1.9980713063755164</v>
      </c>
      <c r="F942" s="304">
        <f t="shared" ca="1" si="416"/>
        <v>2.1205333763145626</v>
      </c>
      <c r="G942" s="306">
        <f t="shared" ca="1" si="417"/>
        <v>10.90747745010157</v>
      </c>
      <c r="H942" s="307">
        <f t="shared" ca="1" si="418"/>
        <v>-119.98039648977544</v>
      </c>
      <c r="I942" s="304">
        <f t="shared" ca="1" si="419"/>
        <v>120.47517838197291</v>
      </c>
      <c r="J942" s="306">
        <f t="shared" ca="1" si="420"/>
        <v>770.52896740167785</v>
      </c>
      <c r="K942" s="307">
        <f t="shared" ca="1" si="421"/>
        <v>-14.016435126348897</v>
      </c>
      <c r="L942" s="304">
        <f t="shared" ca="1" si="406"/>
        <v>770.65644100256964</v>
      </c>
      <c r="M942" s="306">
        <f t="shared" ca="1" si="422"/>
        <v>-1.4801350452357527</v>
      </c>
      <c r="N942" s="304">
        <f t="shared" ca="1" si="423"/>
        <v>-84.805491201413815</v>
      </c>
      <c r="P942" s="310">
        <f t="shared" ca="1" si="424"/>
        <v>23</v>
      </c>
      <c r="Q942" s="304">
        <f t="shared" ca="1" si="425"/>
        <v>0</v>
      </c>
      <c r="R942" s="306">
        <f t="shared" ca="1" si="426"/>
        <v>0</v>
      </c>
      <c r="S942" s="307">
        <f t="shared" ca="1" si="427"/>
        <v>7.4499999999999984</v>
      </c>
      <c r="T942" s="304">
        <f t="shared" ca="1" si="407"/>
        <v>73.084499999999991</v>
      </c>
      <c r="U942" s="311">
        <f t="shared" ca="1" si="408"/>
        <v>0</v>
      </c>
      <c r="V942" s="306">
        <f t="shared" ca="1" si="409"/>
        <v>1.2267182174671609</v>
      </c>
      <c r="W942" s="304">
        <f t="shared" ca="1" si="410"/>
        <v>58.439133367982606</v>
      </c>
      <c r="Y942" s="314" t="str">
        <f t="shared" ca="1" si="428"/>
        <v/>
      </c>
      <c r="Z942" s="315" t="str">
        <f t="shared" ca="1" si="429"/>
        <v/>
      </c>
      <c r="AA942" s="316" t="str">
        <f t="shared" ca="1" si="430"/>
        <v/>
      </c>
      <c r="AC942" s="310" t="e">
        <f t="shared" ca="1" si="431"/>
        <v>#N/A</v>
      </c>
      <c r="AD942" s="323" t="e">
        <f t="shared" ca="1" si="432"/>
        <v>#N/A</v>
      </c>
      <c r="AE942" s="324" t="e">
        <f t="shared" ca="1" si="411"/>
        <v>#N/A</v>
      </c>
      <c r="AG942" s="306">
        <f t="shared" ca="1" si="433"/>
        <v>1.9255659729481183</v>
      </c>
      <c r="AH942" s="304">
        <f t="shared" ca="1" si="434"/>
        <v>-7.8441444892975047</v>
      </c>
    </row>
    <row r="943" spans="1:34" x14ac:dyDescent="0.2">
      <c r="A943" s="347">
        <f t="shared" ca="1" si="412"/>
        <v>1E-4</v>
      </c>
      <c r="B943" s="304">
        <f t="shared" ca="1" si="413"/>
        <v>34.541400000001595</v>
      </c>
      <c r="D943" s="306">
        <f t="shared" ca="1" si="414"/>
        <v>-0.71018948832179418</v>
      </c>
      <c r="E943" s="307">
        <f t="shared" ca="1" si="415"/>
        <v>-1.9980364381659843</v>
      </c>
      <c r="F943" s="304">
        <f t="shared" ca="1" si="416"/>
        <v>2.1204996386610833</v>
      </c>
      <c r="G943" s="306">
        <f t="shared" ca="1" si="417"/>
        <v>10.907406431152738</v>
      </c>
      <c r="H943" s="307">
        <f t="shared" ca="1" si="418"/>
        <v>-119.98059629341925</v>
      </c>
      <c r="I943" s="304">
        <f t="shared" ca="1" si="419"/>
        <v>120.4753709352198</v>
      </c>
      <c r="J943" s="306">
        <f t="shared" ca="1" si="420"/>
        <v>770.52896740167785</v>
      </c>
      <c r="K943" s="307">
        <f t="shared" ca="1" si="421"/>
        <v>-14.028433175988058</v>
      </c>
      <c r="L943" s="304">
        <f t="shared" ca="1" si="406"/>
        <v>770.65665931234844</v>
      </c>
      <c r="M943" s="306">
        <f t="shared" ca="1" si="422"/>
        <v>-1.4801357824563848</v>
      </c>
      <c r="N943" s="304">
        <f t="shared" ca="1" si="423"/>
        <v>-84.805533441044602</v>
      </c>
      <c r="P943" s="310">
        <f t="shared" ca="1" si="424"/>
        <v>23</v>
      </c>
      <c r="Q943" s="304">
        <f t="shared" ca="1" si="425"/>
        <v>0</v>
      </c>
      <c r="R943" s="306">
        <f t="shared" ca="1" si="426"/>
        <v>0</v>
      </c>
      <c r="S943" s="307">
        <f t="shared" ca="1" si="427"/>
        <v>7.4499999999999984</v>
      </c>
      <c r="T943" s="304">
        <f t="shared" ca="1" si="407"/>
        <v>73.084499999999991</v>
      </c>
      <c r="U943" s="311">
        <f t="shared" ca="1" si="408"/>
        <v>0</v>
      </c>
      <c r="V943" s="306">
        <f t="shared" ca="1" si="409"/>
        <v>1.2267196892913739</v>
      </c>
      <c r="W943" s="304">
        <f t="shared" ca="1" si="410"/>
        <v>58.439390288364443</v>
      </c>
      <c r="Y943" s="314" t="str">
        <f t="shared" ca="1" si="428"/>
        <v/>
      </c>
      <c r="Z943" s="315" t="str">
        <f t="shared" ca="1" si="429"/>
        <v/>
      </c>
      <c r="AA943" s="316" t="str">
        <f t="shared" ca="1" si="430"/>
        <v/>
      </c>
      <c r="AC943" s="310" t="e">
        <f t="shared" ca="1" si="431"/>
        <v>#N/A</v>
      </c>
      <c r="AD943" s="323" t="e">
        <f t="shared" ca="1" si="432"/>
        <v>#N/A</v>
      </c>
      <c r="AE943" s="324" t="e">
        <f t="shared" ca="1" si="411"/>
        <v>#N/A</v>
      </c>
      <c r="AG943" s="306">
        <f t="shared" ca="1" si="433"/>
        <v>1.9255321414632247</v>
      </c>
      <c r="AH943" s="304">
        <f t="shared" ca="1" si="434"/>
        <v>-7.8441789755681368</v>
      </c>
    </row>
    <row r="944" spans="1:34" x14ac:dyDescent="0.2">
      <c r="A944" s="347">
        <f t="shared" ca="1" si="412"/>
        <v>1E-4</v>
      </c>
      <c r="B944" s="304">
        <f t="shared" ca="1" si="413"/>
        <v>34.541500000001598</v>
      </c>
      <c r="D944" s="306">
        <f t="shared" ca="1" si="414"/>
        <v>-0.71018685141532667</v>
      </c>
      <c r="E944" s="307">
        <f t="shared" ca="1" si="415"/>
        <v>-1.9980015702732281</v>
      </c>
      <c r="F944" s="304">
        <f t="shared" ca="1" si="416"/>
        <v>2.1204659013380764</v>
      </c>
      <c r="G944" s="306">
        <f t="shared" ca="1" si="417"/>
        <v>10.907335412467598</v>
      </c>
      <c r="H944" s="307">
        <f t="shared" ca="1" si="418"/>
        <v>-119.98079609357629</v>
      </c>
      <c r="I944" s="304">
        <f t="shared" ca="1" si="419"/>
        <v>120.47556348508357</v>
      </c>
      <c r="J944" s="306">
        <f t="shared" ca="1" si="420"/>
        <v>770.52896740167785</v>
      </c>
      <c r="K944" s="307">
        <f t="shared" ca="1" si="421"/>
        <v>-14.040431245607408</v>
      </c>
      <c r="L944" s="304">
        <f t="shared" ca="1" si="406"/>
        <v>770.65687780922224</v>
      </c>
      <c r="M944" s="306">
        <f t="shared" ca="1" si="422"/>
        <v>-1.4801365196698602</v>
      </c>
      <c r="N944" s="304">
        <f t="shared" ca="1" si="423"/>
        <v>-84.805575680265349</v>
      </c>
      <c r="P944" s="310">
        <f t="shared" ca="1" si="424"/>
        <v>23</v>
      </c>
      <c r="Q944" s="304">
        <f t="shared" ca="1" si="425"/>
        <v>0</v>
      </c>
      <c r="R944" s="306">
        <f t="shared" ca="1" si="426"/>
        <v>0</v>
      </c>
      <c r="S944" s="307">
        <f t="shared" ca="1" si="427"/>
        <v>7.4499999999999984</v>
      </c>
      <c r="T944" s="304">
        <f t="shared" ca="1" si="407"/>
        <v>73.084499999999991</v>
      </c>
      <c r="U944" s="311">
        <f t="shared" ca="1" si="408"/>
        <v>0</v>
      </c>
      <c r="V944" s="306">
        <f t="shared" ca="1" si="409"/>
        <v>1.2267211611198054</v>
      </c>
      <c r="W944" s="304">
        <f t="shared" ca="1" si="410"/>
        <v>58.439647206411948</v>
      </c>
      <c r="Y944" s="314" t="str">
        <f t="shared" ca="1" si="428"/>
        <v/>
      </c>
      <c r="Z944" s="315" t="str">
        <f t="shared" ca="1" si="429"/>
        <v/>
      </c>
      <c r="AA944" s="316" t="str">
        <f t="shared" ca="1" si="430"/>
        <v/>
      </c>
      <c r="AC944" s="310" t="e">
        <f t="shared" ca="1" si="431"/>
        <v>#N/A</v>
      </c>
      <c r="AD944" s="323" t="e">
        <f t="shared" ca="1" si="432"/>
        <v>#N/A</v>
      </c>
      <c r="AE944" s="324" t="e">
        <f t="shared" ca="1" si="411"/>
        <v>#N/A</v>
      </c>
      <c r="AG944" s="306">
        <f t="shared" ca="1" si="433"/>
        <v>1.9254983102800027</v>
      </c>
      <c r="AH944" s="304">
        <f t="shared" ca="1" si="434"/>
        <v>-7.8442134615254302</v>
      </c>
    </row>
    <row r="945" spans="1:34" x14ac:dyDescent="0.2">
      <c r="A945" s="347">
        <f t="shared" ca="1" si="412"/>
        <v>1E-4</v>
      </c>
      <c r="B945" s="304">
        <f t="shared" ca="1" si="413"/>
        <v>34.541600000001601</v>
      </c>
      <c r="D945" s="306">
        <f t="shared" ca="1" si="414"/>
        <v>-0.71018421448537528</v>
      </c>
      <c r="E945" s="307">
        <f t="shared" ca="1" si="415"/>
        <v>-1.9979667026972434</v>
      </c>
      <c r="F945" s="304">
        <f t="shared" ca="1" si="416"/>
        <v>2.1204321643455386</v>
      </c>
      <c r="G945" s="306">
        <f t="shared" ca="1" si="417"/>
        <v>10.907264394046148</v>
      </c>
      <c r="H945" s="307">
        <f t="shared" ca="1" si="418"/>
        <v>-119.98099589024656</v>
      </c>
      <c r="I945" s="304">
        <f t="shared" ca="1" si="419"/>
        <v>120.47575603156425</v>
      </c>
      <c r="J945" s="306">
        <f t="shared" ca="1" si="420"/>
        <v>770.52896740167785</v>
      </c>
      <c r="K945" s="307">
        <f t="shared" ca="1" si="421"/>
        <v>-14.052429335206599</v>
      </c>
      <c r="L945" s="304">
        <f t="shared" ca="1" si="406"/>
        <v>770.65709649319194</v>
      </c>
      <c r="M945" s="306">
        <f t="shared" ca="1" si="422"/>
        <v>-1.4801372568761793</v>
      </c>
      <c r="N945" s="304">
        <f t="shared" ca="1" si="423"/>
        <v>-84.805617919076056</v>
      </c>
      <c r="P945" s="310">
        <f t="shared" ca="1" si="424"/>
        <v>23</v>
      </c>
      <c r="Q945" s="304">
        <f t="shared" ca="1" si="425"/>
        <v>0</v>
      </c>
      <c r="R945" s="306">
        <f t="shared" ca="1" si="426"/>
        <v>0</v>
      </c>
      <c r="S945" s="307">
        <f t="shared" ca="1" si="427"/>
        <v>7.4499999999999984</v>
      </c>
      <c r="T945" s="304">
        <f t="shared" ca="1" si="407"/>
        <v>73.084499999999991</v>
      </c>
      <c r="U945" s="311">
        <f t="shared" ca="1" si="408"/>
        <v>0</v>
      </c>
      <c r="V945" s="306">
        <f t="shared" ca="1" si="409"/>
        <v>1.2267226329524545</v>
      </c>
      <c r="W945" s="304">
        <f t="shared" ca="1" si="410"/>
        <v>58.439904122125071</v>
      </c>
      <c r="Y945" s="314" t="str">
        <f t="shared" ca="1" si="428"/>
        <v/>
      </c>
      <c r="Z945" s="315" t="str">
        <f t="shared" ca="1" si="429"/>
        <v/>
      </c>
      <c r="AA945" s="316" t="str">
        <f t="shared" ca="1" si="430"/>
        <v/>
      </c>
      <c r="AC945" s="310" t="e">
        <f t="shared" ca="1" si="431"/>
        <v>#N/A</v>
      </c>
      <c r="AD945" s="323" t="e">
        <f t="shared" ca="1" si="432"/>
        <v>#N/A</v>
      </c>
      <c r="AE945" s="324" t="e">
        <f t="shared" ca="1" si="411"/>
        <v>#N/A</v>
      </c>
      <c r="AG945" s="306">
        <f t="shared" ca="1" si="433"/>
        <v>1.9254644793984488</v>
      </c>
      <c r="AH945" s="304">
        <f t="shared" ca="1" si="434"/>
        <v>-7.8442479471693902</v>
      </c>
    </row>
    <row r="946" spans="1:34" x14ac:dyDescent="0.2">
      <c r="A946" s="347">
        <f t="shared" ca="1" si="412"/>
        <v>1E-4</v>
      </c>
      <c r="B946" s="304">
        <f t="shared" ca="1" si="413"/>
        <v>34.541700000001605</v>
      </c>
      <c r="D946" s="306">
        <f t="shared" ca="1" si="414"/>
        <v>-0.71018157753193734</v>
      </c>
      <c r="E946" s="307">
        <f t="shared" ca="1" si="415"/>
        <v>-1.9979318354380355</v>
      </c>
      <c r="F946" s="304">
        <f t="shared" ca="1" si="416"/>
        <v>2.1203984276834738</v>
      </c>
      <c r="G946" s="306">
        <f t="shared" ca="1" si="417"/>
        <v>10.907193375888395</v>
      </c>
      <c r="H946" s="307">
        <f t="shared" ca="1" si="418"/>
        <v>-119.9811956834301</v>
      </c>
      <c r="I946" s="304">
        <f t="shared" ca="1" si="419"/>
        <v>120.47594857466187</v>
      </c>
      <c r="J946" s="306">
        <f t="shared" ca="1" si="420"/>
        <v>770.52896740167785</v>
      </c>
      <c r="K946" s="307">
        <f t="shared" ca="1" si="421"/>
        <v>-14.064427444785283</v>
      </c>
      <c r="L946" s="304">
        <f t="shared" ca="1" si="406"/>
        <v>770.65731536425812</v>
      </c>
      <c r="M946" s="306">
        <f t="shared" ca="1" si="422"/>
        <v>-1.4801379940753419</v>
      </c>
      <c r="N946" s="304">
        <f t="shared" ca="1" si="423"/>
        <v>-84.805660157476737</v>
      </c>
      <c r="P946" s="310">
        <f t="shared" ca="1" si="424"/>
        <v>23</v>
      </c>
      <c r="Q946" s="304">
        <f t="shared" ca="1" si="425"/>
        <v>0</v>
      </c>
      <c r="R946" s="306">
        <f t="shared" ca="1" si="426"/>
        <v>0</v>
      </c>
      <c r="S946" s="307">
        <f t="shared" ca="1" si="427"/>
        <v>7.4499999999999984</v>
      </c>
      <c r="T946" s="304">
        <f t="shared" ca="1" si="407"/>
        <v>73.084499999999991</v>
      </c>
      <c r="U946" s="311">
        <f t="shared" ca="1" si="408"/>
        <v>0</v>
      </c>
      <c r="V946" s="306">
        <f t="shared" ca="1" si="409"/>
        <v>1.226724104789322</v>
      </c>
      <c r="W946" s="304">
        <f t="shared" ca="1" si="410"/>
        <v>58.44016103550387</v>
      </c>
      <c r="Y946" s="314" t="str">
        <f t="shared" ca="1" si="428"/>
        <v/>
      </c>
      <c r="Z946" s="315" t="str">
        <f t="shared" ca="1" si="429"/>
        <v/>
      </c>
      <c r="AA946" s="316" t="str">
        <f t="shared" ca="1" si="430"/>
        <v/>
      </c>
      <c r="AC946" s="310" t="e">
        <f t="shared" ca="1" si="431"/>
        <v>#N/A</v>
      </c>
      <c r="AD946" s="323" t="e">
        <f t="shared" ca="1" si="432"/>
        <v>#N/A</v>
      </c>
      <c r="AE946" s="324" t="e">
        <f t="shared" ca="1" si="411"/>
        <v>#N/A</v>
      </c>
      <c r="AG946" s="306">
        <f t="shared" ca="1" si="433"/>
        <v>1.9254306488185682</v>
      </c>
      <c r="AH946" s="304">
        <f t="shared" ca="1" si="434"/>
        <v>-7.8442824325000116</v>
      </c>
    </row>
    <row r="947" spans="1:34" x14ac:dyDescent="0.2">
      <c r="A947" s="347">
        <f t="shared" ca="1" si="412"/>
        <v>1E-4</v>
      </c>
      <c r="B947" s="304">
        <f t="shared" ca="1" si="413"/>
        <v>34.541800000001608</v>
      </c>
      <c r="D947" s="306">
        <f t="shared" ca="1" si="414"/>
        <v>-0.71017894055501651</v>
      </c>
      <c r="E947" s="307">
        <f t="shared" ca="1" si="415"/>
        <v>-1.9978969684955983</v>
      </c>
      <c r="F947" s="304">
        <f t="shared" ca="1" si="416"/>
        <v>2.1203646913518788</v>
      </c>
      <c r="G947" s="306">
        <f t="shared" ca="1" si="417"/>
        <v>10.907122357994339</v>
      </c>
      <c r="H947" s="307">
        <f t="shared" ca="1" si="418"/>
        <v>-119.98139547312695</v>
      </c>
      <c r="I947" s="304">
        <f t="shared" ca="1" si="419"/>
        <v>120.47614111437645</v>
      </c>
      <c r="J947" s="306">
        <f t="shared" ca="1" si="420"/>
        <v>770.52896740167785</v>
      </c>
      <c r="K947" s="307">
        <f t="shared" ca="1" si="421"/>
        <v>-14.07642557434311</v>
      </c>
      <c r="L947" s="304">
        <f t="shared" ca="1" si="406"/>
        <v>770.65753442242158</v>
      </c>
      <c r="M947" s="306">
        <f t="shared" ca="1" si="422"/>
        <v>-1.4801387312673482</v>
      </c>
      <c r="N947" s="304">
        <f t="shared" ca="1" si="423"/>
        <v>-84.805702395467392</v>
      </c>
      <c r="P947" s="310">
        <f t="shared" ca="1" si="424"/>
        <v>23</v>
      </c>
      <c r="Q947" s="304">
        <f t="shared" ca="1" si="425"/>
        <v>0</v>
      </c>
      <c r="R947" s="306">
        <f t="shared" ca="1" si="426"/>
        <v>0</v>
      </c>
      <c r="S947" s="307">
        <f t="shared" ca="1" si="427"/>
        <v>7.4499999999999984</v>
      </c>
      <c r="T947" s="304">
        <f t="shared" ca="1" si="407"/>
        <v>73.084499999999991</v>
      </c>
      <c r="U947" s="311">
        <f t="shared" ca="1" si="408"/>
        <v>0</v>
      </c>
      <c r="V947" s="306">
        <f t="shared" ca="1" si="409"/>
        <v>1.2267255766304075</v>
      </c>
      <c r="W947" s="304">
        <f t="shared" ca="1" si="410"/>
        <v>58.44041794654828</v>
      </c>
      <c r="Y947" s="314" t="str">
        <f t="shared" ca="1" si="428"/>
        <v/>
      </c>
      <c r="Z947" s="315" t="str">
        <f t="shared" ca="1" si="429"/>
        <v/>
      </c>
      <c r="AA947" s="316" t="str">
        <f t="shared" ca="1" si="430"/>
        <v/>
      </c>
      <c r="AC947" s="310" t="e">
        <f t="shared" ca="1" si="431"/>
        <v>#N/A</v>
      </c>
      <c r="AD947" s="323" t="e">
        <f t="shared" ca="1" si="432"/>
        <v>#N/A</v>
      </c>
      <c r="AE947" s="324" t="e">
        <f t="shared" ca="1" si="411"/>
        <v>#N/A</v>
      </c>
      <c r="AG947" s="306">
        <f t="shared" ca="1" si="433"/>
        <v>1.9253968185403538</v>
      </c>
      <c r="AH947" s="304">
        <f t="shared" ca="1" si="434"/>
        <v>-7.8443169175172995</v>
      </c>
    </row>
    <row r="948" spans="1:34" x14ac:dyDescent="0.2">
      <c r="A948" s="347">
        <f t="shared" ca="1" si="412"/>
        <v>1E-4</v>
      </c>
      <c r="B948" s="304">
        <f t="shared" ca="1" si="413"/>
        <v>34.541900000001611</v>
      </c>
      <c r="D948" s="306">
        <f t="shared" ca="1" si="414"/>
        <v>-0.71017630355461181</v>
      </c>
      <c r="E948" s="307">
        <f t="shared" ca="1" si="415"/>
        <v>-1.9978621018699396</v>
      </c>
      <c r="F948" s="304">
        <f t="shared" ca="1" si="416"/>
        <v>2.1203309553507594</v>
      </c>
      <c r="G948" s="306">
        <f t="shared" ca="1" si="417"/>
        <v>10.907051340363983</v>
      </c>
      <c r="H948" s="307">
        <f t="shared" ca="1" si="418"/>
        <v>-119.98159525933714</v>
      </c>
      <c r="I948" s="304">
        <f t="shared" ca="1" si="419"/>
        <v>120.47633365070804</v>
      </c>
      <c r="J948" s="306">
        <f t="shared" ca="1" si="420"/>
        <v>770.52896740167785</v>
      </c>
      <c r="K948" s="307">
        <f t="shared" ca="1" si="421"/>
        <v>-14.088423723879734</v>
      </c>
      <c r="L948" s="304">
        <f t="shared" ca="1" si="406"/>
        <v>770.65775366768321</v>
      </c>
      <c r="M948" s="306">
        <f t="shared" ca="1" si="422"/>
        <v>-1.4801394684521985</v>
      </c>
      <c r="N948" s="304">
        <f t="shared" ca="1" si="423"/>
        <v>-84.805744633048036</v>
      </c>
      <c r="P948" s="310">
        <f t="shared" ca="1" si="424"/>
        <v>23</v>
      </c>
      <c r="Q948" s="304">
        <f t="shared" ca="1" si="425"/>
        <v>0</v>
      </c>
      <c r="R948" s="306">
        <f t="shared" ca="1" si="426"/>
        <v>0</v>
      </c>
      <c r="S948" s="307">
        <f t="shared" ca="1" si="427"/>
        <v>7.4499999999999984</v>
      </c>
      <c r="T948" s="304">
        <f t="shared" ca="1" si="407"/>
        <v>73.084499999999991</v>
      </c>
      <c r="U948" s="311">
        <f t="shared" ca="1" si="408"/>
        <v>0</v>
      </c>
      <c r="V948" s="306">
        <f t="shared" ca="1" si="409"/>
        <v>1.2267270484757111</v>
      </c>
      <c r="W948" s="304">
        <f t="shared" ca="1" si="410"/>
        <v>58.440674855258372</v>
      </c>
      <c r="Y948" s="314" t="str">
        <f t="shared" ca="1" si="428"/>
        <v/>
      </c>
      <c r="Z948" s="315" t="str">
        <f t="shared" ca="1" si="429"/>
        <v/>
      </c>
      <c r="AA948" s="316" t="str">
        <f t="shared" ca="1" si="430"/>
        <v/>
      </c>
      <c r="AC948" s="310" t="e">
        <f t="shared" ca="1" si="431"/>
        <v>#N/A</v>
      </c>
      <c r="AD948" s="323" t="e">
        <f t="shared" ca="1" si="432"/>
        <v>#N/A</v>
      </c>
      <c r="AE948" s="324" t="e">
        <f t="shared" ca="1" si="411"/>
        <v>#N/A</v>
      </c>
      <c r="AG948" s="306">
        <f t="shared" ca="1" si="433"/>
        <v>1.9253629885638146</v>
      </c>
      <c r="AH948" s="304">
        <f t="shared" ca="1" si="434"/>
        <v>-7.844351402221247</v>
      </c>
    </row>
    <row r="949" spans="1:34" x14ac:dyDescent="0.2">
      <c r="A949" s="347">
        <f t="shared" ca="1" si="412"/>
        <v>1E-4</v>
      </c>
      <c r="B949" s="304">
        <f t="shared" ca="1" si="413"/>
        <v>34.542000000001615</v>
      </c>
      <c r="D949" s="306">
        <f t="shared" ca="1" si="414"/>
        <v>-0.71017366653072411</v>
      </c>
      <c r="E949" s="307">
        <f t="shared" ca="1" si="415"/>
        <v>-1.9978272355610507</v>
      </c>
      <c r="F949" s="304">
        <f t="shared" ca="1" si="416"/>
        <v>2.1202972196801095</v>
      </c>
      <c r="G949" s="306">
        <f t="shared" ca="1" si="417"/>
        <v>10.906980322997331</v>
      </c>
      <c r="H949" s="307">
        <f t="shared" ca="1" si="418"/>
        <v>-119.9817950420607</v>
      </c>
      <c r="I949" s="304">
        <f t="shared" ca="1" si="419"/>
        <v>120.47652618365667</v>
      </c>
      <c r="J949" s="306">
        <f t="shared" ca="1" si="420"/>
        <v>770.52896740167785</v>
      </c>
      <c r="K949" s="307">
        <f t="shared" ca="1" si="421"/>
        <v>-14.100421893394804</v>
      </c>
      <c r="L949" s="304">
        <f t="shared" ca="1" si="406"/>
        <v>770.65797310004371</v>
      </c>
      <c r="M949" s="306">
        <f t="shared" ca="1" si="422"/>
        <v>-1.4801402056298925</v>
      </c>
      <c r="N949" s="304">
        <f t="shared" ca="1" si="423"/>
        <v>-84.805786870218654</v>
      </c>
      <c r="P949" s="310">
        <f t="shared" ca="1" si="424"/>
        <v>23</v>
      </c>
      <c r="Q949" s="304">
        <f t="shared" ca="1" si="425"/>
        <v>0</v>
      </c>
      <c r="R949" s="306">
        <f t="shared" ca="1" si="426"/>
        <v>0</v>
      </c>
      <c r="S949" s="307">
        <f t="shared" ca="1" si="427"/>
        <v>7.4499999999999984</v>
      </c>
      <c r="T949" s="304">
        <f t="shared" ca="1" si="407"/>
        <v>73.084499999999991</v>
      </c>
      <c r="U949" s="311">
        <f t="shared" ca="1" si="408"/>
        <v>0</v>
      </c>
      <c r="V949" s="306">
        <f t="shared" ca="1" si="409"/>
        <v>1.2267285203252329</v>
      </c>
      <c r="W949" s="304">
        <f t="shared" ca="1" si="410"/>
        <v>58.44093176163414</v>
      </c>
      <c r="Y949" s="314" t="str">
        <f t="shared" ca="1" si="428"/>
        <v/>
      </c>
      <c r="Z949" s="315" t="str">
        <f t="shared" ca="1" si="429"/>
        <v/>
      </c>
      <c r="AA949" s="316" t="str">
        <f t="shared" ca="1" si="430"/>
        <v/>
      </c>
      <c r="AC949" s="310" t="e">
        <f t="shared" ca="1" si="431"/>
        <v>#N/A</v>
      </c>
      <c r="AD949" s="323" t="e">
        <f t="shared" ca="1" si="432"/>
        <v>#N/A</v>
      </c>
      <c r="AE949" s="324" t="e">
        <f t="shared" ca="1" si="411"/>
        <v>#N/A</v>
      </c>
      <c r="AG949" s="306">
        <f t="shared" ca="1" si="433"/>
        <v>1.9253291588889425</v>
      </c>
      <c r="AH949" s="304">
        <f t="shared" ca="1" si="434"/>
        <v>-7.8443858866118639</v>
      </c>
    </row>
    <row r="950" spans="1:34" x14ac:dyDescent="0.2">
      <c r="A950" s="347">
        <f t="shared" ca="1" si="412"/>
        <v>1E-4</v>
      </c>
      <c r="B950" s="304">
        <f t="shared" ca="1" si="413"/>
        <v>34.542100000001618</v>
      </c>
      <c r="D950" s="306">
        <f t="shared" ca="1" si="414"/>
        <v>-0.71017102948335609</v>
      </c>
      <c r="E950" s="307">
        <f t="shared" ca="1" si="415"/>
        <v>-1.9977923695689315</v>
      </c>
      <c r="F950" s="304">
        <f t="shared" ca="1" si="416"/>
        <v>2.1202634843399286</v>
      </c>
      <c r="G950" s="306">
        <f t="shared" ca="1" si="417"/>
        <v>10.906909305894382</v>
      </c>
      <c r="H950" s="307">
        <f t="shared" ca="1" si="418"/>
        <v>-119.98199482129765</v>
      </c>
      <c r="I950" s="304">
        <f t="shared" ca="1" si="419"/>
        <v>120.47671871322235</v>
      </c>
      <c r="J950" s="306">
        <f t="shared" ca="1" si="420"/>
        <v>770.52896740167785</v>
      </c>
      <c r="K950" s="307">
        <f t="shared" ca="1" si="421"/>
        <v>-14.112420082887972</v>
      </c>
      <c r="L950" s="304">
        <f t="shared" ca="1" si="406"/>
        <v>770.65819271950375</v>
      </c>
      <c r="M950" s="306">
        <f t="shared" ca="1" si="422"/>
        <v>-1.4801409428004306</v>
      </c>
      <c r="N950" s="304">
        <f t="shared" ca="1" si="423"/>
        <v>-84.80582910697926</v>
      </c>
      <c r="P950" s="310">
        <f t="shared" ca="1" si="424"/>
        <v>23</v>
      </c>
      <c r="Q950" s="304">
        <f t="shared" ca="1" si="425"/>
        <v>0</v>
      </c>
      <c r="R950" s="306">
        <f t="shared" ca="1" si="426"/>
        <v>0</v>
      </c>
      <c r="S950" s="307">
        <f t="shared" ca="1" si="427"/>
        <v>7.4499999999999984</v>
      </c>
      <c r="T950" s="304">
        <f t="shared" ca="1" si="407"/>
        <v>73.084499999999991</v>
      </c>
      <c r="U950" s="311">
        <f t="shared" ca="1" si="408"/>
        <v>0</v>
      </c>
      <c r="V950" s="306">
        <f t="shared" ca="1" si="409"/>
        <v>1.2267299921789725</v>
      </c>
      <c r="W950" s="304">
        <f t="shared" ca="1" si="410"/>
        <v>58.44118866567554</v>
      </c>
      <c r="Y950" s="314" t="str">
        <f t="shared" ca="1" si="428"/>
        <v/>
      </c>
      <c r="Z950" s="315" t="str">
        <f t="shared" ca="1" si="429"/>
        <v/>
      </c>
      <c r="AA950" s="316" t="str">
        <f t="shared" ca="1" si="430"/>
        <v/>
      </c>
      <c r="AC950" s="310" t="e">
        <f t="shared" ca="1" si="431"/>
        <v>#N/A</v>
      </c>
      <c r="AD950" s="323" t="e">
        <f t="shared" ca="1" si="432"/>
        <v>#N/A</v>
      </c>
      <c r="AE950" s="324" t="e">
        <f t="shared" ca="1" si="411"/>
        <v>#N/A</v>
      </c>
      <c r="AG950" s="306">
        <f t="shared" ca="1" si="433"/>
        <v>1.9252953295157376</v>
      </c>
      <c r="AH950" s="304">
        <f t="shared" ca="1" si="434"/>
        <v>-7.8444203706891482</v>
      </c>
    </row>
    <row r="951" spans="1:34" x14ac:dyDescent="0.2">
      <c r="A951" s="347">
        <f t="shared" ca="1" si="412"/>
        <v>1E-4</v>
      </c>
      <c r="B951" s="304">
        <f t="shared" ca="1" si="413"/>
        <v>34.542200000001621</v>
      </c>
      <c r="D951" s="306">
        <f t="shared" ca="1" si="414"/>
        <v>-0.71016839241250529</v>
      </c>
      <c r="E951" s="307">
        <f t="shared" ca="1" si="415"/>
        <v>-1.9977575038935882</v>
      </c>
      <c r="F951" s="304">
        <f t="shared" ca="1" si="416"/>
        <v>2.1202297493302233</v>
      </c>
      <c r="G951" s="306">
        <f t="shared" ca="1" si="417"/>
        <v>10.906838289055141</v>
      </c>
      <c r="H951" s="307">
        <f t="shared" ca="1" si="418"/>
        <v>-119.98219459704804</v>
      </c>
      <c r="I951" s="304">
        <f t="shared" ca="1" si="419"/>
        <v>120.47691123940513</v>
      </c>
      <c r="J951" s="306">
        <f t="shared" ca="1" si="420"/>
        <v>770.52896740167785</v>
      </c>
      <c r="K951" s="307">
        <f t="shared" ca="1" si="421"/>
        <v>-14.124418292358889</v>
      </c>
      <c r="L951" s="304">
        <f t="shared" ca="1" si="406"/>
        <v>770.65841252606435</v>
      </c>
      <c r="M951" s="306">
        <f t="shared" ca="1" si="422"/>
        <v>-1.4801416799638127</v>
      </c>
      <c r="N951" s="304">
        <f t="shared" ca="1" si="423"/>
        <v>-84.805871343329869</v>
      </c>
      <c r="P951" s="310">
        <f t="shared" ca="1" si="424"/>
        <v>23</v>
      </c>
      <c r="Q951" s="304">
        <f t="shared" ca="1" si="425"/>
        <v>0</v>
      </c>
      <c r="R951" s="306">
        <f t="shared" ca="1" si="426"/>
        <v>0</v>
      </c>
      <c r="S951" s="307">
        <f t="shared" ca="1" si="427"/>
        <v>7.4499999999999984</v>
      </c>
      <c r="T951" s="304">
        <f t="shared" ca="1" si="407"/>
        <v>73.084499999999991</v>
      </c>
      <c r="U951" s="311">
        <f t="shared" ca="1" si="408"/>
        <v>0</v>
      </c>
      <c r="V951" s="306">
        <f t="shared" ca="1" si="409"/>
        <v>1.2267314640369298</v>
      </c>
      <c r="W951" s="304">
        <f t="shared" ca="1" si="410"/>
        <v>58.441445567382608</v>
      </c>
      <c r="Y951" s="314" t="str">
        <f t="shared" ca="1" si="428"/>
        <v/>
      </c>
      <c r="Z951" s="315" t="str">
        <f t="shared" ca="1" si="429"/>
        <v/>
      </c>
      <c r="AA951" s="316" t="str">
        <f t="shared" ca="1" si="430"/>
        <v/>
      </c>
      <c r="AC951" s="310" t="e">
        <f t="shared" ca="1" si="431"/>
        <v>#N/A</v>
      </c>
      <c r="AD951" s="323" t="e">
        <f t="shared" ca="1" si="432"/>
        <v>#N/A</v>
      </c>
      <c r="AE951" s="324" t="e">
        <f t="shared" ca="1" si="411"/>
        <v>#N/A</v>
      </c>
      <c r="AG951" s="306">
        <f t="shared" ca="1" si="433"/>
        <v>1.9252615004442077</v>
      </c>
      <c r="AH951" s="304">
        <f t="shared" ca="1" si="434"/>
        <v>-7.8444548544530939</v>
      </c>
    </row>
    <row r="952" spans="1:34" x14ac:dyDescent="0.2">
      <c r="A952" s="347">
        <f t="shared" ca="1" si="412"/>
        <v>1E-4</v>
      </c>
      <c r="B952" s="304">
        <f t="shared" ca="1" si="413"/>
        <v>34.542300000001624</v>
      </c>
      <c r="D952" s="306">
        <f t="shared" ca="1" si="414"/>
        <v>-0.7101657553181755</v>
      </c>
      <c r="E952" s="307">
        <f t="shared" ca="1" si="415"/>
        <v>-1.9977226385350155</v>
      </c>
      <c r="F952" s="304">
        <f t="shared" ca="1" si="416"/>
        <v>2.1201960146509897</v>
      </c>
      <c r="G952" s="306">
        <f t="shared" ca="1" si="417"/>
        <v>10.906767272479609</v>
      </c>
      <c r="H952" s="307">
        <f t="shared" ca="1" si="418"/>
        <v>-119.98239436931189</v>
      </c>
      <c r="I952" s="304">
        <f t="shared" ca="1" si="419"/>
        <v>120.47710376220503</v>
      </c>
      <c r="J952" s="306">
        <f t="shared" ca="1" si="420"/>
        <v>770.52896740167785</v>
      </c>
      <c r="K952" s="307">
        <f t="shared" ca="1" si="421"/>
        <v>-14.136416521807208</v>
      </c>
      <c r="L952" s="304">
        <f t="shared" ca="1" si="406"/>
        <v>770.65863251972598</v>
      </c>
      <c r="M952" s="306">
        <f t="shared" ca="1" si="422"/>
        <v>-1.480142417120039</v>
      </c>
      <c r="N952" s="304">
        <f t="shared" ca="1" si="423"/>
        <v>-84.805913579270481</v>
      </c>
      <c r="P952" s="310">
        <f t="shared" ca="1" si="424"/>
        <v>23</v>
      </c>
      <c r="Q952" s="304">
        <f t="shared" ca="1" si="425"/>
        <v>0</v>
      </c>
      <c r="R952" s="306">
        <f t="shared" ca="1" si="426"/>
        <v>0</v>
      </c>
      <c r="S952" s="307">
        <f t="shared" ca="1" si="427"/>
        <v>7.4499999999999984</v>
      </c>
      <c r="T952" s="304">
        <f t="shared" ca="1" si="407"/>
        <v>73.084499999999991</v>
      </c>
      <c r="U952" s="311">
        <f t="shared" ca="1" si="408"/>
        <v>0</v>
      </c>
      <c r="V952" s="306">
        <f t="shared" ca="1" si="409"/>
        <v>1.2267329358991053</v>
      </c>
      <c r="W952" s="304">
        <f t="shared" ca="1" si="410"/>
        <v>58.441702466755366</v>
      </c>
      <c r="Y952" s="314" t="str">
        <f t="shared" ca="1" si="428"/>
        <v/>
      </c>
      <c r="Z952" s="315" t="str">
        <f t="shared" ca="1" si="429"/>
        <v/>
      </c>
      <c r="AA952" s="316" t="str">
        <f t="shared" ca="1" si="430"/>
        <v/>
      </c>
      <c r="AC952" s="310" t="e">
        <f t="shared" ca="1" si="431"/>
        <v>#N/A</v>
      </c>
      <c r="AD952" s="323" t="e">
        <f t="shared" ca="1" si="432"/>
        <v>#N/A</v>
      </c>
      <c r="AE952" s="324" t="e">
        <f t="shared" ca="1" si="411"/>
        <v>#N/A</v>
      </c>
      <c r="AG952" s="306">
        <f t="shared" ca="1" si="433"/>
        <v>1.9252276716743451</v>
      </c>
      <c r="AH952" s="304">
        <f t="shared" ca="1" si="434"/>
        <v>-7.8444893379037071</v>
      </c>
    </row>
    <row r="953" spans="1:34" x14ac:dyDescent="0.2">
      <c r="A953" s="347">
        <f t="shared" ca="1" si="412"/>
        <v>1E-4</v>
      </c>
      <c r="B953" s="304">
        <f t="shared" ca="1" si="413"/>
        <v>34.542400000001628</v>
      </c>
      <c r="D953" s="306">
        <f t="shared" ca="1" si="414"/>
        <v>-0.71016311820036648</v>
      </c>
      <c r="E953" s="307">
        <f t="shared" ca="1" si="415"/>
        <v>-1.9976877734932108</v>
      </c>
      <c r="F953" s="304">
        <f t="shared" ca="1" si="416"/>
        <v>2.1201622803022246</v>
      </c>
      <c r="G953" s="306">
        <f t="shared" ca="1" si="417"/>
        <v>10.906696256167789</v>
      </c>
      <c r="H953" s="307">
        <f t="shared" ca="1" si="418"/>
        <v>-119.98259413808924</v>
      </c>
      <c r="I953" s="304">
        <f t="shared" ca="1" si="419"/>
        <v>120.47729628162209</v>
      </c>
      <c r="J953" s="306">
        <f t="shared" ca="1" si="420"/>
        <v>770.52896740167785</v>
      </c>
      <c r="K953" s="307">
        <f t="shared" ca="1" si="421"/>
        <v>-14.148414771232577</v>
      </c>
      <c r="L953" s="304">
        <f t="shared" ca="1" si="406"/>
        <v>770.65885270048943</v>
      </c>
      <c r="M953" s="306">
        <f t="shared" ca="1" si="422"/>
        <v>-1.4801431542691097</v>
      </c>
      <c r="N953" s="304">
        <f t="shared" ca="1" si="423"/>
        <v>-84.805955814801109</v>
      </c>
      <c r="P953" s="310">
        <f t="shared" ca="1" si="424"/>
        <v>23</v>
      </c>
      <c r="Q953" s="304">
        <f t="shared" ca="1" si="425"/>
        <v>0</v>
      </c>
      <c r="R953" s="306">
        <f t="shared" ca="1" si="426"/>
        <v>0</v>
      </c>
      <c r="S953" s="307">
        <f t="shared" ca="1" si="427"/>
        <v>7.4499999999999984</v>
      </c>
      <c r="T953" s="304">
        <f t="shared" ca="1" si="407"/>
        <v>73.084499999999991</v>
      </c>
      <c r="U953" s="311">
        <f t="shared" ca="1" si="408"/>
        <v>0</v>
      </c>
      <c r="V953" s="306">
        <f t="shared" ca="1" si="409"/>
        <v>1.2267344077654985</v>
      </c>
      <c r="W953" s="304">
        <f t="shared" ca="1" si="410"/>
        <v>58.441959363793792</v>
      </c>
      <c r="Y953" s="314" t="str">
        <f t="shared" ca="1" si="428"/>
        <v/>
      </c>
      <c r="Z953" s="315" t="str">
        <f t="shared" ca="1" si="429"/>
        <v/>
      </c>
      <c r="AA953" s="316" t="str">
        <f t="shared" ca="1" si="430"/>
        <v/>
      </c>
      <c r="AC953" s="310" t="e">
        <f t="shared" ca="1" si="431"/>
        <v>#N/A</v>
      </c>
      <c r="AD953" s="323" t="e">
        <f t="shared" ca="1" si="432"/>
        <v>#N/A</v>
      </c>
      <c r="AE953" s="324" t="e">
        <f t="shared" ca="1" si="411"/>
        <v>#N/A</v>
      </c>
      <c r="AG953" s="306">
        <f t="shared" ca="1" si="433"/>
        <v>1.9251938432061468</v>
      </c>
      <c r="AH953" s="304">
        <f t="shared" ca="1" si="434"/>
        <v>-7.8445238210409904</v>
      </c>
    </row>
    <row r="954" spans="1:34" x14ac:dyDescent="0.2">
      <c r="A954" s="347">
        <f t="shared" ca="1" si="412"/>
        <v>1E-4</v>
      </c>
      <c r="B954" s="304">
        <f t="shared" ca="1" si="413"/>
        <v>34.542500000001631</v>
      </c>
      <c r="D954" s="306">
        <f t="shared" ca="1" si="414"/>
        <v>-0.71016048105907792</v>
      </c>
      <c r="E954" s="307">
        <f t="shared" ca="1" si="415"/>
        <v>-1.9976529087681767</v>
      </c>
      <c r="F954" s="304">
        <f t="shared" ca="1" si="416"/>
        <v>2.1201285462839317</v>
      </c>
      <c r="G954" s="306">
        <f t="shared" ca="1" si="417"/>
        <v>10.906625240119684</v>
      </c>
      <c r="H954" s="307">
        <f t="shared" ca="1" si="418"/>
        <v>-119.98279390338011</v>
      </c>
      <c r="I954" s="304">
        <f t="shared" ca="1" si="419"/>
        <v>120.47748879765632</v>
      </c>
      <c r="J954" s="306">
        <f t="shared" ca="1" si="420"/>
        <v>770.52896740167785</v>
      </c>
      <c r="K954" s="307">
        <f t="shared" ca="1" si="421"/>
        <v>-14.160413040634651</v>
      </c>
      <c r="L954" s="304">
        <f t="shared" ca="1" si="406"/>
        <v>770.65907306835584</v>
      </c>
      <c r="M954" s="306">
        <f t="shared" ca="1" si="422"/>
        <v>-1.480143891411025</v>
      </c>
      <c r="N954" s="304">
        <f t="shared" ca="1" si="423"/>
        <v>-84.805998049921755</v>
      </c>
      <c r="P954" s="310">
        <f t="shared" ca="1" si="424"/>
        <v>23</v>
      </c>
      <c r="Q954" s="304">
        <f t="shared" ca="1" si="425"/>
        <v>0</v>
      </c>
      <c r="R954" s="306">
        <f t="shared" ca="1" si="426"/>
        <v>0</v>
      </c>
      <c r="S954" s="307">
        <f t="shared" ca="1" si="427"/>
        <v>7.4499999999999984</v>
      </c>
      <c r="T954" s="304">
        <f t="shared" ca="1" si="407"/>
        <v>73.084499999999991</v>
      </c>
      <c r="U954" s="311">
        <f t="shared" ca="1" si="408"/>
        <v>0</v>
      </c>
      <c r="V954" s="306">
        <f t="shared" ca="1" si="409"/>
        <v>1.2267358796361096</v>
      </c>
      <c r="W954" s="304">
        <f t="shared" ca="1" si="410"/>
        <v>58.442216258497886</v>
      </c>
      <c r="Y954" s="314" t="str">
        <f t="shared" ca="1" si="428"/>
        <v/>
      </c>
      <c r="Z954" s="315" t="str">
        <f t="shared" ca="1" si="429"/>
        <v/>
      </c>
      <c r="AA954" s="316" t="str">
        <f t="shared" ca="1" si="430"/>
        <v/>
      </c>
      <c r="AC954" s="310" t="e">
        <f t="shared" ca="1" si="431"/>
        <v>#N/A</v>
      </c>
      <c r="AD954" s="323" t="e">
        <f t="shared" ca="1" si="432"/>
        <v>#N/A</v>
      </c>
      <c r="AE954" s="324" t="e">
        <f t="shared" ca="1" si="411"/>
        <v>#N/A</v>
      </c>
      <c r="AG954" s="306">
        <f t="shared" ca="1" si="433"/>
        <v>1.9251600150396202</v>
      </c>
      <c r="AH954" s="304">
        <f t="shared" ca="1" si="434"/>
        <v>-7.8445583038649405</v>
      </c>
    </row>
    <row r="955" spans="1:34" x14ac:dyDescent="0.2">
      <c r="A955" s="347">
        <f t="shared" ca="1" si="412"/>
        <v>1E-4</v>
      </c>
      <c r="B955" s="304">
        <f t="shared" ca="1" si="413"/>
        <v>34.542600000001634</v>
      </c>
      <c r="D955" s="306">
        <f t="shared" ca="1" si="414"/>
        <v>-0.71015784389430914</v>
      </c>
      <c r="E955" s="307">
        <f t="shared" ca="1" si="415"/>
        <v>-1.997618044359915</v>
      </c>
      <c r="F955" s="304">
        <f t="shared" ca="1" si="416"/>
        <v>2.1200948125961125</v>
      </c>
      <c r="G955" s="306">
        <f t="shared" ca="1" si="417"/>
        <v>10.906554224335295</v>
      </c>
      <c r="H955" s="307">
        <f t="shared" ca="1" si="418"/>
        <v>-119.98299366518455</v>
      </c>
      <c r="I955" s="304">
        <f t="shared" ca="1" si="419"/>
        <v>120.47768131030777</v>
      </c>
      <c r="J955" s="306">
        <f t="shared" ca="1" si="420"/>
        <v>770.52896740167785</v>
      </c>
      <c r="K955" s="307">
        <f t="shared" ca="1" si="421"/>
        <v>-14.17241133001308</v>
      </c>
      <c r="L955" s="304">
        <f t="shared" ca="1" si="406"/>
        <v>770.65929362332554</v>
      </c>
      <c r="M955" s="306">
        <f t="shared" ca="1" si="422"/>
        <v>-1.4801446285457847</v>
      </c>
      <c r="N955" s="304">
        <f t="shared" ca="1" si="423"/>
        <v>-84.806040284632417</v>
      </c>
      <c r="P955" s="310">
        <f t="shared" ca="1" si="424"/>
        <v>23</v>
      </c>
      <c r="Q955" s="304">
        <f t="shared" ca="1" si="425"/>
        <v>0</v>
      </c>
      <c r="R955" s="306">
        <f t="shared" ca="1" si="426"/>
        <v>0</v>
      </c>
      <c r="S955" s="307">
        <f t="shared" ca="1" si="427"/>
        <v>7.4499999999999984</v>
      </c>
      <c r="T955" s="304">
        <f t="shared" ca="1" si="407"/>
        <v>73.084499999999991</v>
      </c>
      <c r="U955" s="311">
        <f t="shared" ca="1" si="408"/>
        <v>0</v>
      </c>
      <c r="V955" s="306">
        <f t="shared" ca="1" si="409"/>
        <v>1.2267373515109385</v>
      </c>
      <c r="W955" s="304">
        <f t="shared" ca="1" si="410"/>
        <v>58.442473150867649</v>
      </c>
      <c r="Y955" s="314" t="str">
        <f t="shared" ca="1" si="428"/>
        <v/>
      </c>
      <c r="Z955" s="315" t="str">
        <f t="shared" ca="1" si="429"/>
        <v/>
      </c>
      <c r="AA955" s="316" t="str">
        <f t="shared" ca="1" si="430"/>
        <v/>
      </c>
      <c r="AC955" s="310" t="e">
        <f t="shared" ca="1" si="431"/>
        <v>#N/A</v>
      </c>
      <c r="AD955" s="323" t="e">
        <f t="shared" ca="1" si="432"/>
        <v>#N/A</v>
      </c>
      <c r="AE955" s="324" t="e">
        <f t="shared" ca="1" si="411"/>
        <v>#N/A</v>
      </c>
      <c r="AG955" s="306">
        <f t="shared" ca="1" si="433"/>
        <v>1.9251261871747634</v>
      </c>
      <c r="AH955" s="304">
        <f t="shared" ca="1" si="434"/>
        <v>-7.8445927863755571</v>
      </c>
    </row>
    <row r="956" spans="1:34" x14ac:dyDescent="0.2">
      <c r="A956" s="347">
        <f t="shared" ca="1" si="412"/>
        <v>1E-4</v>
      </c>
      <c r="B956" s="304">
        <f t="shared" ca="1" si="413"/>
        <v>34.542700000001638</v>
      </c>
      <c r="D956" s="306">
        <f t="shared" ca="1" si="414"/>
        <v>-0.71015520670606358</v>
      </c>
      <c r="E956" s="307">
        <f t="shared" ca="1" si="415"/>
        <v>-1.9975831802684239</v>
      </c>
      <c r="F956" s="304">
        <f t="shared" ca="1" si="416"/>
        <v>2.1200610792387664</v>
      </c>
      <c r="G956" s="306">
        <f t="shared" ca="1" si="417"/>
        <v>10.906483208814624</v>
      </c>
      <c r="H956" s="307">
        <f t="shared" ca="1" si="418"/>
        <v>-119.98319342350258</v>
      </c>
      <c r="I956" s="304">
        <f t="shared" ca="1" si="419"/>
        <v>120.47787381957647</v>
      </c>
      <c r="J956" s="306">
        <f t="shared" ca="1" si="420"/>
        <v>770.52896740167785</v>
      </c>
      <c r="K956" s="307">
        <f t="shared" ca="1" si="421"/>
        <v>-14.184409639367514</v>
      </c>
      <c r="L956" s="304">
        <f t="shared" ca="1" si="406"/>
        <v>770.65951436539945</v>
      </c>
      <c r="M956" s="306">
        <f t="shared" ca="1" si="422"/>
        <v>-1.4801453656733887</v>
      </c>
      <c r="N956" s="304">
        <f t="shared" ca="1" si="423"/>
        <v>-84.806082518933096</v>
      </c>
      <c r="P956" s="310">
        <f t="shared" ca="1" si="424"/>
        <v>23</v>
      </c>
      <c r="Q956" s="304">
        <f t="shared" ca="1" si="425"/>
        <v>0</v>
      </c>
      <c r="R956" s="306">
        <f t="shared" ca="1" si="426"/>
        <v>0</v>
      </c>
      <c r="S956" s="307">
        <f t="shared" ca="1" si="427"/>
        <v>7.4499999999999984</v>
      </c>
      <c r="T956" s="304">
        <f t="shared" ca="1" si="407"/>
        <v>73.084499999999991</v>
      </c>
      <c r="U956" s="311">
        <f t="shared" ca="1" si="408"/>
        <v>0</v>
      </c>
      <c r="V956" s="306">
        <f t="shared" ca="1" si="409"/>
        <v>1.2267388233899854</v>
      </c>
      <c r="W956" s="304">
        <f t="shared" ca="1" si="410"/>
        <v>58.442730040903122</v>
      </c>
      <c r="Y956" s="314" t="str">
        <f t="shared" ca="1" si="428"/>
        <v/>
      </c>
      <c r="Z956" s="315" t="str">
        <f t="shared" ca="1" si="429"/>
        <v/>
      </c>
      <c r="AA956" s="316" t="str">
        <f t="shared" ca="1" si="430"/>
        <v/>
      </c>
      <c r="AC956" s="310" t="e">
        <f t="shared" ca="1" si="431"/>
        <v>#N/A</v>
      </c>
      <c r="AD956" s="323" t="e">
        <f t="shared" ca="1" si="432"/>
        <v>#N/A</v>
      </c>
      <c r="AE956" s="324" t="e">
        <f t="shared" ca="1" si="411"/>
        <v>#N/A</v>
      </c>
      <c r="AG956" s="306">
        <f t="shared" ca="1" si="433"/>
        <v>1.9250923596115763</v>
      </c>
      <c r="AH956" s="304">
        <f t="shared" ca="1" si="434"/>
        <v>-7.8446272685728404</v>
      </c>
    </row>
    <row r="957" spans="1:34" x14ac:dyDescent="0.2">
      <c r="A957" s="347">
        <f t="shared" ca="1" si="412"/>
        <v>1E-4</v>
      </c>
      <c r="B957" s="304">
        <f t="shared" ca="1" si="413"/>
        <v>34.542800000001641</v>
      </c>
      <c r="D957" s="306">
        <f t="shared" ca="1" si="414"/>
        <v>-0.71015256949434302</v>
      </c>
      <c r="E957" s="307">
        <f t="shared" ca="1" si="415"/>
        <v>-1.9975483164936971</v>
      </c>
      <c r="F957" s="304">
        <f t="shared" ca="1" si="416"/>
        <v>2.1200273462118879</v>
      </c>
      <c r="G957" s="306">
        <f t="shared" ca="1" si="417"/>
        <v>10.906412193557674</v>
      </c>
      <c r="H957" s="307">
        <f t="shared" ca="1" si="418"/>
        <v>-119.98339317833424</v>
      </c>
      <c r="I957" s="304">
        <f t="shared" ca="1" si="419"/>
        <v>120.47806632546244</v>
      </c>
      <c r="J957" s="306">
        <f t="shared" ca="1" si="420"/>
        <v>770.52896740167785</v>
      </c>
      <c r="K957" s="307">
        <f t="shared" ca="1" si="421"/>
        <v>-14.196407968697606</v>
      </c>
      <c r="L957" s="304">
        <f t="shared" ca="1" si="406"/>
        <v>770.65973529457835</v>
      </c>
      <c r="M957" s="306">
        <f t="shared" ca="1" si="422"/>
        <v>-1.4801461027938378</v>
      </c>
      <c r="N957" s="304">
        <f t="shared" ca="1" si="423"/>
        <v>-84.80612475282382</v>
      </c>
      <c r="P957" s="310">
        <f t="shared" ca="1" si="424"/>
        <v>23</v>
      </c>
      <c r="Q957" s="304">
        <f t="shared" ca="1" si="425"/>
        <v>0</v>
      </c>
      <c r="R957" s="306">
        <f t="shared" ca="1" si="426"/>
        <v>0</v>
      </c>
      <c r="S957" s="307">
        <f t="shared" ca="1" si="427"/>
        <v>7.4499999999999984</v>
      </c>
      <c r="T957" s="304">
        <f t="shared" ca="1" si="407"/>
        <v>73.084499999999991</v>
      </c>
      <c r="U957" s="311">
        <f t="shared" ca="1" si="408"/>
        <v>0</v>
      </c>
      <c r="V957" s="306">
        <f t="shared" ca="1" si="409"/>
        <v>1.2267402952732498</v>
      </c>
      <c r="W957" s="304">
        <f t="shared" ca="1" si="410"/>
        <v>58.442986928604263</v>
      </c>
      <c r="Y957" s="314" t="str">
        <f t="shared" ca="1" si="428"/>
        <v/>
      </c>
      <c r="Z957" s="315" t="str">
        <f t="shared" ca="1" si="429"/>
        <v/>
      </c>
      <c r="AA957" s="316" t="str">
        <f t="shared" ca="1" si="430"/>
        <v/>
      </c>
      <c r="AC957" s="310" t="e">
        <f t="shared" ca="1" si="431"/>
        <v>#N/A</v>
      </c>
      <c r="AD957" s="323" t="e">
        <f t="shared" ca="1" si="432"/>
        <v>#N/A</v>
      </c>
      <c r="AE957" s="324" t="e">
        <f t="shared" ca="1" si="411"/>
        <v>#N/A</v>
      </c>
      <c r="AG957" s="306">
        <f t="shared" ca="1" si="433"/>
        <v>1.9250585323500529</v>
      </c>
      <c r="AH957" s="304">
        <f t="shared" ca="1" si="434"/>
        <v>-7.8446617504567966</v>
      </c>
    </row>
    <row r="958" spans="1:34" x14ac:dyDescent="0.2">
      <c r="A958" s="347">
        <f t="shared" ca="1" si="412"/>
        <v>1E-4</v>
      </c>
      <c r="B958" s="304">
        <f t="shared" ca="1" si="413"/>
        <v>34.542900000001644</v>
      </c>
      <c r="D958" s="306">
        <f t="shared" ca="1" si="414"/>
        <v>-0.71014993225914347</v>
      </c>
      <c r="E958" s="307">
        <f t="shared" ca="1" si="415"/>
        <v>-1.9975134530357419</v>
      </c>
      <c r="F958" s="304">
        <f t="shared" ca="1" si="416"/>
        <v>2.1199936135154842</v>
      </c>
      <c r="G958" s="306">
        <f t="shared" ca="1" si="417"/>
        <v>10.906341178564448</v>
      </c>
      <c r="H958" s="307">
        <f t="shared" ca="1" si="418"/>
        <v>-119.98359292967955</v>
      </c>
      <c r="I958" s="304">
        <f t="shared" ca="1" si="419"/>
        <v>120.47825882796572</v>
      </c>
      <c r="J958" s="306">
        <f t="shared" ca="1" si="420"/>
        <v>770.52896740167785</v>
      </c>
      <c r="K958" s="307">
        <f t="shared" ca="1" si="421"/>
        <v>-14.208406318003007</v>
      </c>
      <c r="L958" s="304">
        <f t="shared" ca="1" si="406"/>
        <v>770.65995641086306</v>
      </c>
      <c r="M958" s="306">
        <f t="shared" ca="1" si="422"/>
        <v>-1.4801468399071316</v>
      </c>
      <c r="N958" s="304">
        <f t="shared" ca="1" si="423"/>
        <v>-84.806166986304575</v>
      </c>
      <c r="P958" s="310">
        <f t="shared" ca="1" si="424"/>
        <v>23</v>
      </c>
      <c r="Q958" s="304">
        <f t="shared" ca="1" si="425"/>
        <v>0</v>
      </c>
      <c r="R958" s="306">
        <f t="shared" ca="1" si="426"/>
        <v>0</v>
      </c>
      <c r="S958" s="307">
        <f t="shared" ca="1" si="427"/>
        <v>7.4499999999999984</v>
      </c>
      <c r="T958" s="304">
        <f t="shared" ca="1" si="407"/>
        <v>73.084499999999991</v>
      </c>
      <c r="U958" s="311">
        <f t="shared" ca="1" si="408"/>
        <v>0</v>
      </c>
      <c r="V958" s="306">
        <f t="shared" ca="1" si="409"/>
        <v>1.2267417671607324</v>
      </c>
      <c r="W958" s="304">
        <f t="shared" ca="1" si="410"/>
        <v>58.443243813971108</v>
      </c>
      <c r="Y958" s="314" t="str">
        <f t="shared" ca="1" si="428"/>
        <v/>
      </c>
      <c r="Z958" s="315" t="str">
        <f t="shared" ca="1" si="429"/>
        <v/>
      </c>
      <c r="AA958" s="316" t="str">
        <f t="shared" ca="1" si="430"/>
        <v/>
      </c>
      <c r="AC958" s="310" t="e">
        <f t="shared" ca="1" si="431"/>
        <v>#N/A</v>
      </c>
      <c r="AD958" s="323" t="e">
        <f t="shared" ca="1" si="432"/>
        <v>#N/A</v>
      </c>
      <c r="AE958" s="324" t="e">
        <f t="shared" ca="1" si="411"/>
        <v>#N/A</v>
      </c>
      <c r="AG958" s="306">
        <f t="shared" ca="1" si="433"/>
        <v>1.925024705390201</v>
      </c>
      <c r="AH958" s="304">
        <f t="shared" ca="1" si="434"/>
        <v>-7.8446962320274194</v>
      </c>
    </row>
    <row r="959" spans="1:34" x14ac:dyDescent="0.2">
      <c r="A959" s="347">
        <f t="shared" ca="1" si="412"/>
        <v>1E-4</v>
      </c>
      <c r="B959" s="304">
        <f t="shared" ca="1" si="413"/>
        <v>34.543000000001648</v>
      </c>
      <c r="D959" s="306">
        <f t="shared" ca="1" si="414"/>
        <v>-0.71014729500047002</v>
      </c>
      <c r="E959" s="307">
        <f t="shared" ca="1" si="415"/>
        <v>-1.9974785898945528</v>
      </c>
      <c r="F959" s="304">
        <f t="shared" ca="1" si="416"/>
        <v>2.1199598811495504</v>
      </c>
      <c r="G959" s="306">
        <f t="shared" ca="1" si="417"/>
        <v>10.906270163834948</v>
      </c>
      <c r="H959" s="307">
        <f t="shared" ca="1" si="418"/>
        <v>-119.98379267753853</v>
      </c>
      <c r="I959" s="304">
        <f t="shared" ca="1" si="419"/>
        <v>120.47845132708632</v>
      </c>
      <c r="J959" s="306">
        <f t="shared" ca="1" si="420"/>
        <v>770.52896740167785</v>
      </c>
      <c r="K959" s="307">
        <f t="shared" ca="1" si="421"/>
        <v>-14.220404687283368</v>
      </c>
      <c r="L959" s="304">
        <f t="shared" ca="1" si="406"/>
        <v>770.66017771425425</v>
      </c>
      <c r="M959" s="306">
        <f t="shared" ca="1" si="422"/>
        <v>-1.4801475770132704</v>
      </c>
      <c r="N959" s="304">
        <f t="shared" ca="1" si="423"/>
        <v>-84.806209219375376</v>
      </c>
      <c r="P959" s="310">
        <f t="shared" ca="1" si="424"/>
        <v>23</v>
      </c>
      <c r="Q959" s="304">
        <f t="shared" ca="1" si="425"/>
        <v>0</v>
      </c>
      <c r="R959" s="306">
        <f t="shared" ca="1" si="426"/>
        <v>0</v>
      </c>
      <c r="S959" s="307">
        <f t="shared" ca="1" si="427"/>
        <v>7.4499999999999984</v>
      </c>
      <c r="T959" s="304">
        <f t="shared" ca="1" si="407"/>
        <v>73.084499999999991</v>
      </c>
      <c r="U959" s="311">
        <f t="shared" ca="1" si="408"/>
        <v>0</v>
      </c>
      <c r="V959" s="306">
        <f t="shared" ca="1" si="409"/>
        <v>1.2267432390524318</v>
      </c>
      <c r="W959" s="304">
        <f t="shared" ca="1" si="410"/>
        <v>58.443500697003614</v>
      </c>
      <c r="Y959" s="314" t="str">
        <f t="shared" ca="1" si="428"/>
        <v/>
      </c>
      <c r="Z959" s="315" t="str">
        <f t="shared" ca="1" si="429"/>
        <v/>
      </c>
      <c r="AA959" s="316" t="str">
        <f t="shared" ca="1" si="430"/>
        <v/>
      </c>
      <c r="AC959" s="310" t="e">
        <f t="shared" ca="1" si="431"/>
        <v>#N/A</v>
      </c>
      <c r="AD959" s="323" t="e">
        <f t="shared" ca="1" si="432"/>
        <v>#N/A</v>
      </c>
      <c r="AE959" s="324" t="e">
        <f t="shared" ca="1" si="411"/>
        <v>#N/A</v>
      </c>
      <c r="AG959" s="306">
        <f t="shared" ca="1" si="433"/>
        <v>1.9249908787320118</v>
      </c>
      <c r="AH959" s="304">
        <f t="shared" ca="1" si="434"/>
        <v>-7.8447307132847142</v>
      </c>
    </row>
    <row r="960" spans="1:34" x14ac:dyDescent="0.2">
      <c r="A960" s="347">
        <f t="shared" ca="1" si="412"/>
        <v>1E-4</v>
      </c>
      <c r="B960" s="304">
        <f t="shared" ca="1" si="413"/>
        <v>34.543100000001651</v>
      </c>
      <c r="D960" s="306">
        <f t="shared" ca="1" si="414"/>
        <v>-0.71014465771832025</v>
      </c>
      <c r="E960" s="307">
        <f t="shared" ca="1" si="415"/>
        <v>-1.9974437270701353</v>
      </c>
      <c r="F960" s="304">
        <f t="shared" ca="1" si="416"/>
        <v>2.1199261491140922</v>
      </c>
      <c r="G960" s="306">
        <f t="shared" ca="1" si="417"/>
        <v>10.906199149369177</v>
      </c>
      <c r="H960" s="307">
        <f t="shared" ca="1" si="418"/>
        <v>-119.98399242191124</v>
      </c>
      <c r="I960" s="304">
        <f t="shared" ca="1" si="419"/>
        <v>120.47864382282428</v>
      </c>
      <c r="J960" s="306">
        <f t="shared" ca="1" si="420"/>
        <v>770.52896740167785</v>
      </c>
      <c r="K960" s="307">
        <f t="shared" ca="1" si="421"/>
        <v>-14.232403076538342</v>
      </c>
      <c r="L960" s="304">
        <f t="shared" ca="1" si="406"/>
        <v>770.66039920475282</v>
      </c>
      <c r="M960" s="306">
        <f t="shared" ca="1" si="422"/>
        <v>-1.480148314112254</v>
      </c>
      <c r="N960" s="304">
        <f t="shared" ca="1" si="423"/>
        <v>-84.806251452036221</v>
      </c>
      <c r="P960" s="310">
        <f t="shared" ca="1" si="424"/>
        <v>23</v>
      </c>
      <c r="Q960" s="304">
        <f t="shared" ca="1" si="425"/>
        <v>0</v>
      </c>
      <c r="R960" s="306">
        <f t="shared" ca="1" si="426"/>
        <v>0</v>
      </c>
      <c r="S960" s="307">
        <f t="shared" ca="1" si="427"/>
        <v>7.4499999999999984</v>
      </c>
      <c r="T960" s="304">
        <f t="shared" ca="1" si="407"/>
        <v>73.084499999999991</v>
      </c>
      <c r="U960" s="311">
        <f t="shared" ca="1" si="408"/>
        <v>0</v>
      </c>
      <c r="V960" s="306">
        <f t="shared" ca="1" si="409"/>
        <v>1.2267447109483494</v>
      </c>
      <c r="W960" s="304">
        <f t="shared" ca="1" si="410"/>
        <v>58.443757577701817</v>
      </c>
      <c r="Y960" s="314" t="str">
        <f t="shared" ca="1" si="428"/>
        <v/>
      </c>
      <c r="Z960" s="315" t="str">
        <f t="shared" ca="1" si="429"/>
        <v/>
      </c>
      <c r="AA960" s="316" t="str">
        <f t="shared" ca="1" si="430"/>
        <v/>
      </c>
      <c r="AC960" s="310" t="e">
        <f t="shared" ca="1" si="431"/>
        <v>#N/A</v>
      </c>
      <c r="AD960" s="323" t="e">
        <f t="shared" ca="1" si="432"/>
        <v>#N/A</v>
      </c>
      <c r="AE960" s="324" t="e">
        <f t="shared" ca="1" si="411"/>
        <v>#N/A</v>
      </c>
      <c r="AG960" s="306">
        <f t="shared" ca="1" si="433"/>
        <v>1.9249570523754969</v>
      </c>
      <c r="AH960" s="304">
        <f t="shared" ca="1" si="434"/>
        <v>-7.8447651942286747</v>
      </c>
    </row>
    <row r="961" spans="1:34" x14ac:dyDescent="0.2">
      <c r="A961" s="347">
        <f t="shared" ca="1" si="412"/>
        <v>1E-4</v>
      </c>
      <c r="B961" s="304">
        <f t="shared" ca="1" si="413"/>
        <v>34.543200000001654</v>
      </c>
      <c r="D961" s="306">
        <f t="shared" ca="1" si="414"/>
        <v>-0.71014202041269758</v>
      </c>
      <c r="E961" s="307">
        <f t="shared" ca="1" si="415"/>
        <v>-1.9974088645624848</v>
      </c>
      <c r="F961" s="304">
        <f t="shared" ca="1" si="416"/>
        <v>2.1198924174091056</v>
      </c>
      <c r="G961" s="306">
        <f t="shared" ca="1" si="417"/>
        <v>10.906128135167137</v>
      </c>
      <c r="H961" s="307">
        <f t="shared" ca="1" si="418"/>
        <v>-119.9841921627977</v>
      </c>
      <c r="I961" s="304">
        <f t="shared" ca="1" si="419"/>
        <v>120.47883631517965</v>
      </c>
      <c r="J961" s="306">
        <f t="shared" ca="1" si="420"/>
        <v>770.52896740167785</v>
      </c>
      <c r="K961" s="307">
        <f t="shared" ca="1" si="421"/>
        <v>-14.244401485767577</v>
      </c>
      <c r="L961" s="304">
        <f t="shared" ca="1" si="406"/>
        <v>770.66062088235947</v>
      </c>
      <c r="M961" s="306">
        <f t="shared" ca="1" si="422"/>
        <v>-1.4801490512040829</v>
      </c>
      <c r="N961" s="304">
        <f t="shared" ca="1" si="423"/>
        <v>-84.806293684287127</v>
      </c>
      <c r="P961" s="310">
        <f t="shared" ca="1" si="424"/>
        <v>23</v>
      </c>
      <c r="Q961" s="304">
        <f t="shared" ca="1" si="425"/>
        <v>0</v>
      </c>
      <c r="R961" s="306">
        <f t="shared" ca="1" si="426"/>
        <v>0</v>
      </c>
      <c r="S961" s="307">
        <f t="shared" ca="1" si="427"/>
        <v>7.4499999999999984</v>
      </c>
      <c r="T961" s="304">
        <f t="shared" ca="1" si="407"/>
        <v>73.084499999999991</v>
      </c>
      <c r="U961" s="311">
        <f t="shared" ca="1" si="408"/>
        <v>0</v>
      </c>
      <c r="V961" s="306">
        <f t="shared" ca="1" si="409"/>
        <v>1.2267461828484847</v>
      </c>
      <c r="W961" s="304">
        <f t="shared" ca="1" si="410"/>
        <v>58.444014456065737</v>
      </c>
      <c r="Y961" s="314" t="str">
        <f t="shared" ca="1" si="428"/>
        <v/>
      </c>
      <c r="Z961" s="315" t="str">
        <f t="shared" ca="1" si="429"/>
        <v/>
      </c>
      <c r="AA961" s="316" t="str">
        <f t="shared" ca="1" si="430"/>
        <v/>
      </c>
      <c r="AC961" s="310" t="e">
        <f t="shared" ca="1" si="431"/>
        <v>#N/A</v>
      </c>
      <c r="AD961" s="323" t="e">
        <f t="shared" ca="1" si="432"/>
        <v>#N/A</v>
      </c>
      <c r="AE961" s="324" t="e">
        <f t="shared" ca="1" si="411"/>
        <v>#N/A</v>
      </c>
      <c r="AG961" s="306">
        <f t="shared" ca="1" si="433"/>
        <v>1.9249232263206491</v>
      </c>
      <c r="AH961" s="304">
        <f t="shared" ca="1" si="434"/>
        <v>-7.8447996748593063</v>
      </c>
    </row>
    <row r="962" spans="1:34" x14ac:dyDescent="0.2">
      <c r="A962" s="347">
        <f t="shared" ca="1" si="412"/>
        <v>1E-4</v>
      </c>
      <c r="B962" s="304">
        <f t="shared" ca="1" si="413"/>
        <v>34.543300000001658</v>
      </c>
      <c r="D962" s="306">
        <f t="shared" ca="1" si="414"/>
        <v>-0.71013938308360036</v>
      </c>
      <c r="E962" s="307">
        <f t="shared" ca="1" si="415"/>
        <v>-1.9973740023715996</v>
      </c>
      <c r="F962" s="304">
        <f t="shared" ca="1" si="416"/>
        <v>2.1198586860345903</v>
      </c>
      <c r="G962" s="306">
        <f t="shared" ca="1" si="417"/>
        <v>10.906057121228828</v>
      </c>
      <c r="H962" s="307">
        <f t="shared" ca="1" si="418"/>
        <v>-119.98439190019793</v>
      </c>
      <c r="I962" s="304">
        <f t="shared" ca="1" si="419"/>
        <v>120.47902880415242</v>
      </c>
      <c r="J962" s="306">
        <f t="shared" ca="1" si="420"/>
        <v>770.52896740167785</v>
      </c>
      <c r="K962" s="307">
        <f t="shared" ca="1" si="421"/>
        <v>-14.256399914970727</v>
      </c>
      <c r="L962" s="304">
        <f t="shared" ca="1" si="406"/>
        <v>770.66084274707487</v>
      </c>
      <c r="M962" s="306">
        <f t="shared" ca="1" si="422"/>
        <v>-1.4801497882887571</v>
      </c>
      <c r="N962" s="304">
        <f t="shared" ca="1" si="423"/>
        <v>-84.806335916128106</v>
      </c>
      <c r="P962" s="310">
        <f t="shared" ca="1" si="424"/>
        <v>23</v>
      </c>
      <c r="Q962" s="304">
        <f t="shared" ca="1" si="425"/>
        <v>0</v>
      </c>
      <c r="R962" s="306">
        <f t="shared" ca="1" si="426"/>
        <v>0</v>
      </c>
      <c r="S962" s="307">
        <f t="shared" ca="1" si="427"/>
        <v>7.4499999999999984</v>
      </c>
      <c r="T962" s="304">
        <f t="shared" ca="1" si="407"/>
        <v>73.084499999999991</v>
      </c>
      <c r="U962" s="311">
        <f t="shared" ca="1" si="408"/>
        <v>0</v>
      </c>
      <c r="V962" s="306">
        <f t="shared" ca="1" si="409"/>
        <v>1.2267476547528375</v>
      </c>
      <c r="W962" s="304">
        <f t="shared" ca="1" si="410"/>
        <v>58.44427133209534</v>
      </c>
      <c r="Y962" s="314" t="str">
        <f t="shared" ca="1" si="428"/>
        <v/>
      </c>
      <c r="Z962" s="315" t="str">
        <f t="shared" ca="1" si="429"/>
        <v/>
      </c>
      <c r="AA962" s="316" t="str">
        <f t="shared" ca="1" si="430"/>
        <v/>
      </c>
      <c r="AC962" s="310" t="e">
        <f t="shared" ca="1" si="431"/>
        <v>#N/A</v>
      </c>
      <c r="AD962" s="323" t="e">
        <f t="shared" ca="1" si="432"/>
        <v>#N/A</v>
      </c>
      <c r="AE962" s="324" t="e">
        <f t="shared" ca="1" si="411"/>
        <v>#N/A</v>
      </c>
      <c r="AG962" s="306">
        <f t="shared" ca="1" si="433"/>
        <v>1.9248894005674666</v>
      </c>
      <c r="AH962" s="304">
        <f t="shared" ca="1" si="434"/>
        <v>-7.8448341551766108</v>
      </c>
    </row>
    <row r="963" spans="1:34" x14ac:dyDescent="0.2">
      <c r="A963" s="347">
        <f t="shared" ca="1" si="412"/>
        <v>1E-4</v>
      </c>
      <c r="B963" s="304">
        <f t="shared" ca="1" si="413"/>
        <v>34.543400000001661</v>
      </c>
      <c r="D963" s="306">
        <f t="shared" ca="1" si="414"/>
        <v>-0.71013674573102969</v>
      </c>
      <c r="E963" s="307">
        <f t="shared" ca="1" si="415"/>
        <v>-1.9973391404974823</v>
      </c>
      <c r="F963" s="304">
        <f t="shared" ca="1" si="416"/>
        <v>2.1198249549905479</v>
      </c>
      <c r="G963" s="306">
        <f t="shared" ca="1" si="417"/>
        <v>10.905986107554256</v>
      </c>
      <c r="H963" s="307">
        <f t="shared" ca="1" si="418"/>
        <v>-119.98459163411198</v>
      </c>
      <c r="I963" s="304">
        <f t="shared" ca="1" si="419"/>
        <v>120.47922128974265</v>
      </c>
      <c r="J963" s="306">
        <f t="shared" ca="1" si="420"/>
        <v>770.52896740167785</v>
      </c>
      <c r="K963" s="307">
        <f t="shared" ca="1" si="421"/>
        <v>-14.268398364147442</v>
      </c>
      <c r="L963" s="304">
        <f t="shared" ca="1" si="406"/>
        <v>770.6610647988997</v>
      </c>
      <c r="M963" s="306">
        <f t="shared" ca="1" si="422"/>
        <v>-1.4801505253662763</v>
      </c>
      <c r="N963" s="304">
        <f t="shared" ca="1" si="423"/>
        <v>-84.80637814755913</v>
      </c>
      <c r="P963" s="310">
        <f t="shared" ca="1" si="424"/>
        <v>23</v>
      </c>
      <c r="Q963" s="304">
        <f t="shared" ca="1" si="425"/>
        <v>0</v>
      </c>
      <c r="R963" s="306">
        <f t="shared" ca="1" si="426"/>
        <v>0</v>
      </c>
      <c r="S963" s="307">
        <f t="shared" ca="1" si="427"/>
        <v>7.4499999999999984</v>
      </c>
      <c r="T963" s="304">
        <f t="shared" ca="1" si="407"/>
        <v>73.084499999999991</v>
      </c>
      <c r="U963" s="311">
        <f t="shared" ca="1" si="408"/>
        <v>0</v>
      </c>
      <c r="V963" s="306">
        <f t="shared" ca="1" si="409"/>
        <v>1.2267491266614079</v>
      </c>
      <c r="W963" s="304">
        <f t="shared" ca="1" si="410"/>
        <v>58.444528205790668</v>
      </c>
      <c r="Y963" s="314" t="str">
        <f t="shared" ca="1" si="428"/>
        <v/>
      </c>
      <c r="Z963" s="315" t="str">
        <f t="shared" ca="1" si="429"/>
        <v/>
      </c>
      <c r="AA963" s="316" t="str">
        <f t="shared" ca="1" si="430"/>
        <v/>
      </c>
      <c r="AC963" s="310" t="e">
        <f t="shared" ca="1" si="431"/>
        <v>#N/A</v>
      </c>
      <c r="AD963" s="323" t="e">
        <f t="shared" ca="1" si="432"/>
        <v>#N/A</v>
      </c>
      <c r="AE963" s="324" t="e">
        <f t="shared" ca="1" si="411"/>
        <v>#N/A</v>
      </c>
      <c r="AG963" s="306">
        <f t="shared" ca="1" si="433"/>
        <v>1.9248555751159531</v>
      </c>
      <c r="AH963" s="304">
        <f t="shared" ca="1" si="434"/>
        <v>-7.8448686351805845</v>
      </c>
    </row>
    <row r="964" spans="1:34" x14ac:dyDescent="0.2">
      <c r="A964" s="347">
        <f t="shared" ca="1" si="412"/>
        <v>1E-4</v>
      </c>
      <c r="B964" s="304">
        <f t="shared" ca="1" si="413"/>
        <v>34.543500000001664</v>
      </c>
      <c r="D964" s="306">
        <f t="shared" ca="1" si="414"/>
        <v>-0.71013410835498902</v>
      </c>
      <c r="E964" s="307">
        <f t="shared" ca="1" si="415"/>
        <v>-1.9973042789401285</v>
      </c>
      <c r="F964" s="304">
        <f t="shared" ca="1" si="416"/>
        <v>2.1197912242769763</v>
      </c>
      <c r="G964" s="306">
        <f t="shared" ca="1" si="417"/>
        <v>10.90591509414342</v>
      </c>
      <c r="H964" s="307">
        <f t="shared" ca="1" si="418"/>
        <v>-119.98479136453987</v>
      </c>
      <c r="I964" s="304">
        <f t="shared" ca="1" si="419"/>
        <v>120.47941377195038</v>
      </c>
      <c r="J964" s="306">
        <f t="shared" ca="1" si="420"/>
        <v>770.52896740167785</v>
      </c>
      <c r="K964" s="307">
        <f t="shared" ca="1" si="421"/>
        <v>-14.280396833297376</v>
      </c>
      <c r="L964" s="304">
        <f t="shared" ref="L964:L1004" ca="1" si="435">SQRT(pos_x^2+pos_z^2)</f>
        <v>770.661287037835</v>
      </c>
      <c r="M964" s="306">
        <f t="shared" ca="1" si="422"/>
        <v>-1.4801512624366413</v>
      </c>
      <c r="N964" s="304">
        <f t="shared" ca="1" si="423"/>
        <v>-84.806420378580256</v>
      </c>
      <c r="P964" s="310">
        <f t="shared" ca="1" si="424"/>
        <v>23</v>
      </c>
      <c r="Q964" s="304">
        <f t="shared" ca="1" si="425"/>
        <v>0</v>
      </c>
      <c r="R964" s="306">
        <f t="shared" ca="1" si="426"/>
        <v>0</v>
      </c>
      <c r="S964" s="307">
        <f t="shared" ca="1" si="427"/>
        <v>7.4499999999999984</v>
      </c>
      <c r="T964" s="304">
        <f t="shared" ref="T964:T1004" ca="1" si="436">m*g</f>
        <v>73.084499999999991</v>
      </c>
      <c r="U964" s="311">
        <f t="shared" ref="U964:U1004" ca="1" si="437">IF(pos_xz&lt;L_rampe,Poids*COS(Beta),0)</f>
        <v>0</v>
      </c>
      <c r="V964" s="306">
        <f t="shared" ref="V964:V1004" ca="1" si="438">Rho_moyen*(20000-Alt_rampe-pos_z)/(20000+Alt_rampe+pos_z)</f>
        <v>1.226750598574196</v>
      </c>
      <c r="W964" s="304">
        <f t="shared" ref="W964:W1003" ca="1" si="439">1/2*Rho*Sref*Cx*vit_xz^2</f>
        <v>58.444785077151693</v>
      </c>
      <c r="Y964" s="314" t="str">
        <f t="shared" ca="1" si="428"/>
        <v/>
      </c>
      <c r="Z964" s="315" t="str">
        <f t="shared" ca="1" si="429"/>
        <v/>
      </c>
      <c r="AA964" s="316" t="str">
        <f t="shared" ca="1" si="430"/>
        <v/>
      </c>
      <c r="AC964" s="310" t="e">
        <f t="shared" ca="1" si="431"/>
        <v>#N/A</v>
      </c>
      <c r="AD964" s="323" t="e">
        <f t="shared" ca="1" si="432"/>
        <v>#N/A</v>
      </c>
      <c r="AE964" s="324" t="e">
        <f t="shared" ref="AE964:AE1004" ca="1" si="440">IF(t&lt;T_para, pos_z, NA())</f>
        <v>#N/A</v>
      </c>
      <c r="AG964" s="306">
        <f t="shared" ca="1" si="433"/>
        <v>1.924821749966104</v>
      </c>
      <c r="AH964" s="304">
        <f t="shared" ca="1" si="434"/>
        <v>-7.844903114871232</v>
      </c>
    </row>
    <row r="965" spans="1:34" x14ac:dyDescent="0.2">
      <c r="A965" s="347">
        <f t="shared" ref="A965:A1004" ca="1" si="441">IF(B964+0.01&lt;=T_ini+ROUNDUP(Temps_fin_propu,0), 0.01, IF(K964&gt;0, 0.1, 0.0001))</f>
        <v>1E-4</v>
      </c>
      <c r="B965" s="304">
        <f t="shared" ref="B965:B1004" ca="1" si="442">B964+pas</f>
        <v>34.543600000001668</v>
      </c>
      <c r="D965" s="306">
        <f t="shared" ref="D965:D1004" ca="1" si="443">IF(AND(L964&lt;L_rampe,Poussee&lt;Poids*SIN(M964)),0,(-W964+Poussee)/m*COS(M964)-U964/m*SIN(M964))</f>
        <v>-0.71013147095547458</v>
      </c>
      <c r="E965" s="307">
        <f t="shared" ref="E965:E1004" ca="1" si="444">IF(AND(L964&lt;L_rampe,Poussee&lt;Poids*SIN(M964)),0,(-W964+Poussee)/m*SIN(M964)+U964/m*COS(M964)-Poids/m)</f>
        <v>-1.9972694176995427</v>
      </c>
      <c r="F965" s="304">
        <f t="shared" ref="F965:F1004" ca="1" si="445">SQRT(acc_x^2+acc_z^2)</f>
        <v>2.1197574938938786</v>
      </c>
      <c r="G965" s="306">
        <f t="shared" ref="G965:G1004" ca="1" si="446">G964+acc_x*pas</f>
        <v>10.905844080996324</v>
      </c>
      <c r="H965" s="307">
        <f t="shared" ref="H965:H1004" ca="1" si="447">H964+acc_z*pas</f>
        <v>-119.98499109148165</v>
      </c>
      <c r="I965" s="304">
        <f t="shared" ref="I965:I1004" ca="1" si="448">SQRT(vit_x^2+vit_z^2)</f>
        <v>120.47960625077562</v>
      </c>
      <c r="J965" s="306">
        <f t="shared" ref="J965:J1004" ca="1" si="449">J964+0.5*(vit_x+G964)*pas*(K964&gt;=0)</f>
        <v>770.52896740167785</v>
      </c>
      <c r="K965" s="307">
        <f t="shared" ref="K965:K1004" ca="1" si="450">K964+0.5*(vit_z+H964)*pas</f>
        <v>-14.292395322420177</v>
      </c>
      <c r="L965" s="304">
        <f t="shared" ca="1" si="435"/>
        <v>770.66150946388154</v>
      </c>
      <c r="M965" s="306">
        <f t="shared" ref="M965:M1004" ca="1" si="451">IF(AND(L964&gt;L_rampe,G965&gt;0),ATAN2(G965,H965),$M$4)</f>
        <v>-1.4801519994998515</v>
      </c>
      <c r="N965" s="304">
        <f t="shared" ref="N965:N1004" ca="1" si="452">DEGREES(Beta)</f>
        <v>-84.806462609191428</v>
      </c>
      <c r="P965" s="310">
        <f t="shared" ref="P965:P1004" ca="1" si="453">MATCH(t-pas/2-T_ini,CdP_t)</f>
        <v>23</v>
      </c>
      <c r="Q965" s="304">
        <f t="shared" ref="Q965:Q1004" ca="1" si="454">(INDEX(CdP,2,i_P+1)-INDEX(CdP,2,i_P+0))/(INDEX(CdP,1,i_P+1)-INDEX(CdP,1,i_P+0))*(t-pas/2-T_ini-INDEX(CdP,1,i_P+0))+INDEX(CdP,2,i_P+0)</f>
        <v>0</v>
      </c>
      <c r="R965" s="306">
        <f t="shared" ref="R965:R1004" ca="1" si="455">Poussee/(g*ISP)</f>
        <v>0</v>
      </c>
      <c r="S965" s="307">
        <f t="shared" ref="S965:S1004" ca="1" si="456">S964-Débit*pas</f>
        <v>7.4499999999999984</v>
      </c>
      <c r="T965" s="304">
        <f t="shared" ca="1" si="436"/>
        <v>73.084499999999991</v>
      </c>
      <c r="U965" s="311">
        <f t="shared" ca="1" si="437"/>
        <v>0</v>
      </c>
      <c r="V965" s="306">
        <f t="shared" ca="1" si="438"/>
        <v>1.2267520704912012</v>
      </c>
      <c r="W965" s="304">
        <f t="shared" ca="1" si="439"/>
        <v>58.445041946178421</v>
      </c>
      <c r="Y965" s="314" t="str">
        <f t="shared" ref="Y965:Y1003" ca="1" si="457">IF(AND(pos_z&lt;=0,K964&gt;0),"Impact balistique","") &amp; IF(AND(H966&lt;0,vit_z&gt;=0),"Apogée","") &amp; IF(AND(Poussee=0,Q964&gt;0),"Fin de propulsion","") &amp; IF(AND(L966&gt;L_rampe,pos_xz&lt;=L_rampe),"Sortie de rampe","")</f>
        <v/>
      </c>
      <c r="Z965" s="315" t="str">
        <f t="shared" ref="Z965:Z1004" ca="1" si="458">IF(ABS(t-T_para)&lt;pas/2,"Para","")</f>
        <v/>
      </c>
      <c r="AA965" s="316" t="str">
        <f t="shared" ref="AA965:AA1004" ca="1" si="459">IF(ABS(t-T_satellite)&lt;pas/2,"Satellite","")</f>
        <v/>
      </c>
      <c r="AC965" s="310" t="e">
        <f t="shared" ref="AC965:AC1004" ca="1" si="460">IF(ABS(t-ROUND(t,0))&lt;0.001,t,NA())</f>
        <v>#N/A</v>
      </c>
      <c r="AD965" s="323" t="e">
        <f t="shared" ref="AD965:AD1004" ca="1" si="461">IF(ABS(t-ROUND(t,0))&lt;0.001,pos_x,NA())</f>
        <v>#N/A</v>
      </c>
      <c r="AE965" s="324" t="e">
        <f t="shared" ca="1" si="440"/>
        <v>#N/A</v>
      </c>
      <c r="AG965" s="306">
        <f t="shared" ref="AG965:AG1004" ca="1" si="462">IF(AND(L964&lt;L_rampe,Poussee&lt;Poids*SIN(M964)),0,(-W964+Poussee)/m-Poids*SIN(M964)/m)</f>
        <v>1.9247879251179221</v>
      </c>
      <c r="AH965" s="304">
        <f t="shared" ref="AH965:AH1004" ca="1" si="463">IF(AND(L964&lt;L_rampe,Poussee&lt;Poids*SIN(M964)), g*SIN(M964), (-W964+Poussee)/m)</f>
        <v>-7.8449375942485506</v>
      </c>
    </row>
    <row r="966" spans="1:34" x14ac:dyDescent="0.2">
      <c r="A966" s="347">
        <f t="shared" ca="1" si="441"/>
        <v>1E-4</v>
      </c>
      <c r="B966" s="304">
        <f t="shared" ca="1" si="442"/>
        <v>34.543700000001671</v>
      </c>
      <c r="D966" s="306">
        <f t="shared" ca="1" si="443"/>
        <v>-0.71012883353249101</v>
      </c>
      <c r="E966" s="307">
        <f t="shared" ca="1" si="444"/>
        <v>-1.9972345567757221</v>
      </c>
      <c r="F966" s="304">
        <f t="shared" ca="1" si="445"/>
        <v>2.1197237638412538</v>
      </c>
      <c r="G966" s="306">
        <f t="shared" ca="1" si="446"/>
        <v>10.905773068112971</v>
      </c>
      <c r="H966" s="307">
        <f t="shared" ca="1" si="447"/>
        <v>-119.98519081493733</v>
      </c>
      <c r="I966" s="304">
        <f t="shared" ca="1" si="448"/>
        <v>120.47979872621841</v>
      </c>
      <c r="J966" s="306">
        <f t="shared" ca="1" si="449"/>
        <v>770.52896740167785</v>
      </c>
      <c r="K966" s="307">
        <f t="shared" ca="1" si="450"/>
        <v>-14.304393831515497</v>
      </c>
      <c r="L966" s="304">
        <f t="shared" ca="1" si="435"/>
        <v>770.6617320770398</v>
      </c>
      <c r="M966" s="306">
        <f t="shared" ca="1" si="451"/>
        <v>-1.4801527365559075</v>
      </c>
      <c r="N966" s="304">
        <f t="shared" ca="1" si="452"/>
        <v>-84.806504839392701</v>
      </c>
      <c r="P966" s="310">
        <f t="shared" ca="1" si="453"/>
        <v>23</v>
      </c>
      <c r="Q966" s="304">
        <f t="shared" ca="1" si="454"/>
        <v>0</v>
      </c>
      <c r="R966" s="306">
        <f t="shared" ca="1" si="455"/>
        <v>0</v>
      </c>
      <c r="S966" s="307">
        <f t="shared" ca="1" si="456"/>
        <v>7.4499999999999984</v>
      </c>
      <c r="T966" s="304">
        <f t="shared" ca="1" si="436"/>
        <v>73.084499999999991</v>
      </c>
      <c r="U966" s="311">
        <f t="shared" ca="1" si="437"/>
        <v>0</v>
      </c>
      <c r="V966" s="306">
        <f t="shared" ca="1" si="438"/>
        <v>1.2267535424124243</v>
      </c>
      <c r="W966" s="304">
        <f t="shared" ca="1" si="439"/>
        <v>58.445298812870895</v>
      </c>
      <c r="Y966" s="314" t="str">
        <f t="shared" ca="1" si="457"/>
        <v/>
      </c>
      <c r="Z966" s="315" t="str">
        <f t="shared" ca="1" si="458"/>
        <v/>
      </c>
      <c r="AA966" s="316" t="str">
        <f t="shared" ca="1" si="459"/>
        <v/>
      </c>
      <c r="AC966" s="310" t="e">
        <f t="shared" ca="1" si="460"/>
        <v>#N/A</v>
      </c>
      <c r="AD966" s="323" t="e">
        <f t="shared" ca="1" si="461"/>
        <v>#N/A</v>
      </c>
      <c r="AE966" s="324" t="e">
        <f t="shared" ca="1" si="440"/>
        <v>#N/A</v>
      </c>
      <c r="AG966" s="306">
        <f t="shared" ca="1" si="462"/>
        <v>1.9247541005714082</v>
      </c>
      <c r="AH966" s="304">
        <f t="shared" ca="1" si="463"/>
        <v>-7.8449720733125412</v>
      </c>
    </row>
    <row r="967" spans="1:34" x14ac:dyDescent="0.2">
      <c r="A967" s="347">
        <f t="shared" ca="1" si="441"/>
        <v>1E-4</v>
      </c>
      <c r="B967" s="304">
        <f t="shared" ca="1" si="442"/>
        <v>34.543800000001674</v>
      </c>
      <c r="D967" s="306">
        <f t="shared" ca="1" si="443"/>
        <v>-0.710126196086037</v>
      </c>
      <c r="E967" s="307">
        <f t="shared" ca="1" si="444"/>
        <v>-1.9971996961686624</v>
      </c>
      <c r="F967" s="304">
        <f t="shared" ca="1" si="445"/>
        <v>2.1196900341190976</v>
      </c>
      <c r="G967" s="306">
        <f t="shared" ca="1" si="446"/>
        <v>10.905702055493363</v>
      </c>
      <c r="H967" s="307">
        <f t="shared" ca="1" si="447"/>
        <v>-119.98539053490694</v>
      </c>
      <c r="I967" s="304">
        <f t="shared" ca="1" si="448"/>
        <v>120.47999119827877</v>
      </c>
      <c r="J967" s="306">
        <f t="shared" ca="1" si="449"/>
        <v>770.52896740167785</v>
      </c>
      <c r="K967" s="307">
        <f t="shared" ca="1" si="450"/>
        <v>-14.31639236058299</v>
      </c>
      <c r="L967" s="304">
        <f t="shared" ca="1" si="435"/>
        <v>770.66195487731068</v>
      </c>
      <c r="M967" s="306">
        <f t="shared" ca="1" si="451"/>
        <v>-1.4801534736048094</v>
      </c>
      <c r="N967" s="304">
        <f t="shared" ca="1" si="452"/>
        <v>-84.806547069184077</v>
      </c>
      <c r="P967" s="310">
        <f t="shared" ca="1" si="453"/>
        <v>23</v>
      </c>
      <c r="Q967" s="304">
        <f t="shared" ca="1" si="454"/>
        <v>0</v>
      </c>
      <c r="R967" s="306">
        <f t="shared" ca="1" si="455"/>
        <v>0</v>
      </c>
      <c r="S967" s="307">
        <f t="shared" ca="1" si="456"/>
        <v>7.4499999999999984</v>
      </c>
      <c r="T967" s="304">
        <f t="shared" ca="1" si="436"/>
        <v>73.084499999999991</v>
      </c>
      <c r="U967" s="311">
        <f t="shared" ca="1" si="437"/>
        <v>0</v>
      </c>
      <c r="V967" s="306">
        <f t="shared" ca="1" si="438"/>
        <v>1.2267550143378643</v>
      </c>
      <c r="W967" s="304">
        <f t="shared" ca="1" si="439"/>
        <v>58.445555677229045</v>
      </c>
      <c r="Y967" s="314" t="str">
        <f t="shared" ca="1" si="457"/>
        <v/>
      </c>
      <c r="Z967" s="315" t="str">
        <f t="shared" ca="1" si="458"/>
        <v/>
      </c>
      <c r="AA967" s="316" t="str">
        <f t="shared" ca="1" si="459"/>
        <v/>
      </c>
      <c r="AC967" s="310" t="e">
        <f t="shared" ca="1" si="460"/>
        <v>#N/A</v>
      </c>
      <c r="AD967" s="323" t="e">
        <f t="shared" ca="1" si="461"/>
        <v>#N/A</v>
      </c>
      <c r="AE967" s="324" t="e">
        <f t="shared" ca="1" si="440"/>
        <v>#N/A</v>
      </c>
      <c r="AG967" s="306">
        <f t="shared" ca="1" si="462"/>
        <v>1.924720276326557</v>
      </c>
      <c r="AH967" s="304">
        <f t="shared" ca="1" si="463"/>
        <v>-7.8450065520632091</v>
      </c>
    </row>
    <row r="968" spans="1:34" x14ac:dyDescent="0.2">
      <c r="A968" s="347">
        <f t="shared" ca="1" si="441"/>
        <v>1E-4</v>
      </c>
      <c r="B968" s="304">
        <f t="shared" ca="1" si="442"/>
        <v>34.543900000001678</v>
      </c>
      <c r="D968" s="306">
        <f t="shared" ca="1" si="443"/>
        <v>-0.71012355861611121</v>
      </c>
      <c r="E968" s="307">
        <f t="shared" ca="1" si="444"/>
        <v>-1.9971648358783716</v>
      </c>
      <c r="F968" s="304">
        <f t="shared" ca="1" si="445"/>
        <v>2.119656304727418</v>
      </c>
      <c r="G968" s="306">
        <f t="shared" ca="1" si="446"/>
        <v>10.9056310431375</v>
      </c>
      <c r="H968" s="307">
        <f t="shared" ca="1" si="447"/>
        <v>-119.98559025139053</v>
      </c>
      <c r="I968" s="304">
        <f t="shared" ca="1" si="448"/>
        <v>120.48018366695673</v>
      </c>
      <c r="J968" s="306">
        <f t="shared" ca="1" si="449"/>
        <v>770.52896740167785</v>
      </c>
      <c r="K968" s="307">
        <f t="shared" ca="1" si="450"/>
        <v>-14.328390909622305</v>
      </c>
      <c r="L968" s="304">
        <f t="shared" ca="1" si="435"/>
        <v>770.66217786469508</v>
      </c>
      <c r="M968" s="306">
        <f t="shared" ca="1" si="451"/>
        <v>-1.4801542106465568</v>
      </c>
      <c r="N968" s="304">
        <f t="shared" ca="1" si="452"/>
        <v>-84.806589298565527</v>
      </c>
      <c r="P968" s="310">
        <f t="shared" ca="1" si="453"/>
        <v>23</v>
      </c>
      <c r="Q968" s="304">
        <f t="shared" ca="1" si="454"/>
        <v>0</v>
      </c>
      <c r="R968" s="306">
        <f t="shared" ca="1" si="455"/>
        <v>0</v>
      </c>
      <c r="S968" s="307">
        <f t="shared" ca="1" si="456"/>
        <v>7.4499999999999984</v>
      </c>
      <c r="T968" s="304">
        <f t="shared" ca="1" si="436"/>
        <v>73.084499999999991</v>
      </c>
      <c r="U968" s="311">
        <f t="shared" ca="1" si="437"/>
        <v>0</v>
      </c>
      <c r="V968" s="306">
        <f t="shared" ca="1" si="438"/>
        <v>1.2267564862675222</v>
      </c>
      <c r="W968" s="304">
        <f t="shared" ca="1" si="439"/>
        <v>58.445812539252948</v>
      </c>
      <c r="Y968" s="314" t="str">
        <f t="shared" ca="1" si="457"/>
        <v/>
      </c>
      <c r="Z968" s="315" t="str">
        <f t="shared" ca="1" si="458"/>
        <v/>
      </c>
      <c r="AA968" s="316" t="str">
        <f t="shared" ca="1" si="459"/>
        <v/>
      </c>
      <c r="AC968" s="310" t="e">
        <f t="shared" ca="1" si="460"/>
        <v>#N/A</v>
      </c>
      <c r="AD968" s="323" t="e">
        <f t="shared" ca="1" si="461"/>
        <v>#N/A</v>
      </c>
      <c r="AE968" s="324" t="e">
        <f t="shared" ca="1" si="440"/>
        <v>#N/A</v>
      </c>
      <c r="AG968" s="306">
        <f t="shared" ca="1" si="462"/>
        <v>1.92468645238338</v>
      </c>
      <c r="AH968" s="304">
        <f t="shared" ca="1" si="463"/>
        <v>-7.8450410305005445</v>
      </c>
    </row>
    <row r="969" spans="1:34" x14ac:dyDescent="0.2">
      <c r="A969" s="347">
        <f t="shared" ca="1" si="441"/>
        <v>1E-4</v>
      </c>
      <c r="B969" s="304">
        <f t="shared" ca="1" si="442"/>
        <v>34.544000000001681</v>
      </c>
      <c r="D969" s="306">
        <f t="shared" ca="1" si="443"/>
        <v>-0.71012092112271974</v>
      </c>
      <c r="E969" s="307">
        <f t="shared" ca="1" si="444"/>
        <v>-1.9971299759048415</v>
      </c>
      <c r="F969" s="304">
        <f t="shared" ca="1" si="445"/>
        <v>2.1196225756662086</v>
      </c>
      <c r="G969" s="306">
        <f t="shared" ca="1" si="446"/>
        <v>10.905560031045388</v>
      </c>
      <c r="H969" s="307">
        <f t="shared" ca="1" si="447"/>
        <v>-119.98578996438812</v>
      </c>
      <c r="I969" s="304">
        <f t="shared" ca="1" si="448"/>
        <v>120.48037613225232</v>
      </c>
      <c r="J969" s="306">
        <f t="shared" ca="1" si="449"/>
        <v>770.52896740167785</v>
      </c>
      <c r="K969" s="307">
        <f t="shared" ca="1" si="450"/>
        <v>-14.340389478633094</v>
      </c>
      <c r="L969" s="304">
        <f t="shared" ca="1" si="435"/>
        <v>770.66240103919358</v>
      </c>
      <c r="M969" s="306">
        <f t="shared" ca="1" si="451"/>
        <v>-1.4801549476811504</v>
      </c>
      <c r="N969" s="304">
        <f t="shared" ca="1" si="452"/>
        <v>-84.806631527537093</v>
      </c>
      <c r="P969" s="310">
        <f t="shared" ca="1" si="453"/>
        <v>23</v>
      </c>
      <c r="Q969" s="304">
        <f t="shared" ca="1" si="454"/>
        <v>0</v>
      </c>
      <c r="R969" s="306">
        <f t="shared" ca="1" si="455"/>
        <v>0</v>
      </c>
      <c r="S969" s="307">
        <f t="shared" ca="1" si="456"/>
        <v>7.4499999999999984</v>
      </c>
      <c r="T969" s="304">
        <f t="shared" ca="1" si="436"/>
        <v>73.084499999999991</v>
      </c>
      <c r="U969" s="311">
        <f t="shared" ca="1" si="437"/>
        <v>0</v>
      </c>
      <c r="V969" s="306">
        <f t="shared" ca="1" si="438"/>
        <v>1.2267579582013972</v>
      </c>
      <c r="W969" s="304">
        <f t="shared" ca="1" si="439"/>
        <v>58.446069398942534</v>
      </c>
      <c r="Y969" s="314" t="str">
        <f t="shared" ca="1" si="457"/>
        <v/>
      </c>
      <c r="Z969" s="315" t="str">
        <f t="shared" ca="1" si="458"/>
        <v/>
      </c>
      <c r="AA969" s="316" t="str">
        <f t="shared" ca="1" si="459"/>
        <v/>
      </c>
      <c r="AC969" s="310" t="e">
        <f t="shared" ca="1" si="460"/>
        <v>#N/A</v>
      </c>
      <c r="AD969" s="323" t="e">
        <f t="shared" ca="1" si="461"/>
        <v>#N/A</v>
      </c>
      <c r="AE969" s="324" t="e">
        <f t="shared" ca="1" si="440"/>
        <v>#N/A</v>
      </c>
      <c r="AG969" s="306">
        <f t="shared" ca="1" si="462"/>
        <v>1.9246526287418613</v>
      </c>
      <c r="AH969" s="304">
        <f t="shared" ca="1" si="463"/>
        <v>-7.845075508624558</v>
      </c>
    </row>
    <row r="970" spans="1:34" x14ac:dyDescent="0.2">
      <c r="A970" s="347">
        <f t="shared" ca="1" si="441"/>
        <v>1E-4</v>
      </c>
      <c r="B970" s="304">
        <f t="shared" ca="1" si="442"/>
        <v>34.544100000001684</v>
      </c>
      <c r="D970" s="306">
        <f t="shared" ca="1" si="443"/>
        <v>-0.71011828360585783</v>
      </c>
      <c r="E970" s="307">
        <f t="shared" ca="1" si="444"/>
        <v>-1.9970951162480794</v>
      </c>
      <c r="F970" s="304">
        <f t="shared" ca="1" si="445"/>
        <v>2.1195888469354758</v>
      </c>
      <c r="G970" s="306">
        <f t="shared" ca="1" si="446"/>
        <v>10.905489019217027</v>
      </c>
      <c r="H970" s="307">
        <f t="shared" ca="1" si="447"/>
        <v>-119.98598967389974</v>
      </c>
      <c r="I970" s="304">
        <f t="shared" ca="1" si="448"/>
        <v>120.48056859416559</v>
      </c>
      <c r="J970" s="306">
        <f t="shared" ca="1" si="449"/>
        <v>770.52896740167785</v>
      </c>
      <c r="K970" s="307">
        <f t="shared" ca="1" si="450"/>
        <v>-14.352388067615008</v>
      </c>
      <c r="L970" s="304">
        <f t="shared" ca="1" si="435"/>
        <v>770.66262440080709</v>
      </c>
      <c r="M970" s="306">
        <f t="shared" ca="1" si="451"/>
        <v>-1.4801556847085899</v>
      </c>
      <c r="N970" s="304">
        <f t="shared" ca="1" si="452"/>
        <v>-84.80667375609876</v>
      </c>
      <c r="P970" s="310">
        <f t="shared" ca="1" si="453"/>
        <v>23</v>
      </c>
      <c r="Q970" s="304">
        <f t="shared" ca="1" si="454"/>
        <v>0</v>
      </c>
      <c r="R970" s="306">
        <f t="shared" ca="1" si="455"/>
        <v>0</v>
      </c>
      <c r="S970" s="307">
        <f t="shared" ca="1" si="456"/>
        <v>7.4499999999999984</v>
      </c>
      <c r="T970" s="304">
        <f t="shared" ca="1" si="436"/>
        <v>73.084499999999991</v>
      </c>
      <c r="U970" s="311">
        <f t="shared" ca="1" si="437"/>
        <v>0</v>
      </c>
      <c r="V970" s="306">
        <f t="shared" ca="1" si="438"/>
        <v>1.22675943013949</v>
      </c>
      <c r="W970" s="304">
        <f t="shared" ca="1" si="439"/>
        <v>58.446326256297901</v>
      </c>
      <c r="Y970" s="314" t="str">
        <f t="shared" ca="1" si="457"/>
        <v/>
      </c>
      <c r="Z970" s="315" t="str">
        <f t="shared" ca="1" si="458"/>
        <v/>
      </c>
      <c r="AA970" s="316" t="str">
        <f t="shared" ca="1" si="459"/>
        <v/>
      </c>
      <c r="AC970" s="310" t="e">
        <f t="shared" ca="1" si="460"/>
        <v>#N/A</v>
      </c>
      <c r="AD970" s="323" t="e">
        <f t="shared" ca="1" si="461"/>
        <v>#N/A</v>
      </c>
      <c r="AE970" s="324" t="e">
        <f t="shared" ca="1" si="440"/>
        <v>#N/A</v>
      </c>
      <c r="AG970" s="306">
        <f t="shared" ca="1" si="462"/>
        <v>1.9246188054020132</v>
      </c>
      <c r="AH970" s="304">
        <f t="shared" ca="1" si="463"/>
        <v>-7.8451099864352409</v>
      </c>
    </row>
    <row r="971" spans="1:34" x14ac:dyDescent="0.2">
      <c r="A971" s="347">
        <f t="shared" ca="1" si="441"/>
        <v>1E-4</v>
      </c>
      <c r="B971" s="304">
        <f t="shared" ca="1" si="442"/>
        <v>34.544200000001688</v>
      </c>
      <c r="D971" s="306">
        <f t="shared" ca="1" si="443"/>
        <v>-0.71011564606552979</v>
      </c>
      <c r="E971" s="307">
        <f t="shared" ca="1" si="444"/>
        <v>-1.9970602569080738</v>
      </c>
      <c r="F971" s="304">
        <f t="shared" ca="1" si="445"/>
        <v>2.1195551185352097</v>
      </c>
      <c r="G971" s="306">
        <f t="shared" ca="1" si="446"/>
        <v>10.90541800765242</v>
      </c>
      <c r="H971" s="307">
        <f t="shared" ca="1" si="447"/>
        <v>-119.98618937992543</v>
      </c>
      <c r="I971" s="304">
        <f t="shared" ca="1" si="448"/>
        <v>120.48076105269655</v>
      </c>
      <c r="J971" s="306">
        <f t="shared" ca="1" si="449"/>
        <v>770.52896740167785</v>
      </c>
      <c r="K971" s="307">
        <f t="shared" ca="1" si="450"/>
        <v>-14.364386676567699</v>
      </c>
      <c r="L971" s="304">
        <f t="shared" ca="1" si="435"/>
        <v>770.66284794953617</v>
      </c>
      <c r="M971" s="306">
        <f t="shared" ca="1" si="451"/>
        <v>-1.4801564217288756</v>
      </c>
      <c r="N971" s="304">
        <f t="shared" ca="1" si="452"/>
        <v>-84.806715984250545</v>
      </c>
      <c r="P971" s="310">
        <f t="shared" ca="1" si="453"/>
        <v>23</v>
      </c>
      <c r="Q971" s="304">
        <f t="shared" ca="1" si="454"/>
        <v>0</v>
      </c>
      <c r="R971" s="306">
        <f t="shared" ca="1" si="455"/>
        <v>0</v>
      </c>
      <c r="S971" s="307">
        <f t="shared" ca="1" si="456"/>
        <v>7.4499999999999984</v>
      </c>
      <c r="T971" s="304">
        <f t="shared" ca="1" si="436"/>
        <v>73.084499999999991</v>
      </c>
      <c r="U971" s="311">
        <f t="shared" ca="1" si="437"/>
        <v>0</v>
      </c>
      <c r="V971" s="306">
        <f t="shared" ca="1" si="438"/>
        <v>1.2267609020817996</v>
      </c>
      <c r="W971" s="304">
        <f t="shared" ca="1" si="439"/>
        <v>58.446583111318958</v>
      </c>
      <c r="Y971" s="314" t="str">
        <f t="shared" ca="1" si="457"/>
        <v/>
      </c>
      <c r="Z971" s="315" t="str">
        <f t="shared" ca="1" si="458"/>
        <v/>
      </c>
      <c r="AA971" s="316" t="str">
        <f t="shared" ca="1" si="459"/>
        <v/>
      </c>
      <c r="AC971" s="310" t="e">
        <f t="shared" ca="1" si="460"/>
        <v>#N/A</v>
      </c>
      <c r="AD971" s="323" t="e">
        <f t="shared" ca="1" si="461"/>
        <v>#N/A</v>
      </c>
      <c r="AE971" s="324" t="e">
        <f t="shared" ca="1" si="440"/>
        <v>#N/A</v>
      </c>
      <c r="AG971" s="306">
        <f t="shared" ca="1" si="462"/>
        <v>1.924584982363827</v>
      </c>
      <c r="AH971" s="304">
        <f t="shared" ca="1" si="463"/>
        <v>-7.8451444639326056</v>
      </c>
    </row>
    <row r="972" spans="1:34" x14ac:dyDescent="0.2">
      <c r="A972" s="347">
        <f t="shared" ca="1" si="441"/>
        <v>1E-4</v>
      </c>
      <c r="B972" s="304">
        <f t="shared" ca="1" si="442"/>
        <v>34.544300000001691</v>
      </c>
      <c r="D972" s="306">
        <f t="shared" ca="1" si="443"/>
        <v>-0.71011300850173431</v>
      </c>
      <c r="E972" s="307">
        <f t="shared" ca="1" si="444"/>
        <v>-1.9970253978848351</v>
      </c>
      <c r="F972" s="304">
        <f t="shared" ca="1" si="445"/>
        <v>2.1195213904654202</v>
      </c>
      <c r="G972" s="306">
        <f t="shared" ca="1" si="446"/>
        <v>10.90534699635157</v>
      </c>
      <c r="H972" s="307">
        <f t="shared" ca="1" si="447"/>
        <v>-119.98638908246522</v>
      </c>
      <c r="I972" s="304">
        <f t="shared" ca="1" si="448"/>
        <v>120.48095350784523</v>
      </c>
      <c r="J972" s="306">
        <f t="shared" ca="1" si="449"/>
        <v>770.52896740167785</v>
      </c>
      <c r="K972" s="307">
        <f t="shared" ca="1" si="450"/>
        <v>-14.376385305490819</v>
      </c>
      <c r="L972" s="304">
        <f t="shared" ca="1" si="435"/>
        <v>770.66307168538174</v>
      </c>
      <c r="M972" s="306">
        <f t="shared" ca="1" si="451"/>
        <v>-1.4801571587420075</v>
      </c>
      <c r="N972" s="304">
        <f t="shared" ca="1" si="452"/>
        <v>-84.806758211992445</v>
      </c>
      <c r="P972" s="310">
        <f t="shared" ca="1" si="453"/>
        <v>23</v>
      </c>
      <c r="Q972" s="304">
        <f t="shared" ca="1" si="454"/>
        <v>0</v>
      </c>
      <c r="R972" s="306">
        <f t="shared" ca="1" si="455"/>
        <v>0</v>
      </c>
      <c r="S972" s="307">
        <f t="shared" ca="1" si="456"/>
        <v>7.4499999999999984</v>
      </c>
      <c r="T972" s="304">
        <f t="shared" ca="1" si="436"/>
        <v>73.084499999999991</v>
      </c>
      <c r="U972" s="311">
        <f t="shared" ca="1" si="437"/>
        <v>0</v>
      </c>
      <c r="V972" s="306">
        <f t="shared" ca="1" si="438"/>
        <v>1.2267623740283269</v>
      </c>
      <c r="W972" s="304">
        <f t="shared" ca="1" si="439"/>
        <v>58.446839964005768</v>
      </c>
      <c r="Y972" s="314" t="str">
        <f t="shared" ca="1" si="457"/>
        <v/>
      </c>
      <c r="Z972" s="315" t="str">
        <f t="shared" ca="1" si="458"/>
        <v/>
      </c>
      <c r="AA972" s="316" t="str">
        <f t="shared" ca="1" si="459"/>
        <v/>
      </c>
      <c r="AC972" s="310" t="e">
        <f t="shared" ca="1" si="460"/>
        <v>#N/A</v>
      </c>
      <c r="AD972" s="323" t="e">
        <f t="shared" ca="1" si="461"/>
        <v>#N/A</v>
      </c>
      <c r="AE972" s="324" t="e">
        <f t="shared" ca="1" si="440"/>
        <v>#N/A</v>
      </c>
      <c r="AG972" s="306">
        <f t="shared" ca="1" si="462"/>
        <v>1.9245511596273071</v>
      </c>
      <c r="AH972" s="304">
        <f t="shared" ca="1" si="463"/>
        <v>-7.8451789411166404</v>
      </c>
    </row>
    <row r="973" spans="1:34" x14ac:dyDescent="0.2">
      <c r="A973" s="347">
        <f t="shared" ca="1" si="441"/>
        <v>1E-4</v>
      </c>
      <c r="B973" s="304">
        <f t="shared" ca="1" si="442"/>
        <v>34.544400000001694</v>
      </c>
      <c r="D973" s="306">
        <f t="shared" ca="1" si="443"/>
        <v>-0.7101103709144736</v>
      </c>
      <c r="E973" s="307">
        <f t="shared" ca="1" si="444"/>
        <v>-1.9969905391783564</v>
      </c>
      <c r="F973" s="304">
        <f t="shared" ca="1" si="445"/>
        <v>2.1194876627261019</v>
      </c>
      <c r="G973" s="306">
        <f t="shared" ca="1" si="446"/>
        <v>10.905275985314479</v>
      </c>
      <c r="H973" s="307">
        <f t="shared" ca="1" si="447"/>
        <v>-119.98658878151915</v>
      </c>
      <c r="I973" s="304">
        <f t="shared" ca="1" si="448"/>
        <v>120.48114595961168</v>
      </c>
      <c r="J973" s="306">
        <f t="shared" ca="1" si="449"/>
        <v>770.52896740167785</v>
      </c>
      <c r="K973" s="307">
        <f t="shared" ca="1" si="450"/>
        <v>-14.388383954384018</v>
      </c>
      <c r="L973" s="304">
        <f t="shared" ca="1" si="435"/>
        <v>770.66329560834458</v>
      </c>
      <c r="M973" s="306">
        <f t="shared" ca="1" si="451"/>
        <v>-1.4801578957479857</v>
      </c>
      <c r="N973" s="304">
        <f t="shared" ca="1" si="452"/>
        <v>-84.806800439324476</v>
      </c>
      <c r="P973" s="310">
        <f t="shared" ca="1" si="453"/>
        <v>23</v>
      </c>
      <c r="Q973" s="304">
        <f t="shared" ca="1" si="454"/>
        <v>0</v>
      </c>
      <c r="R973" s="306">
        <f t="shared" ca="1" si="455"/>
        <v>0</v>
      </c>
      <c r="S973" s="307">
        <f t="shared" ca="1" si="456"/>
        <v>7.4499999999999984</v>
      </c>
      <c r="T973" s="304">
        <f t="shared" ca="1" si="436"/>
        <v>73.084499999999991</v>
      </c>
      <c r="U973" s="311">
        <f t="shared" ca="1" si="437"/>
        <v>0</v>
      </c>
      <c r="V973" s="306">
        <f t="shared" ca="1" si="438"/>
        <v>1.2267638459790713</v>
      </c>
      <c r="W973" s="304">
        <f t="shared" ca="1" si="439"/>
        <v>58.447096814358332</v>
      </c>
      <c r="Y973" s="314" t="str">
        <f t="shared" ca="1" si="457"/>
        <v/>
      </c>
      <c r="Z973" s="315" t="str">
        <f t="shared" ca="1" si="458"/>
        <v/>
      </c>
      <c r="AA973" s="316" t="str">
        <f t="shared" ca="1" si="459"/>
        <v/>
      </c>
      <c r="AC973" s="310" t="e">
        <f t="shared" ca="1" si="460"/>
        <v>#N/A</v>
      </c>
      <c r="AD973" s="323" t="e">
        <f t="shared" ca="1" si="461"/>
        <v>#N/A</v>
      </c>
      <c r="AE973" s="324" t="e">
        <f t="shared" ca="1" si="440"/>
        <v>#N/A</v>
      </c>
      <c r="AG973" s="306">
        <f t="shared" ca="1" si="462"/>
        <v>1.9245173371924524</v>
      </c>
      <c r="AH973" s="304">
        <f t="shared" ca="1" si="463"/>
        <v>-7.8452134179873534</v>
      </c>
    </row>
    <row r="974" spans="1:34" x14ac:dyDescent="0.2">
      <c r="A974" s="347">
        <f t="shared" ca="1" si="441"/>
        <v>1E-4</v>
      </c>
      <c r="B974" s="304">
        <f t="shared" ca="1" si="442"/>
        <v>34.544500000001698</v>
      </c>
      <c r="D974" s="306">
        <f t="shared" ca="1" si="443"/>
        <v>-0.71010773330374743</v>
      </c>
      <c r="E974" s="307">
        <f t="shared" ca="1" si="444"/>
        <v>-1.9969556807886368</v>
      </c>
      <c r="F974" s="304">
        <f t="shared" ca="1" si="445"/>
        <v>2.1194539353172539</v>
      </c>
      <c r="G974" s="306">
        <f t="shared" ca="1" si="446"/>
        <v>10.905204974541148</v>
      </c>
      <c r="H974" s="307">
        <f t="shared" ca="1" si="447"/>
        <v>-119.98678847708723</v>
      </c>
      <c r="I974" s="304">
        <f t="shared" ca="1" si="448"/>
        <v>120.48133840799591</v>
      </c>
      <c r="J974" s="306">
        <f t="shared" ca="1" si="449"/>
        <v>770.52896740167785</v>
      </c>
      <c r="K974" s="307">
        <f t="shared" ca="1" si="450"/>
        <v>-14.400382623246948</v>
      </c>
      <c r="L974" s="304">
        <f t="shared" ca="1" si="435"/>
        <v>770.66351971842539</v>
      </c>
      <c r="M974" s="306">
        <f t="shared" ca="1" si="451"/>
        <v>-1.4801586327468104</v>
      </c>
      <c r="N974" s="304">
        <f t="shared" ca="1" si="452"/>
        <v>-84.806842666246638</v>
      </c>
      <c r="P974" s="310">
        <f t="shared" ca="1" si="453"/>
        <v>23</v>
      </c>
      <c r="Q974" s="304">
        <f t="shared" ca="1" si="454"/>
        <v>0</v>
      </c>
      <c r="R974" s="306">
        <f t="shared" ca="1" si="455"/>
        <v>0</v>
      </c>
      <c r="S974" s="307">
        <f t="shared" ca="1" si="456"/>
        <v>7.4499999999999984</v>
      </c>
      <c r="T974" s="304">
        <f t="shared" ca="1" si="436"/>
        <v>73.084499999999991</v>
      </c>
      <c r="U974" s="311">
        <f t="shared" ca="1" si="437"/>
        <v>0</v>
      </c>
      <c r="V974" s="306">
        <f t="shared" ca="1" si="438"/>
        <v>1.226765317934033</v>
      </c>
      <c r="W974" s="304">
        <f t="shared" ca="1" si="439"/>
        <v>58.447353662376607</v>
      </c>
      <c r="Y974" s="314" t="str">
        <f t="shared" ca="1" si="457"/>
        <v/>
      </c>
      <c r="Z974" s="315" t="str">
        <f t="shared" ca="1" si="458"/>
        <v/>
      </c>
      <c r="AA974" s="316" t="str">
        <f t="shared" ca="1" si="459"/>
        <v/>
      </c>
      <c r="AC974" s="310" t="e">
        <f t="shared" ca="1" si="460"/>
        <v>#N/A</v>
      </c>
      <c r="AD974" s="323" t="e">
        <f t="shared" ca="1" si="461"/>
        <v>#N/A</v>
      </c>
      <c r="AE974" s="324" t="e">
        <f t="shared" ca="1" si="440"/>
        <v>#N/A</v>
      </c>
      <c r="AG974" s="306">
        <f t="shared" ca="1" si="462"/>
        <v>1.9244835150592596</v>
      </c>
      <c r="AH974" s="304">
        <f t="shared" ca="1" si="463"/>
        <v>-7.8452478945447446</v>
      </c>
    </row>
    <row r="975" spans="1:34" x14ac:dyDescent="0.2">
      <c r="A975" s="347">
        <f t="shared" ca="1" si="441"/>
        <v>1E-4</v>
      </c>
      <c r="B975" s="304">
        <f t="shared" ca="1" si="442"/>
        <v>34.544600000001701</v>
      </c>
      <c r="D975" s="306">
        <f t="shared" ca="1" si="443"/>
        <v>-0.71010509566955637</v>
      </c>
      <c r="E975" s="307">
        <f t="shared" ca="1" si="444"/>
        <v>-1.9969208227156825</v>
      </c>
      <c r="F975" s="304">
        <f t="shared" ca="1" si="445"/>
        <v>2.1194202082388824</v>
      </c>
      <c r="G975" s="306">
        <f t="shared" ca="1" si="446"/>
        <v>10.905133964031581</v>
      </c>
      <c r="H975" s="307">
        <f t="shared" ca="1" si="447"/>
        <v>-119.98698816916951</v>
      </c>
      <c r="I975" s="304">
        <f t="shared" ca="1" si="448"/>
        <v>120.48153085299796</v>
      </c>
      <c r="J975" s="306">
        <f t="shared" ca="1" si="449"/>
        <v>770.52896740167785</v>
      </c>
      <c r="K975" s="307">
        <f t="shared" ca="1" si="450"/>
        <v>-14.41238131207926</v>
      </c>
      <c r="L975" s="304">
        <f t="shared" ca="1" si="435"/>
        <v>770.66374401562496</v>
      </c>
      <c r="M975" s="306">
        <f t="shared" ca="1" si="451"/>
        <v>-1.4801593697384816</v>
      </c>
      <c r="N975" s="304">
        <f t="shared" ca="1" si="452"/>
        <v>-84.806884892758944</v>
      </c>
      <c r="P975" s="310">
        <f t="shared" ca="1" si="453"/>
        <v>23</v>
      </c>
      <c r="Q975" s="304">
        <f t="shared" ca="1" si="454"/>
        <v>0</v>
      </c>
      <c r="R975" s="306">
        <f t="shared" ca="1" si="455"/>
        <v>0</v>
      </c>
      <c r="S975" s="307">
        <f t="shared" ca="1" si="456"/>
        <v>7.4499999999999984</v>
      </c>
      <c r="T975" s="304">
        <f t="shared" ca="1" si="436"/>
        <v>73.084499999999991</v>
      </c>
      <c r="U975" s="311">
        <f t="shared" ca="1" si="437"/>
        <v>0</v>
      </c>
      <c r="V975" s="306">
        <f t="shared" ca="1" si="438"/>
        <v>1.2267667898932118</v>
      </c>
      <c r="W975" s="304">
        <f t="shared" ca="1" si="439"/>
        <v>58.447610508060649</v>
      </c>
      <c r="Y975" s="314" t="str">
        <f t="shared" ca="1" si="457"/>
        <v/>
      </c>
      <c r="Z975" s="315" t="str">
        <f t="shared" ca="1" si="458"/>
        <v/>
      </c>
      <c r="AA975" s="316" t="str">
        <f t="shared" ca="1" si="459"/>
        <v/>
      </c>
      <c r="AC975" s="310" t="e">
        <f t="shared" ca="1" si="460"/>
        <v>#N/A</v>
      </c>
      <c r="AD975" s="323" t="e">
        <f t="shared" ca="1" si="461"/>
        <v>#N/A</v>
      </c>
      <c r="AE975" s="324" t="e">
        <f t="shared" ca="1" si="440"/>
        <v>#N/A</v>
      </c>
      <c r="AG975" s="306">
        <f t="shared" ca="1" si="462"/>
        <v>1.9244496932277384</v>
      </c>
      <c r="AH975" s="304">
        <f t="shared" ca="1" si="463"/>
        <v>-7.8452823707888077</v>
      </c>
    </row>
    <row r="976" spans="1:34" x14ac:dyDescent="0.2">
      <c r="A976" s="347">
        <f t="shared" ca="1" si="441"/>
        <v>1E-4</v>
      </c>
      <c r="B976" s="304">
        <f t="shared" ca="1" si="442"/>
        <v>34.544700000001704</v>
      </c>
      <c r="D976" s="306">
        <f t="shared" ca="1" si="443"/>
        <v>-0.71010245801190119</v>
      </c>
      <c r="E976" s="307">
        <f t="shared" ca="1" si="444"/>
        <v>-1.9968859649594863</v>
      </c>
      <c r="F976" s="304">
        <f t="shared" ca="1" si="445"/>
        <v>2.1193864814909813</v>
      </c>
      <c r="G976" s="306">
        <f t="shared" ca="1" si="446"/>
        <v>10.90506295378578</v>
      </c>
      <c r="H976" s="307">
        <f t="shared" ca="1" si="447"/>
        <v>-119.987187857766</v>
      </c>
      <c r="I976" s="304">
        <f t="shared" ca="1" si="448"/>
        <v>120.48172329461785</v>
      </c>
      <c r="J976" s="306">
        <f t="shared" ca="1" si="449"/>
        <v>770.52896740167785</v>
      </c>
      <c r="K976" s="307">
        <f t="shared" ca="1" si="450"/>
        <v>-14.424380020880607</v>
      </c>
      <c r="L976" s="304">
        <f t="shared" ca="1" si="435"/>
        <v>770.66396849994408</v>
      </c>
      <c r="M976" s="306">
        <f t="shared" ca="1" si="451"/>
        <v>-1.4801601067229995</v>
      </c>
      <c r="N976" s="304">
        <f t="shared" ca="1" si="452"/>
        <v>-84.806927118861381</v>
      </c>
      <c r="P976" s="310">
        <f t="shared" ca="1" si="453"/>
        <v>23</v>
      </c>
      <c r="Q976" s="304">
        <f t="shared" ca="1" si="454"/>
        <v>0</v>
      </c>
      <c r="R976" s="306">
        <f t="shared" ca="1" si="455"/>
        <v>0</v>
      </c>
      <c r="S976" s="307">
        <f t="shared" ca="1" si="456"/>
        <v>7.4499999999999984</v>
      </c>
      <c r="T976" s="304">
        <f t="shared" ca="1" si="436"/>
        <v>73.084499999999991</v>
      </c>
      <c r="U976" s="311">
        <f t="shared" ca="1" si="437"/>
        <v>0</v>
      </c>
      <c r="V976" s="306">
        <f t="shared" ca="1" si="438"/>
        <v>1.226768261856608</v>
      </c>
      <c r="W976" s="304">
        <f t="shared" ca="1" si="439"/>
        <v>58.44786735141043</v>
      </c>
      <c r="Y976" s="314" t="str">
        <f t="shared" ca="1" si="457"/>
        <v/>
      </c>
      <c r="Z976" s="315" t="str">
        <f t="shared" ca="1" si="458"/>
        <v/>
      </c>
      <c r="AA976" s="316" t="str">
        <f t="shared" ca="1" si="459"/>
        <v/>
      </c>
      <c r="AC976" s="310" t="e">
        <f t="shared" ca="1" si="460"/>
        <v>#N/A</v>
      </c>
      <c r="AD976" s="323" t="e">
        <f t="shared" ca="1" si="461"/>
        <v>#N/A</v>
      </c>
      <c r="AE976" s="324" t="e">
        <f t="shared" ca="1" si="440"/>
        <v>#N/A</v>
      </c>
      <c r="AG976" s="306">
        <f t="shared" ca="1" si="462"/>
        <v>1.9244158716978781</v>
      </c>
      <c r="AH976" s="304">
        <f t="shared" ca="1" si="463"/>
        <v>-7.8453168467195518</v>
      </c>
    </row>
    <row r="977" spans="1:34" x14ac:dyDescent="0.2">
      <c r="A977" s="347">
        <f t="shared" ca="1" si="441"/>
        <v>1E-4</v>
      </c>
      <c r="B977" s="304">
        <f t="shared" ca="1" si="442"/>
        <v>34.544800000001707</v>
      </c>
      <c r="D977" s="306">
        <f t="shared" ca="1" si="443"/>
        <v>-0.71009982033078278</v>
      </c>
      <c r="E977" s="307">
        <f t="shared" ca="1" si="444"/>
        <v>-1.996851107520051</v>
      </c>
      <c r="F977" s="304">
        <f t="shared" ca="1" si="445"/>
        <v>2.119352755073554</v>
      </c>
      <c r="G977" s="306">
        <f t="shared" ca="1" si="446"/>
        <v>10.904991943803747</v>
      </c>
      <c r="H977" s="307">
        <f t="shared" ca="1" si="447"/>
        <v>-119.98738754287676</v>
      </c>
      <c r="I977" s="304">
        <f t="shared" ca="1" si="448"/>
        <v>120.48191573285561</v>
      </c>
      <c r="J977" s="306">
        <f t="shared" ca="1" si="449"/>
        <v>770.52896740167785</v>
      </c>
      <c r="K977" s="307">
        <f t="shared" ca="1" si="450"/>
        <v>-14.43637874965064</v>
      </c>
      <c r="L977" s="304">
        <f t="shared" ca="1" si="435"/>
        <v>770.66419317138343</v>
      </c>
      <c r="M977" s="306">
        <f t="shared" ca="1" si="451"/>
        <v>-1.4801608437003642</v>
      </c>
      <c r="N977" s="304">
        <f t="shared" ca="1" si="452"/>
        <v>-84.806969344553977</v>
      </c>
      <c r="P977" s="310">
        <f t="shared" ca="1" si="453"/>
        <v>23</v>
      </c>
      <c r="Q977" s="304">
        <f t="shared" ca="1" si="454"/>
        <v>0</v>
      </c>
      <c r="R977" s="306">
        <f t="shared" ca="1" si="455"/>
        <v>0</v>
      </c>
      <c r="S977" s="307">
        <f t="shared" ca="1" si="456"/>
        <v>7.4499999999999984</v>
      </c>
      <c r="T977" s="304">
        <f t="shared" ca="1" si="436"/>
        <v>73.084499999999991</v>
      </c>
      <c r="U977" s="311">
        <f t="shared" ca="1" si="437"/>
        <v>0</v>
      </c>
      <c r="V977" s="306">
        <f t="shared" ca="1" si="438"/>
        <v>1.2267697338242209</v>
      </c>
      <c r="W977" s="304">
        <f t="shared" ca="1" si="439"/>
        <v>58.448124192425944</v>
      </c>
      <c r="Y977" s="314" t="str">
        <f t="shared" ca="1" si="457"/>
        <v/>
      </c>
      <c r="Z977" s="315" t="str">
        <f t="shared" ca="1" si="458"/>
        <v/>
      </c>
      <c r="AA977" s="316" t="str">
        <f t="shared" ca="1" si="459"/>
        <v/>
      </c>
      <c r="AC977" s="310" t="e">
        <f t="shared" ca="1" si="460"/>
        <v>#N/A</v>
      </c>
      <c r="AD977" s="323" t="e">
        <f t="shared" ca="1" si="461"/>
        <v>#N/A</v>
      </c>
      <c r="AE977" s="324" t="e">
        <f t="shared" ca="1" si="440"/>
        <v>#N/A</v>
      </c>
      <c r="AG977" s="306">
        <f t="shared" ca="1" si="462"/>
        <v>1.9243820504696796</v>
      </c>
      <c r="AH977" s="304">
        <f t="shared" ca="1" si="463"/>
        <v>-7.8453513223369722</v>
      </c>
    </row>
    <row r="978" spans="1:34" x14ac:dyDescent="0.2">
      <c r="A978" s="347">
        <f t="shared" ca="1" si="441"/>
        <v>1E-4</v>
      </c>
      <c r="B978" s="304">
        <f t="shared" ca="1" si="442"/>
        <v>34.544900000001711</v>
      </c>
      <c r="D978" s="306">
        <f t="shared" ca="1" si="443"/>
        <v>-0.71009718262620092</v>
      </c>
      <c r="E978" s="307">
        <f t="shared" ca="1" si="444"/>
        <v>-1.9968162503973765</v>
      </c>
      <c r="F978" s="304">
        <f t="shared" ca="1" si="445"/>
        <v>2.1193190289866002</v>
      </c>
      <c r="G978" s="306">
        <f t="shared" ca="1" si="446"/>
        <v>10.904920934085485</v>
      </c>
      <c r="H978" s="307">
        <f t="shared" ca="1" si="447"/>
        <v>-119.98758722450179</v>
      </c>
      <c r="I978" s="304">
        <f t="shared" ca="1" si="448"/>
        <v>120.48210816771129</v>
      </c>
      <c r="J978" s="306">
        <f t="shared" ca="1" si="449"/>
        <v>770.52896740167785</v>
      </c>
      <c r="K978" s="307">
        <f t="shared" ca="1" si="450"/>
        <v>-14.448377498389009</v>
      </c>
      <c r="L978" s="304">
        <f t="shared" ca="1" si="435"/>
        <v>770.66441802994382</v>
      </c>
      <c r="M978" s="306">
        <f t="shared" ca="1" si="451"/>
        <v>-1.4801615806705755</v>
      </c>
      <c r="N978" s="304">
        <f t="shared" ca="1" si="452"/>
        <v>-84.807011569836703</v>
      </c>
      <c r="P978" s="310">
        <f t="shared" ca="1" si="453"/>
        <v>23</v>
      </c>
      <c r="Q978" s="304">
        <f t="shared" ca="1" si="454"/>
        <v>0</v>
      </c>
      <c r="R978" s="306">
        <f t="shared" ca="1" si="455"/>
        <v>0</v>
      </c>
      <c r="S978" s="307">
        <f t="shared" ca="1" si="456"/>
        <v>7.4499999999999984</v>
      </c>
      <c r="T978" s="304">
        <f t="shared" ca="1" si="436"/>
        <v>73.084499999999991</v>
      </c>
      <c r="U978" s="311">
        <f t="shared" ca="1" si="437"/>
        <v>0</v>
      </c>
      <c r="V978" s="306">
        <f t="shared" ca="1" si="438"/>
        <v>1.2267712057960514</v>
      </c>
      <c r="W978" s="304">
        <f t="shared" ca="1" si="439"/>
        <v>58.448381031107232</v>
      </c>
      <c r="Y978" s="314" t="str">
        <f t="shared" ca="1" si="457"/>
        <v/>
      </c>
      <c r="Z978" s="315" t="str">
        <f t="shared" ca="1" si="458"/>
        <v/>
      </c>
      <c r="AA978" s="316" t="str">
        <f t="shared" ca="1" si="459"/>
        <v/>
      </c>
      <c r="AC978" s="310" t="e">
        <f t="shared" ca="1" si="460"/>
        <v>#N/A</v>
      </c>
      <c r="AD978" s="323" t="e">
        <f t="shared" ca="1" si="461"/>
        <v>#N/A</v>
      </c>
      <c r="AE978" s="324" t="e">
        <f t="shared" ca="1" si="440"/>
        <v>#N/A</v>
      </c>
      <c r="AG978" s="306">
        <f t="shared" ca="1" si="462"/>
        <v>1.9243482295431509</v>
      </c>
      <c r="AH978" s="304">
        <f t="shared" ca="1" si="463"/>
        <v>-7.8453857976410681</v>
      </c>
    </row>
    <row r="979" spans="1:34" x14ac:dyDescent="0.2">
      <c r="A979" s="347">
        <f t="shared" ca="1" si="441"/>
        <v>1E-4</v>
      </c>
      <c r="B979" s="304">
        <f t="shared" ca="1" si="442"/>
        <v>34.545000000001714</v>
      </c>
      <c r="D979" s="306">
        <f t="shared" ca="1" si="443"/>
        <v>-0.71009454489815915</v>
      </c>
      <c r="E979" s="307">
        <f t="shared" ca="1" si="444"/>
        <v>-1.9967813935914602</v>
      </c>
      <c r="F979" s="304">
        <f t="shared" ca="1" si="445"/>
        <v>2.1192853032301189</v>
      </c>
      <c r="G979" s="306">
        <f t="shared" ca="1" si="446"/>
        <v>10.904849924630994</v>
      </c>
      <c r="H979" s="307">
        <f t="shared" ca="1" si="447"/>
        <v>-119.98778690264115</v>
      </c>
      <c r="I979" s="304">
        <f t="shared" ca="1" si="448"/>
        <v>120.4823005991849</v>
      </c>
      <c r="J979" s="306">
        <f t="shared" ca="1" si="449"/>
        <v>770.52896740167785</v>
      </c>
      <c r="K979" s="307">
        <f t="shared" ca="1" si="450"/>
        <v>-14.460376267095366</v>
      </c>
      <c r="L979" s="304">
        <f t="shared" ca="1" si="435"/>
        <v>770.66464307562592</v>
      </c>
      <c r="M979" s="306">
        <f t="shared" ca="1" si="451"/>
        <v>-1.4801623176336338</v>
      </c>
      <c r="N979" s="304">
        <f t="shared" ca="1" si="452"/>
        <v>-84.807053794709603</v>
      </c>
      <c r="P979" s="310">
        <f t="shared" ca="1" si="453"/>
        <v>23</v>
      </c>
      <c r="Q979" s="304">
        <f t="shared" ca="1" si="454"/>
        <v>0</v>
      </c>
      <c r="R979" s="306">
        <f t="shared" ca="1" si="455"/>
        <v>0</v>
      </c>
      <c r="S979" s="307">
        <f t="shared" ca="1" si="456"/>
        <v>7.4499999999999984</v>
      </c>
      <c r="T979" s="304">
        <f t="shared" ca="1" si="436"/>
        <v>73.084499999999991</v>
      </c>
      <c r="U979" s="311">
        <f t="shared" ca="1" si="437"/>
        <v>0</v>
      </c>
      <c r="V979" s="306">
        <f t="shared" ca="1" si="438"/>
        <v>1.2267726777720986</v>
      </c>
      <c r="W979" s="304">
        <f t="shared" ca="1" si="439"/>
        <v>58.448637867454259</v>
      </c>
      <c r="Y979" s="314" t="str">
        <f t="shared" ca="1" si="457"/>
        <v/>
      </c>
      <c r="Z979" s="315" t="str">
        <f t="shared" ca="1" si="458"/>
        <v/>
      </c>
      <c r="AA979" s="316" t="str">
        <f t="shared" ca="1" si="459"/>
        <v/>
      </c>
      <c r="AC979" s="310" t="e">
        <f t="shared" ca="1" si="460"/>
        <v>#N/A</v>
      </c>
      <c r="AD979" s="323" t="e">
        <f t="shared" ca="1" si="461"/>
        <v>#N/A</v>
      </c>
      <c r="AE979" s="324" t="e">
        <f t="shared" ca="1" si="440"/>
        <v>#N/A</v>
      </c>
      <c r="AG979" s="306">
        <f t="shared" ca="1" si="462"/>
        <v>1.9243144089182813</v>
      </c>
      <c r="AH979" s="304">
        <f t="shared" ca="1" si="463"/>
        <v>-7.8454202726318449</v>
      </c>
    </row>
    <row r="980" spans="1:34" x14ac:dyDescent="0.2">
      <c r="A980" s="347">
        <f t="shared" ca="1" si="441"/>
        <v>1E-4</v>
      </c>
      <c r="B980" s="304">
        <f t="shared" ca="1" si="442"/>
        <v>34.545100000001717</v>
      </c>
      <c r="D980" s="306">
        <f t="shared" ca="1" si="443"/>
        <v>-0.71009190714665504</v>
      </c>
      <c r="E980" s="307">
        <f t="shared" ca="1" si="444"/>
        <v>-1.9967465371023057</v>
      </c>
      <c r="F980" s="304">
        <f t="shared" ca="1" si="445"/>
        <v>2.1192515778041132</v>
      </c>
      <c r="G980" s="306">
        <f t="shared" ca="1" si="446"/>
        <v>10.90477891544028</v>
      </c>
      <c r="H980" s="307">
        <f t="shared" ca="1" si="447"/>
        <v>-119.98798657729486</v>
      </c>
      <c r="I980" s="304">
        <f t="shared" ca="1" si="448"/>
        <v>120.48249302727646</v>
      </c>
      <c r="J980" s="306">
        <f t="shared" ca="1" si="449"/>
        <v>770.52896740167785</v>
      </c>
      <c r="K980" s="307">
        <f t="shared" ca="1" si="450"/>
        <v>-14.472375055769364</v>
      </c>
      <c r="L980" s="304">
        <f t="shared" ca="1" si="435"/>
        <v>770.66486830843064</v>
      </c>
      <c r="M980" s="306">
        <f t="shared" ca="1" si="451"/>
        <v>-1.4801630545895395</v>
      </c>
      <c r="N980" s="304">
        <f t="shared" ca="1" si="452"/>
        <v>-84.80709601917269</v>
      </c>
      <c r="P980" s="310">
        <f t="shared" ca="1" si="453"/>
        <v>23</v>
      </c>
      <c r="Q980" s="304">
        <f t="shared" ca="1" si="454"/>
        <v>0</v>
      </c>
      <c r="R980" s="306">
        <f t="shared" ca="1" si="455"/>
        <v>0</v>
      </c>
      <c r="S980" s="307">
        <f t="shared" ca="1" si="456"/>
        <v>7.4499999999999984</v>
      </c>
      <c r="T980" s="304">
        <f t="shared" ca="1" si="436"/>
        <v>73.084499999999991</v>
      </c>
      <c r="U980" s="311">
        <f t="shared" ca="1" si="437"/>
        <v>0</v>
      </c>
      <c r="V980" s="306">
        <f t="shared" ca="1" si="438"/>
        <v>1.2267741497523628</v>
      </c>
      <c r="W980" s="304">
        <f t="shared" ca="1" si="439"/>
        <v>58.44889470146704</v>
      </c>
      <c r="Y980" s="314" t="str">
        <f t="shared" ca="1" si="457"/>
        <v/>
      </c>
      <c r="Z980" s="315" t="str">
        <f t="shared" ca="1" si="458"/>
        <v/>
      </c>
      <c r="AA980" s="316" t="str">
        <f t="shared" ca="1" si="459"/>
        <v/>
      </c>
      <c r="AC980" s="310" t="e">
        <f t="shared" ca="1" si="460"/>
        <v>#N/A</v>
      </c>
      <c r="AD980" s="323" t="e">
        <f t="shared" ca="1" si="461"/>
        <v>#N/A</v>
      </c>
      <c r="AE980" s="324" t="e">
        <f t="shared" ca="1" si="440"/>
        <v>#N/A</v>
      </c>
      <c r="AG980" s="306">
        <f t="shared" ca="1" si="462"/>
        <v>1.9242805885950789</v>
      </c>
      <c r="AH980" s="304">
        <f t="shared" ca="1" si="463"/>
        <v>-7.8454547473092981</v>
      </c>
    </row>
    <row r="981" spans="1:34" x14ac:dyDescent="0.2">
      <c r="A981" s="347">
        <f t="shared" ca="1" si="441"/>
        <v>1E-4</v>
      </c>
      <c r="B981" s="304">
        <f t="shared" ca="1" si="442"/>
        <v>34.545200000001721</v>
      </c>
      <c r="D981" s="306">
        <f t="shared" ca="1" si="443"/>
        <v>-0.71008926937168859</v>
      </c>
      <c r="E981" s="307">
        <f t="shared" ca="1" si="444"/>
        <v>-1.9967116809299092</v>
      </c>
      <c r="F981" s="304">
        <f t="shared" ca="1" si="445"/>
        <v>2.1192178527085797</v>
      </c>
      <c r="G981" s="306">
        <f t="shared" ca="1" si="446"/>
        <v>10.904707906513343</v>
      </c>
      <c r="H981" s="307">
        <f t="shared" ca="1" si="447"/>
        <v>-119.98818624846295</v>
      </c>
      <c r="I981" s="304">
        <f t="shared" ca="1" si="448"/>
        <v>120.48268545198604</v>
      </c>
      <c r="J981" s="306">
        <f t="shared" ca="1" si="449"/>
        <v>770.52896740167785</v>
      </c>
      <c r="K981" s="307">
        <f t="shared" ca="1" si="450"/>
        <v>-14.484373864410651</v>
      </c>
      <c r="L981" s="304">
        <f t="shared" ca="1" si="435"/>
        <v>770.66509372835878</v>
      </c>
      <c r="M981" s="306">
        <f t="shared" ca="1" si="451"/>
        <v>-1.4801637915382919</v>
      </c>
      <c r="N981" s="304">
        <f t="shared" ca="1" si="452"/>
        <v>-84.807138243225921</v>
      </c>
      <c r="P981" s="310">
        <f t="shared" ca="1" si="453"/>
        <v>23</v>
      </c>
      <c r="Q981" s="304">
        <f t="shared" ca="1" si="454"/>
        <v>0</v>
      </c>
      <c r="R981" s="306">
        <f t="shared" ca="1" si="455"/>
        <v>0</v>
      </c>
      <c r="S981" s="307">
        <f t="shared" ca="1" si="456"/>
        <v>7.4499999999999984</v>
      </c>
      <c r="T981" s="304">
        <f t="shared" ca="1" si="436"/>
        <v>73.084499999999991</v>
      </c>
      <c r="U981" s="311">
        <f t="shared" ca="1" si="437"/>
        <v>0</v>
      </c>
      <c r="V981" s="306">
        <f t="shared" ca="1" si="438"/>
        <v>1.2267756217368444</v>
      </c>
      <c r="W981" s="304">
        <f t="shared" ca="1" si="439"/>
        <v>58.44915153314561</v>
      </c>
      <c r="Y981" s="314" t="str">
        <f t="shared" ca="1" si="457"/>
        <v/>
      </c>
      <c r="Z981" s="315" t="str">
        <f t="shared" ca="1" si="458"/>
        <v/>
      </c>
      <c r="AA981" s="316" t="str">
        <f t="shared" ca="1" si="459"/>
        <v/>
      </c>
      <c r="AC981" s="310" t="e">
        <f t="shared" ca="1" si="460"/>
        <v>#N/A</v>
      </c>
      <c r="AD981" s="323" t="e">
        <f t="shared" ca="1" si="461"/>
        <v>#N/A</v>
      </c>
      <c r="AE981" s="324" t="e">
        <f t="shared" ca="1" si="440"/>
        <v>#N/A</v>
      </c>
      <c r="AG981" s="306">
        <f t="shared" ca="1" si="462"/>
        <v>1.92424676857354</v>
      </c>
      <c r="AH981" s="304">
        <f t="shared" ca="1" si="463"/>
        <v>-7.8454892216734295</v>
      </c>
    </row>
    <row r="982" spans="1:34" x14ac:dyDescent="0.2">
      <c r="A982" s="347">
        <f t="shared" ca="1" si="441"/>
        <v>1E-4</v>
      </c>
      <c r="B982" s="304">
        <f t="shared" ca="1" si="442"/>
        <v>34.545300000001724</v>
      </c>
      <c r="D982" s="306">
        <f t="shared" ca="1" si="443"/>
        <v>-0.71008663157326479</v>
      </c>
      <c r="E982" s="307">
        <f t="shared" ca="1" si="444"/>
        <v>-1.9966768250742675</v>
      </c>
      <c r="F982" s="304">
        <f t="shared" ca="1" si="445"/>
        <v>2.1191841279435164</v>
      </c>
      <c r="G982" s="306">
        <f t="shared" ca="1" si="446"/>
        <v>10.904636897850185</v>
      </c>
      <c r="H982" s="307">
        <f t="shared" ca="1" si="447"/>
        <v>-119.98838591614546</v>
      </c>
      <c r="I982" s="304">
        <f t="shared" ca="1" si="448"/>
        <v>120.48287787331364</v>
      </c>
      <c r="J982" s="306">
        <f t="shared" ca="1" si="449"/>
        <v>770.52896740167785</v>
      </c>
      <c r="K982" s="307">
        <f t="shared" ca="1" si="450"/>
        <v>-14.496372693018882</v>
      </c>
      <c r="L982" s="304">
        <f t="shared" ca="1" si="435"/>
        <v>770.66531933541091</v>
      </c>
      <c r="M982" s="306">
        <f t="shared" ca="1" si="451"/>
        <v>-1.4801645284798917</v>
      </c>
      <c r="N982" s="304">
        <f t="shared" ca="1" si="452"/>
        <v>-84.807180466869326</v>
      </c>
      <c r="P982" s="310">
        <f t="shared" ca="1" si="453"/>
        <v>23</v>
      </c>
      <c r="Q982" s="304">
        <f t="shared" ca="1" si="454"/>
        <v>0</v>
      </c>
      <c r="R982" s="306">
        <f t="shared" ca="1" si="455"/>
        <v>0</v>
      </c>
      <c r="S982" s="307">
        <f t="shared" ca="1" si="456"/>
        <v>7.4499999999999984</v>
      </c>
      <c r="T982" s="304">
        <f t="shared" ca="1" si="436"/>
        <v>73.084499999999991</v>
      </c>
      <c r="U982" s="311">
        <f t="shared" ca="1" si="437"/>
        <v>0</v>
      </c>
      <c r="V982" s="306">
        <f t="shared" ca="1" si="438"/>
        <v>1.2267770937255427</v>
      </c>
      <c r="W982" s="304">
        <f t="shared" ca="1" si="439"/>
        <v>58.449408362489919</v>
      </c>
      <c r="Y982" s="314" t="str">
        <f t="shared" ca="1" si="457"/>
        <v/>
      </c>
      <c r="Z982" s="315" t="str">
        <f t="shared" ca="1" si="458"/>
        <v/>
      </c>
      <c r="AA982" s="316" t="str">
        <f t="shared" ca="1" si="459"/>
        <v/>
      </c>
      <c r="AC982" s="310" t="e">
        <f t="shared" ca="1" si="460"/>
        <v>#N/A</v>
      </c>
      <c r="AD982" s="323" t="e">
        <f t="shared" ca="1" si="461"/>
        <v>#N/A</v>
      </c>
      <c r="AE982" s="324" t="e">
        <f t="shared" ca="1" si="440"/>
        <v>#N/A</v>
      </c>
      <c r="AG982" s="306">
        <f t="shared" ca="1" si="462"/>
        <v>1.924212948853663</v>
      </c>
      <c r="AH982" s="304">
        <f t="shared" ca="1" si="463"/>
        <v>-7.8455236957242445</v>
      </c>
    </row>
    <row r="983" spans="1:34" x14ac:dyDescent="0.2">
      <c r="A983" s="347">
        <f t="shared" ca="1" si="441"/>
        <v>1E-4</v>
      </c>
      <c r="B983" s="304">
        <f t="shared" ca="1" si="442"/>
        <v>34.545400000001727</v>
      </c>
      <c r="D983" s="306">
        <f t="shared" ca="1" si="443"/>
        <v>-0.71008399375138154</v>
      </c>
      <c r="E983" s="307">
        <f t="shared" ca="1" si="444"/>
        <v>-1.9966419695353865</v>
      </c>
      <c r="F983" s="304">
        <f t="shared" ca="1" si="445"/>
        <v>2.1191504035089297</v>
      </c>
      <c r="G983" s="306">
        <f t="shared" ca="1" si="446"/>
        <v>10.90456588945081</v>
      </c>
      <c r="H983" s="307">
        <f t="shared" ca="1" si="447"/>
        <v>-119.98858558034242</v>
      </c>
      <c r="I983" s="304">
        <f t="shared" ca="1" si="448"/>
        <v>120.48307029125931</v>
      </c>
      <c r="J983" s="306">
        <f t="shared" ca="1" si="449"/>
        <v>770.52896740167785</v>
      </c>
      <c r="K983" s="307">
        <f t="shared" ca="1" si="450"/>
        <v>-14.508371541593707</v>
      </c>
      <c r="L983" s="304">
        <f t="shared" ca="1" si="435"/>
        <v>770.66554512958794</v>
      </c>
      <c r="M983" s="306">
        <f t="shared" ca="1" si="451"/>
        <v>-1.4801652654143389</v>
      </c>
      <c r="N983" s="304">
        <f t="shared" ca="1" si="452"/>
        <v>-84.807222690102932</v>
      </c>
      <c r="P983" s="310">
        <f t="shared" ca="1" si="453"/>
        <v>23</v>
      </c>
      <c r="Q983" s="304">
        <f t="shared" ca="1" si="454"/>
        <v>0</v>
      </c>
      <c r="R983" s="306">
        <f t="shared" ca="1" si="455"/>
        <v>0</v>
      </c>
      <c r="S983" s="307">
        <f t="shared" ca="1" si="456"/>
        <v>7.4499999999999984</v>
      </c>
      <c r="T983" s="304">
        <f t="shared" ca="1" si="436"/>
        <v>73.084499999999991</v>
      </c>
      <c r="U983" s="311">
        <f t="shared" ca="1" si="437"/>
        <v>0</v>
      </c>
      <c r="V983" s="306">
        <f t="shared" ca="1" si="438"/>
        <v>1.226778565718458</v>
      </c>
      <c r="W983" s="304">
        <f t="shared" ca="1" si="439"/>
        <v>58.449665189500031</v>
      </c>
      <c r="Y983" s="314" t="str">
        <f t="shared" ca="1" si="457"/>
        <v/>
      </c>
      <c r="Z983" s="315" t="str">
        <f t="shared" ca="1" si="458"/>
        <v/>
      </c>
      <c r="AA983" s="316" t="str">
        <f t="shared" ca="1" si="459"/>
        <v/>
      </c>
      <c r="AC983" s="310" t="e">
        <f t="shared" ca="1" si="460"/>
        <v>#N/A</v>
      </c>
      <c r="AD983" s="323" t="e">
        <f t="shared" ca="1" si="461"/>
        <v>#N/A</v>
      </c>
      <c r="AE983" s="324" t="e">
        <f t="shared" ca="1" si="440"/>
        <v>#N/A</v>
      </c>
      <c r="AG983" s="306">
        <f t="shared" ca="1" si="462"/>
        <v>1.9241791294354531</v>
      </c>
      <c r="AH983" s="304">
        <f t="shared" ca="1" si="463"/>
        <v>-7.8455581694617358</v>
      </c>
    </row>
    <row r="984" spans="1:34" x14ac:dyDescent="0.2">
      <c r="A984" s="347">
        <f t="shared" ca="1" si="441"/>
        <v>1E-4</v>
      </c>
      <c r="B984" s="304">
        <f t="shared" ca="1" si="442"/>
        <v>34.545500000001731</v>
      </c>
      <c r="D984" s="306">
        <f t="shared" ca="1" si="443"/>
        <v>-0.71008135590603871</v>
      </c>
      <c r="E984" s="307">
        <f t="shared" ca="1" si="444"/>
        <v>-1.9966071143132593</v>
      </c>
      <c r="F984" s="304">
        <f t="shared" ca="1" si="445"/>
        <v>2.1191166794048129</v>
      </c>
      <c r="G984" s="306">
        <f t="shared" ca="1" si="446"/>
        <v>10.90449488131522</v>
      </c>
      <c r="H984" s="307">
        <f t="shared" ca="1" si="447"/>
        <v>-119.98878524105385</v>
      </c>
      <c r="I984" s="304">
        <f t="shared" ca="1" si="448"/>
        <v>120.48326270582305</v>
      </c>
      <c r="J984" s="306">
        <f t="shared" ca="1" si="449"/>
        <v>770.52896740167785</v>
      </c>
      <c r="K984" s="307">
        <f t="shared" ca="1" si="450"/>
        <v>-14.520370410134777</v>
      </c>
      <c r="L984" s="304">
        <f t="shared" ca="1" si="435"/>
        <v>770.66577111089055</v>
      </c>
      <c r="M984" s="306">
        <f t="shared" ca="1" si="451"/>
        <v>-1.4801660023416336</v>
      </c>
      <c r="N984" s="304">
        <f t="shared" ca="1" si="452"/>
        <v>-84.80726491292674</v>
      </c>
      <c r="P984" s="310">
        <f t="shared" ca="1" si="453"/>
        <v>23</v>
      </c>
      <c r="Q984" s="304">
        <f t="shared" ca="1" si="454"/>
        <v>0</v>
      </c>
      <c r="R984" s="306">
        <f t="shared" ca="1" si="455"/>
        <v>0</v>
      </c>
      <c r="S984" s="307">
        <f t="shared" ca="1" si="456"/>
        <v>7.4499999999999984</v>
      </c>
      <c r="T984" s="304">
        <f t="shared" ca="1" si="436"/>
        <v>73.084499999999991</v>
      </c>
      <c r="U984" s="311">
        <f t="shared" ca="1" si="437"/>
        <v>0</v>
      </c>
      <c r="V984" s="306">
        <f t="shared" ca="1" si="438"/>
        <v>1.2267800377155902</v>
      </c>
      <c r="W984" s="304">
        <f t="shared" ca="1" si="439"/>
        <v>58.44992201417589</v>
      </c>
      <c r="Y984" s="314" t="str">
        <f t="shared" ca="1" si="457"/>
        <v/>
      </c>
      <c r="Z984" s="315" t="str">
        <f t="shared" ca="1" si="458"/>
        <v/>
      </c>
      <c r="AA984" s="316" t="str">
        <f t="shared" ca="1" si="459"/>
        <v/>
      </c>
      <c r="AC984" s="310" t="e">
        <f t="shared" ca="1" si="460"/>
        <v>#N/A</v>
      </c>
      <c r="AD984" s="323" t="e">
        <f t="shared" ca="1" si="461"/>
        <v>#N/A</v>
      </c>
      <c r="AE984" s="324" t="e">
        <f t="shared" ca="1" si="440"/>
        <v>#N/A</v>
      </c>
      <c r="AG984" s="306">
        <f t="shared" ca="1" si="462"/>
        <v>1.9241453103189006</v>
      </c>
      <c r="AH984" s="304">
        <f t="shared" ca="1" si="463"/>
        <v>-7.8455926428859115</v>
      </c>
    </row>
    <row r="985" spans="1:34" x14ac:dyDescent="0.2">
      <c r="A985" s="347">
        <f t="shared" ca="1" si="441"/>
        <v>1E-4</v>
      </c>
      <c r="B985" s="304">
        <f t="shared" ca="1" si="442"/>
        <v>34.545600000001734</v>
      </c>
      <c r="D985" s="306">
        <f t="shared" ca="1" si="443"/>
        <v>-0.71007871803723754</v>
      </c>
      <c r="E985" s="307">
        <f t="shared" ca="1" si="444"/>
        <v>-1.9965722594078912</v>
      </c>
      <c r="F985" s="304">
        <f t="shared" ca="1" si="445"/>
        <v>2.1190829556311708</v>
      </c>
      <c r="G985" s="306">
        <f t="shared" ca="1" si="446"/>
        <v>10.904423873443417</v>
      </c>
      <c r="H985" s="307">
        <f t="shared" ca="1" si="447"/>
        <v>-119.98898489827978</v>
      </c>
      <c r="I985" s="304">
        <f t="shared" ca="1" si="448"/>
        <v>120.48345511700491</v>
      </c>
      <c r="J985" s="306">
        <f t="shared" ca="1" si="449"/>
        <v>770.52896740167785</v>
      </c>
      <c r="K985" s="307">
        <f t="shared" ca="1" si="450"/>
        <v>-14.532369298641743</v>
      </c>
      <c r="L985" s="304">
        <f t="shared" ca="1" si="435"/>
        <v>770.66599727931953</v>
      </c>
      <c r="M985" s="306">
        <f t="shared" ca="1" si="451"/>
        <v>-1.4801667392617757</v>
      </c>
      <c r="N985" s="304">
        <f t="shared" ca="1" si="452"/>
        <v>-84.807307135340707</v>
      </c>
      <c r="P985" s="310">
        <f t="shared" ca="1" si="453"/>
        <v>23</v>
      </c>
      <c r="Q985" s="304">
        <f t="shared" ca="1" si="454"/>
        <v>0</v>
      </c>
      <c r="R985" s="306">
        <f t="shared" ca="1" si="455"/>
        <v>0</v>
      </c>
      <c r="S985" s="307">
        <f t="shared" ca="1" si="456"/>
        <v>7.4499999999999984</v>
      </c>
      <c r="T985" s="304">
        <f t="shared" ca="1" si="436"/>
        <v>73.084499999999991</v>
      </c>
      <c r="U985" s="311">
        <f t="shared" ca="1" si="437"/>
        <v>0</v>
      </c>
      <c r="V985" s="306">
        <f t="shared" ca="1" si="438"/>
        <v>1.2267815097169397</v>
      </c>
      <c r="W985" s="304">
        <f t="shared" ca="1" si="439"/>
        <v>58.450178836517544</v>
      </c>
      <c r="Y985" s="314" t="str">
        <f t="shared" ca="1" si="457"/>
        <v/>
      </c>
      <c r="Z985" s="315" t="str">
        <f t="shared" ca="1" si="458"/>
        <v/>
      </c>
      <c r="AA985" s="316" t="str">
        <f t="shared" ca="1" si="459"/>
        <v/>
      </c>
      <c r="AC985" s="310" t="e">
        <f t="shared" ca="1" si="460"/>
        <v>#N/A</v>
      </c>
      <c r="AD985" s="323" t="e">
        <f t="shared" ca="1" si="461"/>
        <v>#N/A</v>
      </c>
      <c r="AE985" s="324" t="e">
        <f t="shared" ca="1" si="440"/>
        <v>#N/A</v>
      </c>
      <c r="AG985" s="306">
        <f t="shared" ca="1" si="462"/>
        <v>1.9241114915040134</v>
      </c>
      <c r="AH985" s="304">
        <f t="shared" ca="1" si="463"/>
        <v>-7.8456271159967654</v>
      </c>
    </row>
    <row r="986" spans="1:34" x14ac:dyDescent="0.2">
      <c r="A986" s="347">
        <f t="shared" ca="1" si="441"/>
        <v>1E-4</v>
      </c>
      <c r="B986" s="304">
        <f t="shared" ca="1" si="442"/>
        <v>34.545700000001737</v>
      </c>
      <c r="D986" s="306">
        <f t="shared" ca="1" si="443"/>
        <v>-0.71007608014498169</v>
      </c>
      <c r="E986" s="307">
        <f t="shared" ca="1" si="444"/>
        <v>-1.9965374048192777</v>
      </c>
      <c r="F986" s="304">
        <f t="shared" ca="1" si="445"/>
        <v>2.1190492321880017</v>
      </c>
      <c r="G986" s="306">
        <f t="shared" ca="1" si="446"/>
        <v>10.904352865835403</v>
      </c>
      <c r="H986" s="307">
        <f t="shared" ca="1" si="447"/>
        <v>-119.98918455202026</v>
      </c>
      <c r="I986" s="304">
        <f t="shared" ca="1" si="448"/>
        <v>120.48364752480492</v>
      </c>
      <c r="J986" s="306">
        <f t="shared" ca="1" si="449"/>
        <v>770.52896740167785</v>
      </c>
      <c r="K986" s="307">
        <f t="shared" ca="1" si="450"/>
        <v>-14.544368207114259</v>
      </c>
      <c r="L986" s="304">
        <f t="shared" ca="1" si="435"/>
        <v>770.66622363487556</v>
      </c>
      <c r="M986" s="306">
        <f t="shared" ca="1" si="451"/>
        <v>-1.4801674761747656</v>
      </c>
      <c r="N986" s="304">
        <f t="shared" ca="1" si="452"/>
        <v>-84.807349357344904</v>
      </c>
      <c r="P986" s="310">
        <f t="shared" ca="1" si="453"/>
        <v>23</v>
      </c>
      <c r="Q986" s="304">
        <f t="shared" ca="1" si="454"/>
        <v>0</v>
      </c>
      <c r="R986" s="306">
        <f t="shared" ca="1" si="455"/>
        <v>0</v>
      </c>
      <c r="S986" s="307">
        <f t="shared" ca="1" si="456"/>
        <v>7.4499999999999984</v>
      </c>
      <c r="T986" s="304">
        <f t="shared" ca="1" si="436"/>
        <v>73.084499999999991</v>
      </c>
      <c r="U986" s="311">
        <f t="shared" ca="1" si="437"/>
        <v>0</v>
      </c>
      <c r="V986" s="306">
        <f t="shared" ca="1" si="438"/>
        <v>1.2267829817225053</v>
      </c>
      <c r="W986" s="304">
        <f t="shared" ca="1" si="439"/>
        <v>58.450435656524959</v>
      </c>
      <c r="Y986" s="314" t="str">
        <f t="shared" ca="1" si="457"/>
        <v/>
      </c>
      <c r="Z986" s="315" t="str">
        <f t="shared" ca="1" si="458"/>
        <v/>
      </c>
      <c r="AA986" s="316" t="str">
        <f t="shared" ca="1" si="459"/>
        <v/>
      </c>
      <c r="AC986" s="310" t="e">
        <f t="shared" ca="1" si="460"/>
        <v>#N/A</v>
      </c>
      <c r="AD986" s="323" t="e">
        <f t="shared" ca="1" si="461"/>
        <v>#N/A</v>
      </c>
      <c r="AE986" s="324" t="e">
        <f t="shared" ca="1" si="440"/>
        <v>#N/A</v>
      </c>
      <c r="AG986" s="306">
        <f t="shared" ca="1" si="462"/>
        <v>1.924077672990788</v>
      </c>
      <c r="AH986" s="304">
        <f t="shared" ca="1" si="463"/>
        <v>-7.8456615887943029</v>
      </c>
    </row>
    <row r="987" spans="1:34" x14ac:dyDescent="0.2">
      <c r="A987" s="347">
        <f t="shared" ca="1" si="441"/>
        <v>1E-4</v>
      </c>
      <c r="B987" s="304">
        <f t="shared" ca="1" si="442"/>
        <v>34.545800000001741</v>
      </c>
      <c r="D987" s="306">
        <f t="shared" ca="1" si="443"/>
        <v>-0.7100734422292666</v>
      </c>
      <c r="E987" s="307">
        <f t="shared" ca="1" si="444"/>
        <v>-1.9965025505474214</v>
      </c>
      <c r="F987" s="304">
        <f t="shared" ca="1" si="445"/>
        <v>2.119015509075306</v>
      </c>
      <c r="G987" s="306">
        <f t="shared" ca="1" si="446"/>
        <v>10.90428185849118</v>
      </c>
      <c r="H987" s="307">
        <f t="shared" ca="1" si="447"/>
        <v>-119.98938420227532</v>
      </c>
      <c r="I987" s="304">
        <f t="shared" ca="1" si="448"/>
        <v>120.48383992922311</v>
      </c>
      <c r="J987" s="306">
        <f t="shared" ca="1" si="449"/>
        <v>770.52896740167785</v>
      </c>
      <c r="K987" s="307">
        <f t="shared" ca="1" si="450"/>
        <v>-14.556367135551973</v>
      </c>
      <c r="L987" s="304">
        <f t="shared" ca="1" si="435"/>
        <v>770.66645017755957</v>
      </c>
      <c r="M987" s="306">
        <f t="shared" ca="1" si="451"/>
        <v>-1.4801682130806031</v>
      </c>
      <c r="N987" s="304">
        <f t="shared" ca="1" si="452"/>
        <v>-84.807391578939288</v>
      </c>
      <c r="P987" s="310">
        <f t="shared" ca="1" si="453"/>
        <v>23</v>
      </c>
      <c r="Q987" s="304">
        <f t="shared" ca="1" si="454"/>
        <v>0</v>
      </c>
      <c r="R987" s="306">
        <f t="shared" ca="1" si="455"/>
        <v>0</v>
      </c>
      <c r="S987" s="307">
        <f t="shared" ca="1" si="456"/>
        <v>7.4499999999999984</v>
      </c>
      <c r="T987" s="304">
        <f t="shared" ca="1" si="436"/>
        <v>73.084499999999991</v>
      </c>
      <c r="U987" s="311">
        <f t="shared" ca="1" si="437"/>
        <v>0</v>
      </c>
      <c r="V987" s="306">
        <f t="shared" ca="1" si="438"/>
        <v>1.2267844537322885</v>
      </c>
      <c r="W987" s="304">
        <f t="shared" ca="1" si="439"/>
        <v>58.450692474198171</v>
      </c>
      <c r="Y987" s="314" t="str">
        <f t="shared" ca="1" si="457"/>
        <v/>
      </c>
      <c r="Z987" s="315" t="str">
        <f t="shared" ca="1" si="458"/>
        <v/>
      </c>
      <c r="AA987" s="316" t="str">
        <f t="shared" ca="1" si="459"/>
        <v/>
      </c>
      <c r="AC987" s="310" t="e">
        <f t="shared" ca="1" si="460"/>
        <v>#N/A</v>
      </c>
      <c r="AD987" s="323" t="e">
        <f t="shared" ca="1" si="461"/>
        <v>#N/A</v>
      </c>
      <c r="AE987" s="324" t="e">
        <f t="shared" ca="1" si="440"/>
        <v>#N/A</v>
      </c>
      <c r="AG987" s="306">
        <f t="shared" ca="1" si="462"/>
        <v>1.9240438547792289</v>
      </c>
      <c r="AH987" s="304">
        <f t="shared" ca="1" si="463"/>
        <v>-7.8456960612785194</v>
      </c>
    </row>
    <row r="988" spans="1:34" x14ac:dyDescent="0.2">
      <c r="A988" s="347">
        <f t="shared" ca="1" si="441"/>
        <v>1E-4</v>
      </c>
      <c r="B988" s="304">
        <f t="shared" ca="1" si="442"/>
        <v>34.545900000001744</v>
      </c>
      <c r="D988" s="306">
        <f t="shared" ca="1" si="443"/>
        <v>-0.71007080429009817</v>
      </c>
      <c r="E988" s="307">
        <f t="shared" ca="1" si="444"/>
        <v>-1.9964676965923189</v>
      </c>
      <c r="F988" s="304">
        <f t="shared" ca="1" si="445"/>
        <v>2.1189817862930833</v>
      </c>
      <c r="G988" s="306">
        <f t="shared" ca="1" si="446"/>
        <v>10.904210851410751</v>
      </c>
      <c r="H988" s="307">
        <f t="shared" ca="1" si="447"/>
        <v>-119.98958384904498</v>
      </c>
      <c r="I988" s="304">
        <f t="shared" ca="1" si="448"/>
        <v>120.48403233025951</v>
      </c>
      <c r="J988" s="306">
        <f t="shared" ca="1" si="449"/>
        <v>770.52896740167785</v>
      </c>
      <c r="K988" s="307">
        <f t="shared" ca="1" si="450"/>
        <v>-14.568366083954539</v>
      </c>
      <c r="L988" s="304">
        <f t="shared" ca="1" si="435"/>
        <v>770.66667690737222</v>
      </c>
      <c r="M988" s="306">
        <f t="shared" ca="1" si="451"/>
        <v>-1.4801689499792885</v>
      </c>
      <c r="N988" s="304">
        <f t="shared" ca="1" si="452"/>
        <v>-84.807433800123889</v>
      </c>
      <c r="P988" s="310">
        <f t="shared" ca="1" si="453"/>
        <v>23</v>
      </c>
      <c r="Q988" s="304">
        <f t="shared" ca="1" si="454"/>
        <v>0</v>
      </c>
      <c r="R988" s="306">
        <f t="shared" ca="1" si="455"/>
        <v>0</v>
      </c>
      <c r="S988" s="307">
        <f t="shared" ca="1" si="456"/>
        <v>7.4499999999999984</v>
      </c>
      <c r="T988" s="304">
        <f t="shared" ca="1" si="436"/>
        <v>73.084499999999991</v>
      </c>
      <c r="U988" s="311">
        <f t="shared" ca="1" si="437"/>
        <v>0</v>
      </c>
      <c r="V988" s="306">
        <f t="shared" ca="1" si="438"/>
        <v>1.2267859257462879</v>
      </c>
      <c r="W988" s="304">
        <f t="shared" ca="1" si="439"/>
        <v>58.450949289537142</v>
      </c>
      <c r="Y988" s="314" t="str">
        <f t="shared" ca="1" si="457"/>
        <v/>
      </c>
      <c r="Z988" s="315" t="str">
        <f t="shared" ca="1" si="458"/>
        <v/>
      </c>
      <c r="AA988" s="316" t="str">
        <f t="shared" ca="1" si="459"/>
        <v/>
      </c>
      <c r="AC988" s="310" t="e">
        <f t="shared" ca="1" si="460"/>
        <v>#N/A</v>
      </c>
      <c r="AD988" s="323" t="e">
        <f t="shared" ca="1" si="461"/>
        <v>#N/A</v>
      </c>
      <c r="AE988" s="324" t="e">
        <f t="shared" ca="1" si="440"/>
        <v>#N/A</v>
      </c>
      <c r="AG988" s="306">
        <f t="shared" ca="1" si="462"/>
        <v>1.9240100368693289</v>
      </c>
      <c r="AH988" s="304">
        <f t="shared" ca="1" si="463"/>
        <v>-7.8457305334494203</v>
      </c>
    </row>
    <row r="989" spans="1:34" x14ac:dyDescent="0.2">
      <c r="A989" s="347">
        <f t="shared" ca="1" si="441"/>
        <v>1E-4</v>
      </c>
      <c r="B989" s="304">
        <f t="shared" ca="1" si="442"/>
        <v>34.546000000001747</v>
      </c>
      <c r="D989" s="306">
        <f t="shared" ca="1" si="443"/>
        <v>-0.71006816632747349</v>
      </c>
      <c r="E989" s="307">
        <f t="shared" ca="1" si="444"/>
        <v>-1.9964328429539764</v>
      </c>
      <c r="F989" s="304">
        <f t="shared" ca="1" si="445"/>
        <v>2.1189480638413385</v>
      </c>
      <c r="G989" s="306">
        <f t="shared" ca="1" si="446"/>
        <v>10.904139844594118</v>
      </c>
      <c r="H989" s="307">
        <f t="shared" ca="1" si="447"/>
        <v>-119.98978349232927</v>
      </c>
      <c r="I989" s="304">
        <f t="shared" ca="1" si="448"/>
        <v>120.48422472791414</v>
      </c>
      <c r="J989" s="306">
        <f t="shared" ca="1" si="449"/>
        <v>770.52896740167785</v>
      </c>
      <c r="K989" s="307">
        <f t="shared" ca="1" si="450"/>
        <v>-14.580365052321607</v>
      </c>
      <c r="L989" s="304">
        <f t="shared" ca="1" si="435"/>
        <v>770.66690382431432</v>
      </c>
      <c r="M989" s="306">
        <f t="shared" ca="1" si="451"/>
        <v>-1.4801696868708221</v>
      </c>
      <c r="N989" s="304">
        <f t="shared" ca="1" si="452"/>
        <v>-84.807476020898719</v>
      </c>
      <c r="P989" s="310">
        <f t="shared" ca="1" si="453"/>
        <v>23</v>
      </c>
      <c r="Q989" s="304">
        <f t="shared" ca="1" si="454"/>
        <v>0</v>
      </c>
      <c r="R989" s="306">
        <f t="shared" ca="1" si="455"/>
        <v>0</v>
      </c>
      <c r="S989" s="307">
        <f t="shared" ca="1" si="456"/>
        <v>7.4499999999999984</v>
      </c>
      <c r="T989" s="304">
        <f t="shared" ca="1" si="436"/>
        <v>73.084499999999991</v>
      </c>
      <c r="U989" s="311">
        <f t="shared" ca="1" si="437"/>
        <v>0</v>
      </c>
      <c r="V989" s="306">
        <f t="shared" ca="1" si="438"/>
        <v>1.2267873977645045</v>
      </c>
      <c r="W989" s="304">
        <f t="shared" ca="1" si="439"/>
        <v>58.451206102541931</v>
      </c>
      <c r="Y989" s="314" t="str">
        <f t="shared" ca="1" si="457"/>
        <v/>
      </c>
      <c r="Z989" s="315" t="str">
        <f t="shared" ca="1" si="458"/>
        <v/>
      </c>
      <c r="AA989" s="316" t="str">
        <f t="shared" ca="1" si="459"/>
        <v/>
      </c>
      <c r="AC989" s="310" t="e">
        <f t="shared" ca="1" si="460"/>
        <v>#N/A</v>
      </c>
      <c r="AD989" s="323" t="e">
        <f t="shared" ca="1" si="461"/>
        <v>#N/A</v>
      </c>
      <c r="AE989" s="324" t="e">
        <f t="shared" ca="1" si="440"/>
        <v>#N/A</v>
      </c>
      <c r="AG989" s="306">
        <f t="shared" ca="1" si="462"/>
        <v>1.9239762192610934</v>
      </c>
      <c r="AH989" s="304">
        <f t="shared" ca="1" si="463"/>
        <v>-7.8457650053070003</v>
      </c>
    </row>
    <row r="990" spans="1:34" x14ac:dyDescent="0.2">
      <c r="A990" s="347">
        <f t="shared" ca="1" si="441"/>
        <v>1E-4</v>
      </c>
      <c r="B990" s="304">
        <f t="shared" ca="1" si="442"/>
        <v>34.546100000001751</v>
      </c>
      <c r="D990" s="306">
        <f t="shared" ca="1" si="443"/>
        <v>-0.71006552834139325</v>
      </c>
      <c r="E990" s="307">
        <f t="shared" ca="1" si="444"/>
        <v>-1.9963979896323831</v>
      </c>
      <c r="F990" s="304">
        <f t="shared" ca="1" si="445"/>
        <v>2.1189143417200618</v>
      </c>
      <c r="G990" s="306">
        <f t="shared" ca="1" si="446"/>
        <v>10.904068838041283</v>
      </c>
      <c r="H990" s="307">
        <f t="shared" ca="1" si="447"/>
        <v>-119.98998313212823</v>
      </c>
      <c r="I990" s="304">
        <f t="shared" ca="1" si="448"/>
        <v>120.48441712218705</v>
      </c>
      <c r="J990" s="306">
        <f t="shared" ca="1" si="449"/>
        <v>770.52896740167785</v>
      </c>
      <c r="K990" s="307">
        <f t="shared" ca="1" si="450"/>
        <v>-14.59236404065283</v>
      </c>
      <c r="L990" s="304">
        <f t="shared" ca="1" si="435"/>
        <v>770.66713092838654</v>
      </c>
      <c r="M990" s="306">
        <f t="shared" ca="1" si="451"/>
        <v>-1.4801704237552034</v>
      </c>
      <c r="N990" s="304">
        <f t="shared" ca="1" si="452"/>
        <v>-84.807518241263764</v>
      </c>
      <c r="P990" s="310">
        <f t="shared" ca="1" si="453"/>
        <v>23</v>
      </c>
      <c r="Q990" s="304">
        <f t="shared" ca="1" si="454"/>
        <v>0</v>
      </c>
      <c r="R990" s="306">
        <f t="shared" ca="1" si="455"/>
        <v>0</v>
      </c>
      <c r="S990" s="307">
        <f t="shared" ca="1" si="456"/>
        <v>7.4499999999999984</v>
      </c>
      <c r="T990" s="304">
        <f t="shared" ca="1" si="436"/>
        <v>73.084499999999991</v>
      </c>
      <c r="U990" s="311">
        <f t="shared" ca="1" si="437"/>
        <v>0</v>
      </c>
      <c r="V990" s="306">
        <f t="shared" ca="1" si="438"/>
        <v>1.2267888697869378</v>
      </c>
      <c r="W990" s="304">
        <f t="shared" ca="1" si="439"/>
        <v>58.451462913212524</v>
      </c>
      <c r="Y990" s="314" t="str">
        <f t="shared" ca="1" si="457"/>
        <v/>
      </c>
      <c r="Z990" s="315" t="str">
        <f t="shared" ca="1" si="458"/>
        <v/>
      </c>
      <c r="AA990" s="316" t="str">
        <f t="shared" ca="1" si="459"/>
        <v/>
      </c>
      <c r="AC990" s="310" t="e">
        <f t="shared" ca="1" si="460"/>
        <v>#N/A</v>
      </c>
      <c r="AD990" s="323" t="e">
        <f t="shared" ca="1" si="461"/>
        <v>#N/A</v>
      </c>
      <c r="AE990" s="324" t="e">
        <f t="shared" ca="1" si="440"/>
        <v>#N/A</v>
      </c>
      <c r="AG990" s="306">
        <f t="shared" ca="1" si="462"/>
        <v>1.9239424019545162</v>
      </c>
      <c r="AH990" s="304">
        <f t="shared" ca="1" si="463"/>
        <v>-7.8457994768512673</v>
      </c>
    </row>
    <row r="991" spans="1:34" x14ac:dyDescent="0.2">
      <c r="A991" s="347">
        <f t="shared" ca="1" si="441"/>
        <v>1E-4</v>
      </c>
      <c r="B991" s="304">
        <f t="shared" ca="1" si="442"/>
        <v>34.546200000001754</v>
      </c>
      <c r="D991" s="306">
        <f t="shared" ca="1" si="443"/>
        <v>-0.71006289033186198</v>
      </c>
      <c r="E991" s="307">
        <f t="shared" ca="1" si="444"/>
        <v>-1.9963631366275418</v>
      </c>
      <c r="F991" s="304">
        <f t="shared" ca="1" si="445"/>
        <v>2.1188806199292576</v>
      </c>
      <c r="G991" s="306">
        <f t="shared" ca="1" si="446"/>
        <v>10.90399783175225</v>
      </c>
      <c r="H991" s="307">
        <f t="shared" ca="1" si="447"/>
        <v>-119.9901827684419</v>
      </c>
      <c r="I991" s="304">
        <f t="shared" ca="1" si="448"/>
        <v>120.48460951307825</v>
      </c>
      <c r="J991" s="306">
        <f t="shared" ca="1" si="449"/>
        <v>770.52896740167785</v>
      </c>
      <c r="K991" s="307">
        <f t="shared" ca="1" si="450"/>
        <v>-14.604363048947858</v>
      </c>
      <c r="L991" s="304">
        <f t="shared" ca="1" si="435"/>
        <v>770.66735821958969</v>
      </c>
      <c r="M991" s="306">
        <f t="shared" ca="1" si="451"/>
        <v>-1.480171160632433</v>
      </c>
      <c r="N991" s="304">
        <f t="shared" ca="1" si="452"/>
        <v>-84.80756046121904</v>
      </c>
      <c r="P991" s="310">
        <f t="shared" ca="1" si="453"/>
        <v>23</v>
      </c>
      <c r="Q991" s="304">
        <f t="shared" ca="1" si="454"/>
        <v>0</v>
      </c>
      <c r="R991" s="306">
        <f t="shared" ca="1" si="455"/>
        <v>0</v>
      </c>
      <c r="S991" s="307">
        <f t="shared" ca="1" si="456"/>
        <v>7.4499999999999984</v>
      </c>
      <c r="T991" s="304">
        <f t="shared" ca="1" si="436"/>
        <v>73.084499999999991</v>
      </c>
      <c r="U991" s="311">
        <f t="shared" ca="1" si="437"/>
        <v>0</v>
      </c>
      <c r="V991" s="306">
        <f t="shared" ca="1" si="438"/>
        <v>1.2267903418135875</v>
      </c>
      <c r="W991" s="304">
        <f t="shared" ca="1" si="439"/>
        <v>58.451719721548884</v>
      </c>
      <c r="Y991" s="314" t="str">
        <f t="shared" ca="1" si="457"/>
        <v/>
      </c>
      <c r="Z991" s="315" t="str">
        <f t="shared" ca="1" si="458"/>
        <v/>
      </c>
      <c r="AA991" s="316" t="str">
        <f t="shared" ca="1" si="459"/>
        <v/>
      </c>
      <c r="AC991" s="310" t="e">
        <f t="shared" ca="1" si="460"/>
        <v>#N/A</v>
      </c>
      <c r="AD991" s="323" t="e">
        <f t="shared" ca="1" si="461"/>
        <v>#N/A</v>
      </c>
      <c r="AE991" s="324" t="e">
        <f t="shared" ca="1" si="440"/>
        <v>#N/A</v>
      </c>
      <c r="AG991" s="306">
        <f t="shared" ca="1" si="462"/>
        <v>1.9239085849496007</v>
      </c>
      <c r="AH991" s="304">
        <f t="shared" ca="1" si="463"/>
        <v>-7.8458339480822197</v>
      </c>
    </row>
    <row r="992" spans="1:34" x14ac:dyDescent="0.2">
      <c r="A992" s="347">
        <f t="shared" ca="1" si="441"/>
        <v>1E-4</v>
      </c>
      <c r="B992" s="304">
        <f t="shared" ca="1" si="442"/>
        <v>34.546300000001757</v>
      </c>
      <c r="D992" s="306">
        <f t="shared" ca="1" si="443"/>
        <v>-0.71006025229887559</v>
      </c>
      <c r="E992" s="307">
        <f t="shared" ca="1" si="444"/>
        <v>-1.9963282839394587</v>
      </c>
      <c r="F992" s="304">
        <f t="shared" ca="1" si="445"/>
        <v>2.1188468984689308</v>
      </c>
      <c r="G992" s="306">
        <f t="shared" ca="1" si="446"/>
        <v>10.903926825727019</v>
      </c>
      <c r="H992" s="307">
        <f t="shared" ca="1" si="447"/>
        <v>-119.9903824012703</v>
      </c>
      <c r="I992" s="304">
        <f t="shared" ca="1" si="448"/>
        <v>120.4848019005878</v>
      </c>
      <c r="J992" s="306">
        <f t="shared" ca="1" si="449"/>
        <v>770.52896740167785</v>
      </c>
      <c r="K992" s="307">
        <f t="shared" ca="1" si="450"/>
        <v>-14.616362077206343</v>
      </c>
      <c r="L992" s="304">
        <f t="shared" ca="1" si="435"/>
        <v>770.66758569792455</v>
      </c>
      <c r="M992" s="306">
        <f t="shared" ca="1" si="451"/>
        <v>-1.4801718975025109</v>
      </c>
      <c r="N992" s="304">
        <f t="shared" ca="1" si="452"/>
        <v>-84.807602680764546</v>
      </c>
      <c r="P992" s="310">
        <f t="shared" ca="1" si="453"/>
        <v>23</v>
      </c>
      <c r="Q992" s="304">
        <f t="shared" ca="1" si="454"/>
        <v>0</v>
      </c>
      <c r="R992" s="306">
        <f t="shared" ca="1" si="455"/>
        <v>0</v>
      </c>
      <c r="S992" s="307">
        <f t="shared" ca="1" si="456"/>
        <v>7.4499999999999984</v>
      </c>
      <c r="T992" s="304">
        <f t="shared" ca="1" si="436"/>
        <v>73.084499999999991</v>
      </c>
      <c r="U992" s="311">
        <f t="shared" ca="1" si="437"/>
        <v>0</v>
      </c>
      <c r="V992" s="306">
        <f t="shared" ca="1" si="438"/>
        <v>1.226791813844454</v>
      </c>
      <c r="W992" s="304">
        <f t="shared" ca="1" si="439"/>
        <v>58.451976527551061</v>
      </c>
      <c r="Y992" s="314" t="str">
        <f t="shared" ca="1" si="457"/>
        <v/>
      </c>
      <c r="Z992" s="315" t="str">
        <f t="shared" ca="1" si="458"/>
        <v/>
      </c>
      <c r="AA992" s="316" t="str">
        <f t="shared" ca="1" si="459"/>
        <v/>
      </c>
      <c r="AC992" s="310" t="e">
        <f t="shared" ca="1" si="460"/>
        <v>#N/A</v>
      </c>
      <c r="AD992" s="323" t="e">
        <f t="shared" ca="1" si="461"/>
        <v>#N/A</v>
      </c>
      <c r="AE992" s="324" t="e">
        <f t="shared" ca="1" si="440"/>
        <v>#N/A</v>
      </c>
      <c r="AG992" s="306">
        <f t="shared" ca="1" si="462"/>
        <v>1.9238747682463488</v>
      </c>
      <c r="AH992" s="304">
        <f t="shared" ca="1" si="463"/>
        <v>-7.845868418999852</v>
      </c>
    </row>
    <row r="993" spans="1:34" x14ac:dyDescent="0.2">
      <c r="A993" s="347">
        <f t="shared" ca="1" si="441"/>
        <v>1E-4</v>
      </c>
      <c r="B993" s="304">
        <f t="shared" ca="1" si="442"/>
        <v>34.546400000001761</v>
      </c>
      <c r="D993" s="306">
        <f t="shared" ca="1" si="443"/>
        <v>-0.71005761424243774</v>
      </c>
      <c r="E993" s="307">
        <f t="shared" ca="1" si="444"/>
        <v>-1.9962934315681267</v>
      </c>
      <c r="F993" s="304">
        <f t="shared" ca="1" si="445"/>
        <v>2.1188131773390757</v>
      </c>
      <c r="G993" s="306">
        <f t="shared" ca="1" si="446"/>
        <v>10.903855819965596</v>
      </c>
      <c r="H993" s="307">
        <f t="shared" ca="1" si="447"/>
        <v>-119.99058203061345</v>
      </c>
      <c r="I993" s="304">
        <f t="shared" ca="1" si="448"/>
        <v>120.4849942847157</v>
      </c>
      <c r="J993" s="306">
        <f t="shared" ca="1" si="449"/>
        <v>770.52896740167785</v>
      </c>
      <c r="K993" s="307">
        <f t="shared" ca="1" si="450"/>
        <v>-14.628361125427938</v>
      </c>
      <c r="L993" s="304">
        <f t="shared" ca="1" si="435"/>
        <v>770.66781336339193</v>
      </c>
      <c r="M993" s="306">
        <f t="shared" ca="1" si="451"/>
        <v>-1.4801726343654371</v>
      </c>
      <c r="N993" s="304">
        <f t="shared" ca="1" si="452"/>
        <v>-84.807644899900311</v>
      </c>
      <c r="P993" s="310">
        <f t="shared" ca="1" si="453"/>
        <v>23</v>
      </c>
      <c r="Q993" s="304">
        <f t="shared" ca="1" si="454"/>
        <v>0</v>
      </c>
      <c r="R993" s="306">
        <f t="shared" ca="1" si="455"/>
        <v>0</v>
      </c>
      <c r="S993" s="307">
        <f t="shared" ca="1" si="456"/>
        <v>7.4499999999999984</v>
      </c>
      <c r="T993" s="304">
        <f t="shared" ca="1" si="436"/>
        <v>73.084499999999991</v>
      </c>
      <c r="U993" s="311">
        <f t="shared" ca="1" si="437"/>
        <v>0</v>
      </c>
      <c r="V993" s="306">
        <f t="shared" ca="1" si="438"/>
        <v>1.2267932858795376</v>
      </c>
      <c r="W993" s="304">
        <f t="shared" ca="1" si="439"/>
        <v>58.452233331219048</v>
      </c>
      <c r="Y993" s="314" t="str">
        <f t="shared" ca="1" si="457"/>
        <v/>
      </c>
      <c r="Z993" s="315" t="str">
        <f t="shared" ca="1" si="458"/>
        <v/>
      </c>
      <c r="AA993" s="316" t="str">
        <f t="shared" ca="1" si="459"/>
        <v/>
      </c>
      <c r="AC993" s="310" t="e">
        <f t="shared" ca="1" si="460"/>
        <v>#N/A</v>
      </c>
      <c r="AD993" s="323" t="e">
        <f t="shared" ca="1" si="461"/>
        <v>#N/A</v>
      </c>
      <c r="AE993" s="324" t="e">
        <f t="shared" ca="1" si="440"/>
        <v>#N/A</v>
      </c>
      <c r="AG993" s="306">
        <f t="shared" ca="1" si="462"/>
        <v>1.9238409518447561</v>
      </c>
      <c r="AH993" s="304">
        <f t="shared" ca="1" si="463"/>
        <v>-7.8459028896041705</v>
      </c>
    </row>
    <row r="994" spans="1:34" x14ac:dyDescent="0.2">
      <c r="A994" s="347">
        <f t="shared" ca="1" si="441"/>
        <v>1E-4</v>
      </c>
      <c r="B994" s="304">
        <f t="shared" ca="1" si="442"/>
        <v>34.546500000001764</v>
      </c>
      <c r="D994" s="306">
        <f t="shared" ca="1" si="443"/>
        <v>-0.71005497616254809</v>
      </c>
      <c r="E994" s="307">
        <f t="shared" ca="1" si="444"/>
        <v>-1.9962585795135457</v>
      </c>
      <c r="F994" s="304">
        <f t="shared" ca="1" si="445"/>
        <v>2.1187794565396927</v>
      </c>
      <c r="G994" s="306">
        <f t="shared" ca="1" si="446"/>
        <v>10.903784814467979</v>
      </c>
      <c r="H994" s="307">
        <f t="shared" ca="1" si="447"/>
        <v>-119.9907816564714</v>
      </c>
      <c r="I994" s="304">
        <f t="shared" ca="1" si="448"/>
        <v>120.48518666546197</v>
      </c>
      <c r="J994" s="306">
        <f t="shared" ca="1" si="449"/>
        <v>770.52896740167785</v>
      </c>
      <c r="K994" s="307">
        <f t="shared" ca="1" si="450"/>
        <v>-14.640360193612292</v>
      </c>
      <c r="L994" s="304">
        <f t="shared" ca="1" si="435"/>
        <v>770.6680412159925</v>
      </c>
      <c r="M994" s="306">
        <f t="shared" ca="1" si="451"/>
        <v>-1.480173371221212</v>
      </c>
      <c r="N994" s="304">
        <f t="shared" ca="1" si="452"/>
        <v>-84.807687118626305</v>
      </c>
      <c r="P994" s="310">
        <f t="shared" ca="1" si="453"/>
        <v>23</v>
      </c>
      <c r="Q994" s="304">
        <f t="shared" ca="1" si="454"/>
        <v>0</v>
      </c>
      <c r="R994" s="306">
        <f t="shared" ca="1" si="455"/>
        <v>0</v>
      </c>
      <c r="S994" s="307">
        <f t="shared" ca="1" si="456"/>
        <v>7.4499999999999984</v>
      </c>
      <c r="T994" s="304">
        <f t="shared" ca="1" si="436"/>
        <v>73.084499999999991</v>
      </c>
      <c r="U994" s="311">
        <f t="shared" ca="1" si="437"/>
        <v>0</v>
      </c>
      <c r="V994" s="306">
        <f t="shared" ca="1" si="438"/>
        <v>1.226794757918837</v>
      </c>
      <c r="W994" s="304">
        <f t="shared" ca="1" si="439"/>
        <v>58.452490132552796</v>
      </c>
      <c r="Y994" s="314" t="str">
        <f t="shared" ca="1" si="457"/>
        <v/>
      </c>
      <c r="Z994" s="315" t="str">
        <f t="shared" ca="1" si="458"/>
        <v/>
      </c>
      <c r="AA994" s="316" t="str">
        <f t="shared" ca="1" si="459"/>
        <v/>
      </c>
      <c r="AC994" s="310" t="e">
        <f t="shared" ca="1" si="460"/>
        <v>#N/A</v>
      </c>
      <c r="AD994" s="323" t="e">
        <f t="shared" ca="1" si="461"/>
        <v>#N/A</v>
      </c>
      <c r="AE994" s="324" t="e">
        <f t="shared" ca="1" si="440"/>
        <v>#N/A</v>
      </c>
      <c r="AG994" s="306">
        <f t="shared" ca="1" si="462"/>
        <v>1.9238071357448252</v>
      </c>
      <c r="AH994" s="304">
        <f t="shared" ca="1" si="463"/>
        <v>-7.845937359895176</v>
      </c>
    </row>
    <row r="995" spans="1:34" x14ac:dyDescent="0.2">
      <c r="A995" s="347">
        <f t="shared" ca="1" si="441"/>
        <v>1E-4</v>
      </c>
      <c r="B995" s="304">
        <f t="shared" ca="1" si="442"/>
        <v>34.546600000001767</v>
      </c>
      <c r="D995" s="306">
        <f t="shared" ca="1" si="443"/>
        <v>-0.71005233805920587</v>
      </c>
      <c r="E995" s="307">
        <f t="shared" ca="1" si="444"/>
        <v>-1.996223727775722</v>
      </c>
      <c r="F995" s="304">
        <f t="shared" ca="1" si="445"/>
        <v>2.118745736070788</v>
      </c>
      <c r="G995" s="306">
        <f t="shared" ca="1" si="446"/>
        <v>10.903713809234173</v>
      </c>
      <c r="H995" s="307">
        <f t="shared" ca="1" si="447"/>
        <v>-119.99098127884417</v>
      </c>
      <c r="I995" s="304">
        <f t="shared" ca="1" si="448"/>
        <v>120.48537904282668</v>
      </c>
      <c r="J995" s="306">
        <f t="shared" ca="1" si="449"/>
        <v>770.52896740167785</v>
      </c>
      <c r="K995" s="307">
        <f t="shared" ca="1" si="450"/>
        <v>-14.652359281759058</v>
      </c>
      <c r="L995" s="304">
        <f t="shared" ca="1" si="435"/>
        <v>770.66826925572707</v>
      </c>
      <c r="M995" s="306">
        <f t="shared" ca="1" si="451"/>
        <v>-1.4801741080698352</v>
      </c>
      <c r="N995" s="304">
        <f t="shared" ca="1" si="452"/>
        <v>-84.807729336942558</v>
      </c>
      <c r="P995" s="310">
        <f t="shared" ca="1" si="453"/>
        <v>23</v>
      </c>
      <c r="Q995" s="304">
        <f t="shared" ca="1" si="454"/>
        <v>0</v>
      </c>
      <c r="R995" s="306">
        <f t="shared" ca="1" si="455"/>
        <v>0</v>
      </c>
      <c r="S995" s="307">
        <f t="shared" ca="1" si="456"/>
        <v>7.4499999999999984</v>
      </c>
      <c r="T995" s="304">
        <f t="shared" ca="1" si="436"/>
        <v>73.084499999999991</v>
      </c>
      <c r="U995" s="311">
        <f t="shared" ca="1" si="437"/>
        <v>0</v>
      </c>
      <c r="V995" s="306">
        <f t="shared" ca="1" si="438"/>
        <v>1.2267962299623536</v>
      </c>
      <c r="W995" s="304">
        <f t="shared" ca="1" si="439"/>
        <v>58.452746931552397</v>
      </c>
      <c r="Y995" s="314" t="str">
        <f t="shared" ca="1" si="457"/>
        <v/>
      </c>
      <c r="Z995" s="315" t="str">
        <f t="shared" ca="1" si="458"/>
        <v/>
      </c>
      <c r="AA995" s="316" t="str">
        <f t="shared" ca="1" si="459"/>
        <v/>
      </c>
      <c r="AC995" s="310" t="e">
        <f t="shared" ca="1" si="460"/>
        <v>#N/A</v>
      </c>
      <c r="AD995" s="323" t="e">
        <f t="shared" ca="1" si="461"/>
        <v>#N/A</v>
      </c>
      <c r="AE995" s="324" t="e">
        <f t="shared" ca="1" si="440"/>
        <v>#N/A</v>
      </c>
      <c r="AG995" s="306">
        <f t="shared" ca="1" si="462"/>
        <v>1.9237733199465588</v>
      </c>
      <c r="AH995" s="304">
        <f t="shared" ca="1" si="463"/>
        <v>-7.8459718298728607</v>
      </c>
    </row>
    <row r="996" spans="1:34" x14ac:dyDescent="0.2">
      <c r="A996" s="347">
        <f t="shared" ca="1" si="441"/>
        <v>1E-4</v>
      </c>
      <c r="B996" s="304">
        <f t="shared" ca="1" si="442"/>
        <v>34.546700000001771</v>
      </c>
      <c r="D996" s="306">
        <f t="shared" ca="1" si="443"/>
        <v>-0.71004969993241518</v>
      </c>
      <c r="E996" s="307">
        <f t="shared" ca="1" si="444"/>
        <v>-1.9961888763546458</v>
      </c>
      <c r="F996" s="304">
        <f t="shared" ca="1" si="445"/>
        <v>2.1187120159323531</v>
      </c>
      <c r="G996" s="306">
        <f t="shared" ca="1" si="446"/>
        <v>10.90364280426418</v>
      </c>
      <c r="H996" s="307">
        <f t="shared" ca="1" si="447"/>
        <v>-119.99118089773181</v>
      </c>
      <c r="I996" s="304">
        <f t="shared" ca="1" si="448"/>
        <v>120.48557141680983</v>
      </c>
      <c r="J996" s="306">
        <f t="shared" ca="1" si="449"/>
        <v>770.52896740167785</v>
      </c>
      <c r="K996" s="307">
        <f t="shared" ca="1" si="450"/>
        <v>-14.664358389867886</v>
      </c>
      <c r="L996" s="304">
        <f t="shared" ca="1" si="435"/>
        <v>770.66849748259631</v>
      </c>
      <c r="M996" s="306">
        <f t="shared" ca="1" si="451"/>
        <v>-1.480174844911307</v>
      </c>
      <c r="N996" s="304">
        <f t="shared" ca="1" si="452"/>
        <v>-84.807771554849069</v>
      </c>
      <c r="P996" s="310">
        <f t="shared" ca="1" si="453"/>
        <v>23</v>
      </c>
      <c r="Q996" s="304">
        <f t="shared" ca="1" si="454"/>
        <v>0</v>
      </c>
      <c r="R996" s="306">
        <f t="shared" ca="1" si="455"/>
        <v>0</v>
      </c>
      <c r="S996" s="307">
        <f t="shared" ca="1" si="456"/>
        <v>7.4499999999999984</v>
      </c>
      <c r="T996" s="304">
        <f t="shared" ca="1" si="436"/>
        <v>73.084499999999991</v>
      </c>
      <c r="U996" s="311">
        <f t="shared" ca="1" si="437"/>
        <v>0</v>
      </c>
      <c r="V996" s="306">
        <f t="shared" ca="1" si="438"/>
        <v>1.2267977020100866</v>
      </c>
      <c r="W996" s="304">
        <f t="shared" ca="1" si="439"/>
        <v>58.453003728217809</v>
      </c>
      <c r="Y996" s="314" t="str">
        <f t="shared" ca="1" si="457"/>
        <v/>
      </c>
      <c r="Z996" s="315" t="str">
        <f t="shared" ca="1" si="458"/>
        <v/>
      </c>
      <c r="AA996" s="316" t="str">
        <f t="shared" ca="1" si="459"/>
        <v/>
      </c>
      <c r="AC996" s="310" t="e">
        <f t="shared" ca="1" si="460"/>
        <v>#N/A</v>
      </c>
      <c r="AD996" s="323" t="e">
        <f t="shared" ca="1" si="461"/>
        <v>#N/A</v>
      </c>
      <c r="AE996" s="324" t="e">
        <f t="shared" ca="1" si="440"/>
        <v>#N/A</v>
      </c>
      <c r="AG996" s="306">
        <f t="shared" ca="1" si="462"/>
        <v>1.9237395044499488</v>
      </c>
      <c r="AH996" s="304">
        <f t="shared" ca="1" si="463"/>
        <v>-7.8460062995372359</v>
      </c>
    </row>
    <row r="997" spans="1:34" x14ac:dyDescent="0.2">
      <c r="A997" s="347">
        <f t="shared" ca="1" si="441"/>
        <v>1E-4</v>
      </c>
      <c r="B997" s="304">
        <f t="shared" ca="1" si="442"/>
        <v>34.546800000001774</v>
      </c>
      <c r="D997" s="306">
        <f t="shared" ca="1" si="443"/>
        <v>-0.71004706178217547</v>
      </c>
      <c r="E997" s="307">
        <f t="shared" ca="1" si="444"/>
        <v>-1.9961540252503207</v>
      </c>
      <c r="F997" s="304">
        <f t="shared" ca="1" si="445"/>
        <v>2.1186782961243926</v>
      </c>
      <c r="G997" s="306">
        <f t="shared" ca="1" si="446"/>
        <v>10.903571799558001</v>
      </c>
      <c r="H997" s="307">
        <f t="shared" ca="1" si="447"/>
        <v>-119.99138051313433</v>
      </c>
      <c r="I997" s="304">
        <f t="shared" ca="1" si="448"/>
        <v>120.48576378741146</v>
      </c>
      <c r="J997" s="306">
        <f t="shared" ca="1" si="449"/>
        <v>770.52896740167785</v>
      </c>
      <c r="K997" s="307">
        <f t="shared" ca="1" si="450"/>
        <v>-14.676357517938429</v>
      </c>
      <c r="L997" s="304">
        <f t="shared" ca="1" si="435"/>
        <v>770.66872589660102</v>
      </c>
      <c r="M997" s="306">
        <f t="shared" ca="1" si="451"/>
        <v>-1.4801755817456277</v>
      </c>
      <c r="N997" s="304">
        <f t="shared" ca="1" si="452"/>
        <v>-84.807813772345838</v>
      </c>
      <c r="P997" s="310">
        <f t="shared" ca="1" si="453"/>
        <v>23</v>
      </c>
      <c r="Q997" s="304">
        <f t="shared" ca="1" si="454"/>
        <v>0</v>
      </c>
      <c r="R997" s="306">
        <f t="shared" ca="1" si="455"/>
        <v>0</v>
      </c>
      <c r="S997" s="307">
        <f t="shared" ca="1" si="456"/>
        <v>7.4499999999999984</v>
      </c>
      <c r="T997" s="304">
        <f t="shared" ca="1" si="436"/>
        <v>73.084499999999991</v>
      </c>
      <c r="U997" s="311">
        <f t="shared" ca="1" si="437"/>
        <v>0</v>
      </c>
      <c r="V997" s="306">
        <f t="shared" ca="1" si="438"/>
        <v>1.2267991740620361</v>
      </c>
      <c r="W997" s="304">
        <f t="shared" ca="1" si="439"/>
        <v>58.453260522549016</v>
      </c>
      <c r="Y997" s="314" t="str">
        <f t="shared" ca="1" si="457"/>
        <v/>
      </c>
      <c r="Z997" s="315" t="str">
        <f t="shared" ca="1" si="458"/>
        <v/>
      </c>
      <c r="AA997" s="316" t="str">
        <f t="shared" ca="1" si="459"/>
        <v/>
      </c>
      <c r="AC997" s="310" t="e">
        <f t="shared" ca="1" si="460"/>
        <v>#N/A</v>
      </c>
      <c r="AD997" s="323" t="e">
        <f t="shared" ca="1" si="461"/>
        <v>#N/A</v>
      </c>
      <c r="AE997" s="324" t="e">
        <f t="shared" ca="1" si="440"/>
        <v>#N/A</v>
      </c>
      <c r="AG997" s="306">
        <f t="shared" ca="1" si="462"/>
        <v>1.9237056892550006</v>
      </c>
      <c r="AH997" s="304">
        <f t="shared" ca="1" si="463"/>
        <v>-7.8460407688882983</v>
      </c>
    </row>
    <row r="998" spans="1:34" x14ac:dyDescent="0.2">
      <c r="A998" s="347">
        <f t="shared" ca="1" si="441"/>
        <v>1E-4</v>
      </c>
      <c r="B998" s="304">
        <f t="shared" ca="1" si="442"/>
        <v>34.546900000001777</v>
      </c>
      <c r="D998" s="306">
        <f t="shared" ca="1" si="443"/>
        <v>-0.71004442360848596</v>
      </c>
      <c r="E998" s="307">
        <f t="shared" ca="1" si="444"/>
        <v>-1.9961191744627484</v>
      </c>
      <c r="F998" s="304">
        <f t="shared" ca="1" si="445"/>
        <v>2.1186445766469069</v>
      </c>
      <c r="G998" s="306">
        <f t="shared" ca="1" si="446"/>
        <v>10.90350079511564</v>
      </c>
      <c r="H998" s="307">
        <f t="shared" ca="1" si="447"/>
        <v>-119.99158012505178</v>
      </c>
      <c r="I998" s="304">
        <f t="shared" ca="1" si="448"/>
        <v>120.48595615463161</v>
      </c>
      <c r="J998" s="306">
        <f t="shared" ca="1" si="449"/>
        <v>770.52896740167785</v>
      </c>
      <c r="K998" s="307">
        <f t="shared" ca="1" si="450"/>
        <v>-14.688356665970339</v>
      </c>
      <c r="L998" s="304">
        <f t="shared" ca="1" si="435"/>
        <v>770.66895449774199</v>
      </c>
      <c r="M998" s="306">
        <f t="shared" ca="1" si="451"/>
        <v>-1.4801763185727972</v>
      </c>
      <c r="N998" s="304">
        <f t="shared" ca="1" si="452"/>
        <v>-84.807855989432881</v>
      </c>
      <c r="P998" s="310">
        <f t="shared" ca="1" si="453"/>
        <v>23</v>
      </c>
      <c r="Q998" s="304">
        <f t="shared" ca="1" si="454"/>
        <v>0</v>
      </c>
      <c r="R998" s="306">
        <f t="shared" ca="1" si="455"/>
        <v>0</v>
      </c>
      <c r="S998" s="307">
        <f t="shared" ca="1" si="456"/>
        <v>7.4499999999999984</v>
      </c>
      <c r="T998" s="304">
        <f t="shared" ca="1" si="436"/>
        <v>73.084499999999991</v>
      </c>
      <c r="U998" s="311">
        <f t="shared" ca="1" si="437"/>
        <v>0</v>
      </c>
      <c r="V998" s="306">
        <f t="shared" ca="1" si="438"/>
        <v>1.2268006461182022</v>
      </c>
      <c r="W998" s="304">
        <f t="shared" ca="1" si="439"/>
        <v>58.453517314546062</v>
      </c>
      <c r="Y998" s="314" t="str">
        <f t="shared" ca="1" si="457"/>
        <v/>
      </c>
      <c r="Z998" s="315" t="str">
        <f t="shared" ca="1" si="458"/>
        <v/>
      </c>
      <c r="AA998" s="316" t="str">
        <f t="shared" ca="1" si="459"/>
        <v/>
      </c>
      <c r="AC998" s="310" t="e">
        <f t="shared" ca="1" si="460"/>
        <v>#N/A</v>
      </c>
      <c r="AD998" s="323" t="e">
        <f t="shared" ca="1" si="461"/>
        <v>#N/A</v>
      </c>
      <c r="AE998" s="324" t="e">
        <f t="shared" ca="1" si="440"/>
        <v>#N/A</v>
      </c>
      <c r="AG998" s="306">
        <f t="shared" ca="1" si="462"/>
        <v>1.9236718743617125</v>
      </c>
      <c r="AH998" s="304">
        <f t="shared" ca="1" si="463"/>
        <v>-7.8460752379260441</v>
      </c>
    </row>
    <row r="999" spans="1:34" x14ac:dyDescent="0.2">
      <c r="A999" s="347">
        <f t="shared" ca="1" si="441"/>
        <v>1E-4</v>
      </c>
      <c r="B999" s="304">
        <f t="shared" ca="1" si="442"/>
        <v>34.547000000001781</v>
      </c>
      <c r="D999" s="306">
        <f t="shared" ca="1" si="443"/>
        <v>-0.71004178541134877</v>
      </c>
      <c r="E999" s="307">
        <f t="shared" ca="1" si="444"/>
        <v>-1.9960843239919246</v>
      </c>
      <c r="F999" s="304">
        <f t="shared" ca="1" si="445"/>
        <v>2.1186108574998936</v>
      </c>
      <c r="G999" s="306">
        <f t="shared" ca="1" si="446"/>
        <v>10.9034297909371</v>
      </c>
      <c r="H999" s="307">
        <f t="shared" ca="1" si="447"/>
        <v>-119.99177973348418</v>
      </c>
      <c r="I999" s="304">
        <f t="shared" ca="1" si="448"/>
        <v>120.48614851847029</v>
      </c>
      <c r="J999" s="306">
        <f t="shared" ca="1" si="449"/>
        <v>770.52896740167785</v>
      </c>
      <c r="K999" s="307">
        <f t="shared" ca="1" si="450"/>
        <v>-14.700355833963267</v>
      </c>
      <c r="L999" s="304">
        <f t="shared" ca="1" si="435"/>
        <v>770.66918328602003</v>
      </c>
      <c r="M999" s="306">
        <f t="shared" ca="1" si="451"/>
        <v>-1.4801770553928157</v>
      </c>
      <c r="N999" s="304">
        <f t="shared" ca="1" si="452"/>
        <v>-84.80789820611021</v>
      </c>
      <c r="P999" s="310">
        <f t="shared" ca="1" si="453"/>
        <v>23</v>
      </c>
      <c r="Q999" s="304">
        <f t="shared" ca="1" si="454"/>
        <v>0</v>
      </c>
      <c r="R999" s="306">
        <f t="shared" ca="1" si="455"/>
        <v>0</v>
      </c>
      <c r="S999" s="307">
        <f t="shared" ca="1" si="456"/>
        <v>7.4499999999999984</v>
      </c>
      <c r="T999" s="304">
        <f t="shared" ca="1" si="436"/>
        <v>73.084499999999991</v>
      </c>
      <c r="U999" s="311">
        <f t="shared" ca="1" si="437"/>
        <v>0</v>
      </c>
      <c r="V999" s="306">
        <f t="shared" ca="1" si="438"/>
        <v>1.2268021181785846</v>
      </c>
      <c r="W999" s="304">
        <f t="shared" ca="1" si="439"/>
        <v>58.453774104208911</v>
      </c>
      <c r="Y999" s="314" t="str">
        <f t="shared" ca="1" si="457"/>
        <v/>
      </c>
      <c r="Z999" s="315" t="str">
        <f t="shared" ca="1" si="458"/>
        <v/>
      </c>
      <c r="AA999" s="316" t="str">
        <f t="shared" ca="1" si="459"/>
        <v/>
      </c>
      <c r="AC999" s="310" t="e">
        <f t="shared" ca="1" si="460"/>
        <v>#N/A</v>
      </c>
      <c r="AD999" s="323" t="e">
        <f t="shared" ca="1" si="461"/>
        <v>#N/A</v>
      </c>
      <c r="AE999" s="324" t="e">
        <f t="shared" ca="1" si="440"/>
        <v>#N/A</v>
      </c>
      <c r="AG999" s="306">
        <f t="shared" ca="1" si="462"/>
        <v>1.9236380597700835</v>
      </c>
      <c r="AH999" s="304">
        <f t="shared" ca="1" si="463"/>
        <v>-7.8461097066504797</v>
      </c>
    </row>
    <row r="1000" spans="1:34" x14ac:dyDescent="0.2">
      <c r="A1000" s="347">
        <f t="shared" ca="1" si="441"/>
        <v>1E-4</v>
      </c>
      <c r="B1000" s="304">
        <f t="shared" ca="1" si="442"/>
        <v>34.547100000001784</v>
      </c>
      <c r="D1000" s="306">
        <f t="shared" ca="1" si="443"/>
        <v>-0.710039147190763</v>
      </c>
      <c r="E1000" s="307">
        <f t="shared" ca="1" si="444"/>
        <v>-1.9960494738378536</v>
      </c>
      <c r="F1000" s="304">
        <f t="shared" ca="1" si="445"/>
        <v>2.1185771386833565</v>
      </c>
      <c r="G1000" s="306">
        <f t="shared" ca="1" si="446"/>
        <v>10.90335878702238</v>
      </c>
      <c r="H1000" s="307">
        <f t="shared" ca="1" si="447"/>
        <v>-119.99197933843156</v>
      </c>
      <c r="I1000" s="304">
        <f t="shared" ca="1" si="448"/>
        <v>120.48634087892754</v>
      </c>
      <c r="J1000" s="306">
        <f t="shared" ca="1" si="449"/>
        <v>770.52896740167785</v>
      </c>
      <c r="K1000" s="307">
        <f t="shared" ca="1" si="450"/>
        <v>-14.712355021916862</v>
      </c>
      <c r="L1000" s="304">
        <f t="shared" ca="1" si="435"/>
        <v>770.66941226143581</v>
      </c>
      <c r="M1000" s="306">
        <f t="shared" ca="1" si="451"/>
        <v>-1.4801777922056834</v>
      </c>
      <c r="N1000" s="304">
        <f t="shared" ca="1" si="452"/>
        <v>-84.807940422377811</v>
      </c>
      <c r="P1000" s="310">
        <f t="shared" ca="1" si="453"/>
        <v>23</v>
      </c>
      <c r="Q1000" s="304">
        <f t="shared" ca="1" si="454"/>
        <v>0</v>
      </c>
      <c r="R1000" s="306">
        <f t="shared" ca="1" si="455"/>
        <v>0</v>
      </c>
      <c r="S1000" s="307">
        <f t="shared" ca="1" si="456"/>
        <v>7.4499999999999984</v>
      </c>
      <c r="T1000" s="304">
        <f t="shared" ca="1" si="436"/>
        <v>73.084499999999991</v>
      </c>
      <c r="U1000" s="311">
        <f t="shared" ca="1" si="437"/>
        <v>0</v>
      </c>
      <c r="V1000" s="306">
        <f t="shared" ca="1" si="438"/>
        <v>1.2268035902431838</v>
      </c>
      <c r="W1000" s="304">
        <f t="shared" ca="1" si="439"/>
        <v>58.454030891537599</v>
      </c>
      <c r="Y1000" s="314" t="str">
        <f t="shared" ca="1" si="457"/>
        <v/>
      </c>
      <c r="Z1000" s="315" t="str">
        <f t="shared" ca="1" si="458"/>
        <v/>
      </c>
      <c r="AA1000" s="316" t="str">
        <f t="shared" ca="1" si="459"/>
        <v/>
      </c>
      <c r="AC1000" s="310" t="e">
        <f t="shared" ca="1" si="460"/>
        <v>#N/A</v>
      </c>
      <c r="AD1000" s="323" t="e">
        <f t="shared" ca="1" si="461"/>
        <v>#N/A</v>
      </c>
      <c r="AE1000" s="324" t="e">
        <f t="shared" ca="1" si="440"/>
        <v>#N/A</v>
      </c>
      <c r="AG1000" s="306">
        <f t="shared" ca="1" si="462"/>
        <v>1.9236042454801163</v>
      </c>
      <c r="AH1000" s="304">
        <f t="shared" ca="1" si="463"/>
        <v>-7.8461441750616006</v>
      </c>
    </row>
    <row r="1001" spans="1:34" x14ac:dyDescent="0.2">
      <c r="A1001" s="347">
        <f t="shared" ca="1" si="441"/>
        <v>1E-4</v>
      </c>
      <c r="B1001" s="304">
        <f t="shared" ca="1" si="442"/>
        <v>34.547200000001787</v>
      </c>
      <c r="D1001" s="306">
        <f t="shared" ca="1" si="443"/>
        <v>-0.71003650894673076</v>
      </c>
      <c r="E1001" s="307">
        <f t="shared" ca="1" si="444"/>
        <v>-1.9960146240005301</v>
      </c>
      <c r="F1001" s="304">
        <f t="shared" ca="1" si="445"/>
        <v>2.1185434201972919</v>
      </c>
      <c r="G1001" s="306">
        <f t="shared" ca="1" si="446"/>
        <v>10.903287783371486</v>
      </c>
      <c r="H1001" s="307">
        <f t="shared" ca="1" si="447"/>
        <v>-119.99217893989396</v>
      </c>
      <c r="I1001" s="304">
        <f t="shared" ca="1" si="448"/>
        <v>120.4865332360034</v>
      </c>
      <c r="J1001" s="306">
        <f t="shared" ca="1" si="449"/>
        <v>770.52896740167785</v>
      </c>
      <c r="K1001" s="307">
        <f t="shared" ca="1" si="450"/>
        <v>-14.724354229830778</v>
      </c>
      <c r="L1001" s="304">
        <f t="shared" ca="1" si="435"/>
        <v>770.66964142399013</v>
      </c>
      <c r="M1001" s="306">
        <f t="shared" ca="1" si="451"/>
        <v>-1.4801785290114</v>
      </c>
      <c r="N1001" s="304">
        <f t="shared" ca="1" si="452"/>
        <v>-84.8079826382357</v>
      </c>
      <c r="P1001" s="310">
        <f t="shared" ca="1" si="453"/>
        <v>23</v>
      </c>
      <c r="Q1001" s="304">
        <f t="shared" ca="1" si="454"/>
        <v>0</v>
      </c>
      <c r="R1001" s="306">
        <f t="shared" ca="1" si="455"/>
        <v>0</v>
      </c>
      <c r="S1001" s="307">
        <f t="shared" ca="1" si="456"/>
        <v>7.4499999999999984</v>
      </c>
      <c r="T1001" s="304">
        <f t="shared" ca="1" si="436"/>
        <v>73.084499999999991</v>
      </c>
      <c r="U1001" s="311">
        <f t="shared" ca="1" si="437"/>
        <v>0</v>
      </c>
      <c r="V1001" s="306">
        <f t="shared" ca="1" si="438"/>
        <v>1.2268050623119988</v>
      </c>
      <c r="W1001" s="304">
        <f t="shared" ca="1" si="439"/>
        <v>58.454287676532104</v>
      </c>
      <c r="Y1001" s="314" t="str">
        <f t="shared" ca="1" si="457"/>
        <v/>
      </c>
      <c r="Z1001" s="315" t="str">
        <f t="shared" ca="1" si="458"/>
        <v/>
      </c>
      <c r="AA1001" s="316" t="str">
        <f t="shared" ca="1" si="459"/>
        <v/>
      </c>
      <c r="AC1001" s="310" t="e">
        <f t="shared" ca="1" si="460"/>
        <v>#N/A</v>
      </c>
      <c r="AD1001" s="323" t="e">
        <f t="shared" ca="1" si="461"/>
        <v>#N/A</v>
      </c>
      <c r="AE1001" s="324" t="e">
        <f t="shared" ca="1" si="440"/>
        <v>#N/A</v>
      </c>
      <c r="AG1001" s="306">
        <f t="shared" ca="1" si="462"/>
        <v>1.9235704314918083</v>
      </c>
      <c r="AH1001" s="304">
        <f t="shared" ca="1" si="463"/>
        <v>-7.8461786431594112</v>
      </c>
    </row>
    <row r="1002" spans="1:34" x14ac:dyDescent="0.2">
      <c r="A1002" s="347">
        <f t="shared" ca="1" si="441"/>
        <v>1E-4</v>
      </c>
      <c r="B1002" s="304">
        <f t="shared" ca="1" si="442"/>
        <v>34.54730000000179</v>
      </c>
      <c r="D1002" s="306">
        <f t="shared" ca="1" si="443"/>
        <v>-0.71003387067925305</v>
      </c>
      <c r="E1002" s="307">
        <f t="shared" ca="1" si="444"/>
        <v>-1.9959797744799568</v>
      </c>
      <c r="F1002" s="304">
        <f t="shared" ca="1" si="445"/>
        <v>2.1185097020417021</v>
      </c>
      <c r="G1002" s="306">
        <f t="shared" ca="1" si="446"/>
        <v>10.903216779984417</v>
      </c>
      <c r="H1002" s="307">
        <f t="shared" ca="1" si="447"/>
        <v>-119.9923785378714</v>
      </c>
      <c r="I1002" s="304">
        <f t="shared" ca="1" si="448"/>
        <v>120.48672558969787</v>
      </c>
      <c r="J1002" s="306">
        <f t="shared" ca="1" si="449"/>
        <v>770.52896740167785</v>
      </c>
      <c r="K1002" s="307">
        <f t="shared" ca="1" si="450"/>
        <v>-14.736353457704666</v>
      </c>
      <c r="L1002" s="304">
        <f t="shared" ca="1" si="435"/>
        <v>770.66987077368367</v>
      </c>
      <c r="M1002" s="306">
        <f t="shared" ca="1" si="451"/>
        <v>-1.4801792658099662</v>
      </c>
      <c r="N1002" s="304">
        <f t="shared" ca="1" si="452"/>
        <v>-84.808024853683889</v>
      </c>
      <c r="P1002" s="310">
        <f t="shared" ca="1" si="453"/>
        <v>23</v>
      </c>
      <c r="Q1002" s="304">
        <f t="shared" ca="1" si="454"/>
        <v>0</v>
      </c>
      <c r="R1002" s="306">
        <f t="shared" ca="1" si="455"/>
        <v>0</v>
      </c>
      <c r="S1002" s="307">
        <f t="shared" ca="1" si="456"/>
        <v>7.4499999999999984</v>
      </c>
      <c r="T1002" s="304">
        <f t="shared" ca="1" si="436"/>
        <v>73.084499999999991</v>
      </c>
      <c r="U1002" s="311">
        <f t="shared" ca="1" si="437"/>
        <v>0</v>
      </c>
      <c r="V1002" s="306">
        <f t="shared" ca="1" si="438"/>
        <v>1.2268065343850305</v>
      </c>
      <c r="W1002" s="304">
        <f t="shared" ca="1" si="439"/>
        <v>58.454544459192448</v>
      </c>
      <c r="Y1002" s="314" t="str">
        <f t="shared" ca="1" si="457"/>
        <v/>
      </c>
      <c r="Z1002" s="315" t="str">
        <f t="shared" ca="1" si="458"/>
        <v/>
      </c>
      <c r="AA1002" s="316" t="str">
        <f t="shared" ca="1" si="459"/>
        <v/>
      </c>
      <c r="AC1002" s="310" t="e">
        <f t="shared" ca="1" si="460"/>
        <v>#N/A</v>
      </c>
      <c r="AD1002" s="323" t="e">
        <f t="shared" ca="1" si="461"/>
        <v>#N/A</v>
      </c>
      <c r="AE1002" s="324" t="e">
        <f t="shared" ca="1" si="440"/>
        <v>#N/A</v>
      </c>
      <c r="AG1002" s="306">
        <f t="shared" ca="1" si="462"/>
        <v>1.9235366178051612</v>
      </c>
      <c r="AH1002" s="304">
        <f t="shared" ca="1" si="463"/>
        <v>-7.8462131109439079</v>
      </c>
    </row>
    <row r="1003" spans="1:34" x14ac:dyDescent="0.2">
      <c r="A1003" s="347">
        <f t="shared" ca="1" si="441"/>
        <v>1E-4</v>
      </c>
      <c r="B1003" s="304">
        <f t="shared" ca="1" si="442"/>
        <v>34.547400000001794</v>
      </c>
      <c r="D1003" s="306">
        <f t="shared" ca="1" si="443"/>
        <v>-0.71003123238832833</v>
      </c>
      <c r="E1003" s="307">
        <f t="shared" ca="1" si="444"/>
        <v>-1.995944925276131</v>
      </c>
      <c r="F1003" s="304">
        <f t="shared" ca="1" si="445"/>
        <v>2.1184759842165848</v>
      </c>
      <c r="G1003" s="306">
        <f t="shared" ca="1" si="446"/>
        <v>10.903145776861178</v>
      </c>
      <c r="H1003" s="307">
        <f t="shared" ca="1" si="447"/>
        <v>-119.99257813236393</v>
      </c>
      <c r="I1003" s="304">
        <f t="shared" ca="1" si="448"/>
        <v>120.48691794001103</v>
      </c>
      <c r="J1003" s="306">
        <f t="shared" ca="1" si="449"/>
        <v>770.52896740167785</v>
      </c>
      <c r="K1003" s="307">
        <f t="shared" ca="1" si="450"/>
        <v>-14.748352705538178</v>
      </c>
      <c r="L1003" s="304">
        <f t="shared" ca="1" si="435"/>
        <v>770.67010031051734</v>
      </c>
      <c r="M1003" s="306">
        <f t="shared" ca="1" si="451"/>
        <v>-1.4801800026013816</v>
      </c>
      <c r="N1003" s="304">
        <f t="shared" ca="1" si="452"/>
        <v>-84.80806706872238</v>
      </c>
      <c r="P1003" s="310">
        <f t="shared" ca="1" si="453"/>
        <v>23</v>
      </c>
      <c r="Q1003" s="304">
        <f t="shared" ca="1" si="454"/>
        <v>0</v>
      </c>
      <c r="R1003" s="306">
        <f t="shared" ca="1" si="455"/>
        <v>0</v>
      </c>
      <c r="S1003" s="307">
        <f t="shared" ca="1" si="456"/>
        <v>7.4499999999999984</v>
      </c>
      <c r="T1003" s="304">
        <f t="shared" ca="1" si="436"/>
        <v>73.084499999999991</v>
      </c>
      <c r="U1003" s="311">
        <f t="shared" ca="1" si="437"/>
        <v>0</v>
      </c>
      <c r="V1003" s="306">
        <f ca="1">Rho_moyen*(20000-Alt_rampe-pos_z)/(20000+Alt_rampe+pos_z)</f>
        <v>1.2268080064622784</v>
      </c>
      <c r="W1003" s="304">
        <f t="shared" ca="1" si="439"/>
        <v>58.45480123951863</v>
      </c>
      <c r="Y1003" s="314" t="str">
        <f t="shared" ca="1" si="457"/>
        <v/>
      </c>
      <c r="Z1003" s="315" t="str">
        <f t="shared" ca="1" si="458"/>
        <v/>
      </c>
      <c r="AA1003" s="316" t="str">
        <f t="shared" ca="1" si="459"/>
        <v/>
      </c>
      <c r="AC1003" s="310" t="e">
        <f t="shared" ca="1" si="460"/>
        <v>#N/A</v>
      </c>
      <c r="AD1003" s="323" t="e">
        <f t="shared" ca="1" si="461"/>
        <v>#N/A</v>
      </c>
      <c r="AE1003" s="324" t="e">
        <f t="shared" ca="1" si="440"/>
        <v>#N/A</v>
      </c>
      <c r="AG1003" s="306">
        <f t="shared" ca="1" si="462"/>
        <v>1.9235028044201705</v>
      </c>
      <c r="AH1003" s="304">
        <f t="shared" ca="1" si="463"/>
        <v>-7.8462475784150953</v>
      </c>
    </row>
    <row r="1004" spans="1:34" x14ac:dyDescent="0.2">
      <c r="A1004" s="348">
        <f t="shared" ca="1" si="441"/>
        <v>1E-4</v>
      </c>
      <c r="B1004" s="305">
        <f t="shared" ca="1" si="442"/>
        <v>34.547500000001797</v>
      </c>
      <c r="D1004" s="308">
        <f t="shared" ca="1" si="443"/>
        <v>-0.71002859407395946</v>
      </c>
      <c r="E1004" s="309">
        <f t="shared" ca="1" si="444"/>
        <v>-1.9959100763890527</v>
      </c>
      <c r="F1004" s="305">
        <f t="shared" ca="1" si="445"/>
        <v>2.1184422667219414</v>
      </c>
      <c r="G1004" s="308">
        <f t="shared" ca="1" si="446"/>
        <v>10.903074774001771</v>
      </c>
      <c r="H1004" s="309">
        <f t="shared" ca="1" si="447"/>
        <v>-119.99277772337157</v>
      </c>
      <c r="I1004" s="305">
        <f t="shared" ca="1" si="448"/>
        <v>120.48711028694287</v>
      </c>
      <c r="J1004" s="308">
        <f t="shared" ca="1" si="449"/>
        <v>770.52896740167785</v>
      </c>
      <c r="K1004" s="309">
        <f t="shared" ca="1" si="450"/>
        <v>-14.760351973330964</v>
      </c>
      <c r="L1004" s="305">
        <f t="shared" ca="1" si="435"/>
        <v>770.67033003449183</v>
      </c>
      <c r="M1004" s="308">
        <f t="shared" ca="1" si="451"/>
        <v>-1.4801807393856463</v>
      </c>
      <c r="N1004" s="305">
        <f t="shared" ca="1" si="452"/>
        <v>-84.808109283351158</v>
      </c>
      <c r="P1004" s="312">
        <f t="shared" ca="1" si="453"/>
        <v>23</v>
      </c>
      <c r="Q1004" s="305">
        <f t="shared" ca="1" si="454"/>
        <v>0</v>
      </c>
      <c r="R1004" s="308">
        <f t="shared" ca="1" si="455"/>
        <v>0</v>
      </c>
      <c r="S1004" s="309">
        <f t="shared" ca="1" si="456"/>
        <v>7.4499999999999984</v>
      </c>
      <c r="T1004" s="305">
        <f t="shared" ca="1" si="436"/>
        <v>73.084499999999991</v>
      </c>
      <c r="U1004" s="313">
        <f t="shared" ca="1" si="437"/>
        <v>0</v>
      </c>
      <c r="V1004" s="308">
        <f t="shared" ca="1" si="438"/>
        <v>1.2268094785437429</v>
      </c>
      <c r="W1004" s="305">
        <f ca="1">1/2*Rho*Sref*Cx*vit_xz^2</f>
        <v>58.455058017510659</v>
      </c>
      <c r="Y1004" s="317" t="str">
        <f ca="1">IF(AND(pos_z&lt;=0,K1003&gt;0),"Impact balistique","") &amp; IF(AND(H1005&lt;0,vit_z&gt;=0),"Apogée","") &amp; IF(AND(Poussee=0,Q1003&gt;0),"Fin de propulsion","") &amp; IF(AND(L1005&gt;L_rampe,pos_xz&lt;=L_rampe),"Sortie de rampe","")</f>
        <v/>
      </c>
      <c r="Z1004" s="318" t="str">
        <f t="shared" ca="1" si="458"/>
        <v/>
      </c>
      <c r="AA1004" s="319" t="str">
        <f t="shared" ca="1" si="459"/>
        <v/>
      </c>
      <c r="AC1004" s="312" t="e">
        <f t="shared" ca="1" si="460"/>
        <v>#N/A</v>
      </c>
      <c r="AD1004" s="325" t="e">
        <f t="shared" ca="1" si="461"/>
        <v>#N/A</v>
      </c>
      <c r="AE1004" s="326" t="e">
        <f t="shared" ca="1" si="440"/>
        <v>#N/A</v>
      </c>
      <c r="AG1004" s="308">
        <f t="shared" ca="1" si="462"/>
        <v>1.9234689913368426</v>
      </c>
      <c r="AH1004" s="305">
        <f t="shared" ca="1" si="463"/>
        <v>-7.8462820455729725</v>
      </c>
    </row>
    <row r="1005" spans="1:34" x14ac:dyDescent="0.2">
      <c r="Y1005" s="303"/>
    </row>
    <row r="1010" spans="12:12" x14ac:dyDescent="0.2">
      <c r="L1010"/>
    </row>
    <row r="1034" spans="5:25" x14ac:dyDescent="0.2">
      <c r="E1034" s="300" t="s">
        <v>254</v>
      </c>
      <c r="J1034" s="301" t="s">
        <v>246</v>
      </c>
      <c r="T1034" s="300" t="s">
        <v>245</v>
      </c>
      <c r="Y1034" s="302" t="s">
        <v>248</v>
      </c>
    </row>
    <row r="1035" spans="5:25" x14ac:dyDescent="0.2">
      <c r="E1035" s="299" t="s">
        <v>258</v>
      </c>
    </row>
    <row r="1036" spans="5:25" x14ac:dyDescent="0.2">
      <c r="E1036" s="299"/>
      <c r="T1036" s="299" t="s">
        <v>251</v>
      </c>
    </row>
    <row r="1037" spans="5:25" x14ac:dyDescent="0.2">
      <c r="E1037" s="299"/>
      <c r="T1037" s="299" t="s">
        <v>255</v>
      </c>
    </row>
    <row r="1038" spans="5:25" x14ac:dyDescent="0.2">
      <c r="E1038" s="299"/>
      <c r="T1038" s="299" t="s">
        <v>256</v>
      </c>
    </row>
    <row r="1039" spans="5:25" x14ac:dyDescent="0.2">
      <c r="E1039" s="299"/>
      <c r="T1039" s="299" t="s">
        <v>262</v>
      </c>
    </row>
    <row r="1040" spans="5:25" x14ac:dyDescent="0.2">
      <c r="E1040" s="299" t="s">
        <v>257</v>
      </c>
      <c r="T1040" s="299" t="s">
        <v>247</v>
      </c>
    </row>
    <row r="1041" spans="5:20" x14ac:dyDescent="0.2">
      <c r="E1041" s="299"/>
      <c r="T1041" s="299" t="s">
        <v>263</v>
      </c>
    </row>
    <row r="1042" spans="5:20" x14ac:dyDescent="0.2">
      <c r="E1042" s="299"/>
      <c r="R1042" s="303"/>
      <c r="T1042" s="299"/>
    </row>
    <row r="1043" spans="5:20" x14ac:dyDescent="0.2">
      <c r="E1043" s="299"/>
    </row>
    <row r="1044" spans="5:20" x14ac:dyDescent="0.2">
      <c r="E1044" s="299"/>
    </row>
    <row r="1045" spans="5:20" x14ac:dyDescent="0.2">
      <c r="E1045" s="299" t="s">
        <v>260</v>
      </c>
      <c r="R1045" s="303"/>
      <c r="T1045" s="299"/>
    </row>
    <row r="1046" spans="5:20" x14ac:dyDescent="0.2">
      <c r="E1046" s="299"/>
    </row>
    <row r="1047" spans="5:20" x14ac:dyDescent="0.2">
      <c r="E1047" s="299"/>
    </row>
    <row r="1048" spans="5:20" x14ac:dyDescent="0.2">
      <c r="E1048" s="299"/>
      <c r="T1048" s="298" t="s">
        <v>253</v>
      </c>
    </row>
    <row r="1049" spans="5:20" x14ac:dyDescent="0.2">
      <c r="E1049" s="299"/>
    </row>
    <row r="1050" spans="5:20" x14ac:dyDescent="0.2">
      <c r="E1050" s="299" t="s">
        <v>261</v>
      </c>
    </row>
    <row r="1053" spans="5:20" x14ac:dyDescent="0.2">
      <c r="T1053" s="298" t="s">
        <v>268</v>
      </c>
    </row>
    <row r="1055" spans="5:20" x14ac:dyDescent="0.2">
      <c r="E1055" s="299" t="s">
        <v>250</v>
      </c>
    </row>
    <row r="1058" spans="5:20" x14ac:dyDescent="0.2">
      <c r="T1058" s="299" t="s">
        <v>269</v>
      </c>
    </row>
    <row r="1060" spans="5:20" x14ac:dyDescent="0.2">
      <c r="E1060" s="299" t="s">
        <v>259</v>
      </c>
    </row>
    <row r="1061" spans="5:20" x14ac:dyDescent="0.2">
      <c r="E1061" s="299"/>
    </row>
    <row r="1062" spans="5:20" x14ac:dyDescent="0.2">
      <c r="E1062" s="299"/>
    </row>
    <row r="1063" spans="5:20" x14ac:dyDescent="0.2">
      <c r="E1063" s="299"/>
    </row>
    <row r="1064" spans="5:20" x14ac:dyDescent="0.2">
      <c r="E1064" s="299"/>
    </row>
    <row r="1065" spans="5:20" x14ac:dyDescent="0.2">
      <c r="E1065" s="299" t="s">
        <v>249</v>
      </c>
    </row>
    <row r="1066" spans="5:20" x14ac:dyDescent="0.2">
      <c r="E1066" s="299"/>
    </row>
    <row r="1067" spans="5:20" x14ac:dyDescent="0.2">
      <c r="E1067" s="299"/>
    </row>
    <row r="1068" spans="5:20" x14ac:dyDescent="0.2">
      <c r="E1068" s="299"/>
    </row>
    <row r="1069" spans="5:20" x14ac:dyDescent="0.2">
      <c r="E1069" s="299"/>
    </row>
    <row r="1070" spans="5:20" x14ac:dyDescent="0.2">
      <c r="E1070" s="299" t="s">
        <v>252</v>
      </c>
    </row>
    <row r="1071" spans="5:20" x14ac:dyDescent="0.2">
      <c r="E1071" s="299"/>
    </row>
    <row r="1072" spans="5:20" x14ac:dyDescent="0.2">
      <c r="E1072" s="299"/>
    </row>
    <row r="1073" spans="5:5" x14ac:dyDescent="0.2">
      <c r="E1073" s="299"/>
    </row>
    <row r="1074" spans="5:5" x14ac:dyDescent="0.2">
      <c r="E1074" s="299"/>
    </row>
    <row r="1075" spans="5:5" x14ac:dyDescent="0.2">
      <c r="E1075" s="299" t="s">
        <v>264</v>
      </c>
    </row>
  </sheetData>
  <sheetProtection password="C6AC" sheet="1"/>
  <mergeCells count="5">
    <mergeCell ref="D1:N1"/>
    <mergeCell ref="P1:W1"/>
    <mergeCell ref="AG1:AH1"/>
    <mergeCell ref="Y2:AA2"/>
    <mergeCell ref="AC1:AE1"/>
  </mergeCells>
  <phoneticPr fontId="8" type="noConversion"/>
  <conditionalFormatting sqref="A4:XFD1004">
    <cfRule type="expression" dxfId="5" priority="7" stopIfTrue="1">
      <formula>OR($Y4="Sortie de rampe",$Z4="Para")</formula>
    </cfRule>
    <cfRule type="expression" dxfId="4" priority="8" stopIfTrue="1">
      <formula>OR($Y4="Fin de propulsion",$Y4="Impact balistique",$AA4="Satellite")</formula>
    </cfRule>
    <cfRule type="expression" dxfId="3" priority="9" stopIfTrue="1">
      <formula>$Y4="Apogée"</formula>
    </cfRule>
  </conditionalFormatting>
  <hyperlinks>
    <hyperlink ref="J1034" r:id="rId1" xr:uid="{00000000-0004-0000-0400-000000000000}"/>
    <hyperlink ref="Y1034" r:id="rId2" xr:uid="{00000000-0004-0000-0400-000001000000}"/>
  </hyperlinks>
  <pageMargins left="0.39370078740157483" right="0.39370078740157483" top="0.39370078740157483" bottom="0.39370078740157483" header="0" footer="0"/>
  <pageSetup paperSize="9" scale="29" firstPageNumber="0" fitToHeight="5" orientation="portrait" horizontalDpi="300" verticalDpi="300" r:id="rId3"/>
  <headerFooter alignWithMargins="0"/>
  <drawing r:id="rId4"/>
  <legacyDrawing r:id="rId5"/>
  <oleObjects>
    <mc:AlternateContent xmlns:mc="http://schemas.openxmlformats.org/markup-compatibility/2006">
      <mc:Choice Requires="x14">
        <oleObject progId="Equation.3" shapeId="3091" r:id="rId6">
          <objectPr defaultSize="0" autoPict="0" r:id="rId7">
            <anchor moveWithCells="1">
              <from>
                <xdr:col>18</xdr:col>
                <xdr:colOff>9525</xdr:colOff>
                <xdr:row>1010</xdr:row>
                <xdr:rowOff>104775</xdr:rowOff>
              </from>
              <to>
                <xdr:col>20</xdr:col>
                <xdr:colOff>295275</xdr:colOff>
                <xdr:row>1013</xdr:row>
                <xdr:rowOff>28575</xdr:rowOff>
              </to>
            </anchor>
          </objectPr>
        </oleObject>
      </mc:Choice>
      <mc:Fallback>
        <oleObject progId="Equation.3" shapeId="3091" r:id="rId6"/>
      </mc:Fallback>
    </mc:AlternateContent>
    <mc:AlternateContent xmlns:mc="http://schemas.openxmlformats.org/markup-compatibility/2006">
      <mc:Choice Requires="x14">
        <oleObject progId="Equation.3" shapeId="3092" r:id="rId8">
          <objectPr defaultSize="0" autoPict="0" r:id="rId9">
            <anchor moveWithCells="1">
              <from>
                <xdr:col>21</xdr:col>
                <xdr:colOff>28575</xdr:colOff>
                <xdr:row>1024</xdr:row>
                <xdr:rowOff>161925</xdr:rowOff>
              </from>
              <to>
                <xdr:col>25</xdr:col>
                <xdr:colOff>457200</xdr:colOff>
                <xdr:row>1026</xdr:row>
                <xdr:rowOff>76200</xdr:rowOff>
              </to>
            </anchor>
          </objectPr>
        </oleObject>
      </mc:Choice>
      <mc:Fallback>
        <oleObject progId="Equation.3" shapeId="3092" r:id="rId8"/>
      </mc:Fallback>
    </mc:AlternateContent>
    <mc:AlternateContent xmlns:mc="http://schemas.openxmlformats.org/markup-compatibility/2006">
      <mc:Choice Requires="x14">
        <oleObject progId="Equation.3" shapeId="3096" r:id="rId10">
          <objectPr defaultSize="0" autoPict="0" r:id="rId11">
            <anchor moveWithCells="1">
              <from>
                <xdr:col>16</xdr:col>
                <xdr:colOff>257175</xdr:colOff>
                <xdr:row>1006</xdr:row>
                <xdr:rowOff>28575</xdr:rowOff>
              </from>
              <to>
                <xdr:col>24</xdr:col>
                <xdr:colOff>152400</xdr:colOff>
                <xdr:row>1007</xdr:row>
                <xdr:rowOff>104775</xdr:rowOff>
              </to>
            </anchor>
          </objectPr>
        </oleObject>
      </mc:Choice>
      <mc:Fallback>
        <oleObject progId="Equation.3" shapeId="3096" r:id="rId10"/>
      </mc:Fallback>
    </mc:AlternateContent>
    <mc:AlternateContent xmlns:mc="http://schemas.openxmlformats.org/markup-compatibility/2006">
      <mc:Choice Requires="x14">
        <oleObject progId="Equation.3" shapeId="3112" r:id="rId12">
          <objectPr defaultSize="0" autoPict="0" r:id="rId13">
            <anchor moveWithCells="1">
              <from>
                <xdr:col>7</xdr:col>
                <xdr:colOff>9525</xdr:colOff>
                <xdr:row>1017</xdr:row>
                <xdr:rowOff>161925</xdr:rowOff>
              </from>
              <to>
                <xdr:col>10</xdr:col>
                <xdr:colOff>581025</xdr:colOff>
                <xdr:row>1019</xdr:row>
                <xdr:rowOff>142875</xdr:rowOff>
              </to>
            </anchor>
          </objectPr>
        </oleObject>
      </mc:Choice>
      <mc:Fallback>
        <oleObject progId="Equation.3" shapeId="3112" r:id="rId12"/>
      </mc:Fallback>
    </mc:AlternateContent>
    <mc:AlternateContent xmlns:mc="http://schemas.openxmlformats.org/markup-compatibility/2006">
      <mc:Choice Requires="x14">
        <oleObject progId="Equation.3" shapeId="3114" r:id="rId14">
          <objectPr defaultSize="0" autoPict="0" r:id="rId15">
            <anchor moveWithCells="1">
              <from>
                <xdr:col>7</xdr:col>
                <xdr:colOff>9525</xdr:colOff>
                <xdr:row>1014</xdr:row>
                <xdr:rowOff>180975</xdr:rowOff>
              </from>
              <to>
                <xdr:col>11</xdr:col>
                <xdr:colOff>266700</xdr:colOff>
                <xdr:row>1016</xdr:row>
                <xdr:rowOff>66675</xdr:rowOff>
              </to>
            </anchor>
          </objectPr>
        </oleObject>
      </mc:Choice>
      <mc:Fallback>
        <oleObject progId="Equation.3" shapeId="3114" r:id="rId14"/>
      </mc:Fallback>
    </mc:AlternateContent>
    <mc:AlternateContent xmlns:mc="http://schemas.openxmlformats.org/markup-compatibility/2006">
      <mc:Choice Requires="x14">
        <oleObject progId="Equation.3" shapeId="3115" r:id="rId16">
          <objectPr defaultSize="0" autoPict="0" r:id="rId17">
            <anchor moveWithCells="1">
              <from>
                <xdr:col>7</xdr:col>
                <xdr:colOff>9525</xdr:colOff>
                <xdr:row>1016</xdr:row>
                <xdr:rowOff>76200</xdr:rowOff>
              </from>
              <to>
                <xdr:col>11</xdr:col>
                <xdr:colOff>238125</xdr:colOff>
                <xdr:row>1017</xdr:row>
                <xdr:rowOff>161925</xdr:rowOff>
              </to>
            </anchor>
          </objectPr>
        </oleObject>
      </mc:Choice>
      <mc:Fallback>
        <oleObject progId="Equation.3" shapeId="3115" r:id="rId16"/>
      </mc:Fallback>
    </mc:AlternateContent>
    <mc:AlternateContent xmlns:mc="http://schemas.openxmlformats.org/markup-compatibility/2006">
      <mc:Choice Requires="x14">
        <oleObject progId="Equation.3" shapeId="3119" r:id="rId18">
          <objectPr defaultSize="0" autoPict="0" r:id="rId19">
            <anchor moveWithCells="1">
              <from>
                <xdr:col>10</xdr:col>
                <xdr:colOff>0</xdr:colOff>
                <xdr:row>1022</xdr:row>
                <xdr:rowOff>66675</xdr:rowOff>
              </from>
              <to>
                <xdr:col>17</xdr:col>
                <xdr:colOff>276225</xdr:colOff>
                <xdr:row>1024</xdr:row>
                <xdr:rowOff>161925</xdr:rowOff>
              </to>
            </anchor>
          </objectPr>
        </oleObject>
      </mc:Choice>
      <mc:Fallback>
        <oleObject progId="Equation.3" shapeId="3119" r:id="rId18"/>
      </mc:Fallback>
    </mc:AlternateContent>
    <mc:AlternateContent xmlns:mc="http://schemas.openxmlformats.org/markup-compatibility/2006">
      <mc:Choice Requires="x14">
        <oleObject progId="Equation.3" shapeId="3120" r:id="rId20">
          <objectPr defaultSize="0" autoPict="0" r:id="rId21">
            <anchor moveWithCells="1">
              <from>
                <xdr:col>4</xdr:col>
                <xdr:colOff>0</xdr:colOff>
                <xdr:row>1008</xdr:row>
                <xdr:rowOff>0</xdr:rowOff>
              </from>
              <to>
                <xdr:col>11</xdr:col>
                <xdr:colOff>238125</xdr:colOff>
                <xdr:row>1010</xdr:row>
                <xdr:rowOff>85725</xdr:rowOff>
              </to>
            </anchor>
          </objectPr>
        </oleObject>
      </mc:Choice>
      <mc:Fallback>
        <oleObject progId="Equation.3" shapeId="3120" r:id="rId20"/>
      </mc:Fallback>
    </mc:AlternateContent>
    <mc:AlternateContent xmlns:mc="http://schemas.openxmlformats.org/markup-compatibility/2006">
      <mc:Choice Requires="x14">
        <oleObject progId="Equation.3" shapeId="3121" r:id="rId22">
          <objectPr defaultSize="0" autoPict="0" r:id="rId23">
            <anchor moveWithCells="1">
              <from>
                <xdr:col>4</xdr:col>
                <xdr:colOff>0</xdr:colOff>
                <xdr:row>1010</xdr:row>
                <xdr:rowOff>104775</xdr:rowOff>
              </from>
              <to>
                <xdr:col>12</xdr:col>
                <xdr:colOff>238125</xdr:colOff>
                <xdr:row>1013</xdr:row>
                <xdr:rowOff>0</xdr:rowOff>
              </to>
            </anchor>
          </objectPr>
        </oleObject>
      </mc:Choice>
      <mc:Fallback>
        <oleObject progId="Equation.3" shapeId="3121" r:id="rId22"/>
      </mc:Fallback>
    </mc:AlternateContent>
    <mc:AlternateContent xmlns:mc="http://schemas.openxmlformats.org/markup-compatibility/2006">
      <mc:Choice Requires="x14">
        <oleObject progId="Equation.3" shapeId="3122" r:id="rId24">
          <objectPr defaultSize="0" autoPict="0" r:id="rId25">
            <anchor moveWithCells="1">
              <from>
                <xdr:col>1</xdr:col>
                <xdr:colOff>9525</xdr:colOff>
                <xdr:row>1006</xdr:row>
                <xdr:rowOff>104775</xdr:rowOff>
              </from>
              <to>
                <xdr:col>3</xdr:col>
                <xdr:colOff>542925</xdr:colOff>
                <xdr:row>1007</xdr:row>
                <xdr:rowOff>180975</xdr:rowOff>
              </to>
            </anchor>
          </objectPr>
        </oleObject>
      </mc:Choice>
      <mc:Fallback>
        <oleObject progId="Equation.3" shapeId="3122" r:id="rId24"/>
      </mc:Fallback>
    </mc:AlternateContent>
    <mc:AlternateContent xmlns:mc="http://schemas.openxmlformats.org/markup-compatibility/2006">
      <mc:Choice Requires="x14">
        <oleObject progId="Equation.3" shapeId="3124" r:id="rId26">
          <objectPr defaultSize="0" autoPict="0" r:id="rId27">
            <anchor moveWithCells="1">
              <from>
                <xdr:col>10</xdr:col>
                <xdr:colOff>0</xdr:colOff>
                <xdr:row>1024</xdr:row>
                <xdr:rowOff>180975</xdr:rowOff>
              </from>
              <to>
                <xdr:col>16</xdr:col>
                <xdr:colOff>0</xdr:colOff>
                <xdr:row>1026</xdr:row>
                <xdr:rowOff>142875</xdr:rowOff>
              </to>
            </anchor>
          </objectPr>
        </oleObject>
      </mc:Choice>
      <mc:Fallback>
        <oleObject progId="Equation.3" shapeId="3124" r:id="rId26"/>
      </mc:Fallback>
    </mc:AlternateContent>
    <mc:AlternateContent xmlns:mc="http://schemas.openxmlformats.org/markup-compatibility/2006">
      <mc:Choice Requires="x14">
        <oleObject progId="Equation.3" shapeId="3125" r:id="rId28">
          <objectPr defaultSize="0" autoPict="0" r:id="rId29">
            <anchor moveWithCells="1">
              <from>
                <xdr:col>18</xdr:col>
                <xdr:colOff>9525</xdr:colOff>
                <xdr:row>1013</xdr:row>
                <xdr:rowOff>28575</xdr:rowOff>
              </from>
              <to>
                <xdr:col>21</xdr:col>
                <xdr:colOff>28575</xdr:colOff>
                <xdr:row>1014</xdr:row>
                <xdr:rowOff>114300</xdr:rowOff>
              </to>
            </anchor>
          </objectPr>
        </oleObject>
      </mc:Choice>
      <mc:Fallback>
        <oleObject progId="Equation.3" shapeId="3125" r:id="rId28"/>
      </mc:Fallback>
    </mc:AlternateContent>
    <mc:AlternateContent xmlns:mc="http://schemas.openxmlformats.org/markup-compatibility/2006">
      <mc:Choice Requires="x14">
        <oleObject progId="Equation.3" shapeId="3127" r:id="rId30">
          <objectPr defaultSize="0" autoPict="0" r:id="rId31">
            <anchor moveWithCells="1">
              <from>
                <xdr:col>1</xdr:col>
                <xdr:colOff>9525</xdr:colOff>
                <xdr:row>1005</xdr:row>
                <xdr:rowOff>9525</xdr:rowOff>
              </from>
              <to>
                <xdr:col>10</xdr:col>
                <xdr:colOff>409575</xdr:colOff>
                <xdr:row>1006</xdr:row>
                <xdr:rowOff>85725</xdr:rowOff>
              </to>
            </anchor>
          </objectPr>
        </oleObject>
      </mc:Choice>
      <mc:Fallback>
        <oleObject progId="Equation.3" shapeId="3127" r:id="rId30"/>
      </mc:Fallback>
    </mc:AlternateContent>
    <mc:AlternateContent xmlns:mc="http://schemas.openxmlformats.org/markup-compatibility/2006">
      <mc:Choice Requires="x14">
        <oleObject progId="Equation.3" shapeId="3129" r:id="rId32">
          <objectPr defaultSize="0" autoPict="0" r:id="rId33">
            <anchor moveWithCells="1">
              <from>
                <xdr:col>4</xdr:col>
                <xdr:colOff>0</xdr:colOff>
                <xdr:row>1013</xdr:row>
                <xdr:rowOff>9525</xdr:rowOff>
              </from>
              <to>
                <xdr:col>8</xdr:col>
                <xdr:colOff>190500</xdr:colOff>
                <xdr:row>1014</xdr:row>
                <xdr:rowOff>161925</xdr:rowOff>
              </to>
            </anchor>
          </objectPr>
        </oleObject>
      </mc:Choice>
      <mc:Fallback>
        <oleObject progId="Equation.3" shapeId="3129" r:id="rId32"/>
      </mc:Fallback>
    </mc:AlternateContent>
    <mc:AlternateContent xmlns:mc="http://schemas.openxmlformats.org/markup-compatibility/2006">
      <mc:Choice Requires="x14">
        <oleObject progId="Equation.3" shapeId="3131" r:id="rId34">
          <objectPr defaultSize="0" autoPict="0" r:id="rId35">
            <anchor moveWithCells="1">
              <from>
                <xdr:col>20</xdr:col>
                <xdr:colOff>9525</xdr:colOff>
                <xdr:row>1018</xdr:row>
                <xdr:rowOff>47625</xdr:rowOff>
              </from>
              <to>
                <xdr:col>24</xdr:col>
                <xdr:colOff>1076325</xdr:colOff>
                <xdr:row>1019</xdr:row>
                <xdr:rowOff>142875</xdr:rowOff>
              </to>
            </anchor>
          </objectPr>
        </oleObject>
      </mc:Choice>
      <mc:Fallback>
        <oleObject progId="Equation.3" shapeId="3131" r:id="rId34"/>
      </mc:Fallback>
    </mc:AlternateContent>
    <mc:AlternateContent xmlns:mc="http://schemas.openxmlformats.org/markup-compatibility/2006">
      <mc:Choice Requires="x14">
        <oleObject progId="Equation.3" shapeId="3134" r:id="rId36">
          <objectPr defaultSize="0" autoPict="0" r:id="rId37">
            <anchor moveWithCells="1">
              <from>
                <xdr:col>10</xdr:col>
                <xdr:colOff>0</xdr:colOff>
                <xdr:row>1019</xdr:row>
                <xdr:rowOff>142875</xdr:rowOff>
              </from>
              <to>
                <xdr:col>20</xdr:col>
                <xdr:colOff>581025</xdr:colOff>
                <xdr:row>1022</xdr:row>
                <xdr:rowOff>47625</xdr:rowOff>
              </to>
            </anchor>
          </objectPr>
        </oleObject>
      </mc:Choice>
      <mc:Fallback>
        <oleObject progId="Equation.3" shapeId="3134" r:id="rId36"/>
      </mc:Fallback>
    </mc:AlternateContent>
    <mc:AlternateContent xmlns:mc="http://schemas.openxmlformats.org/markup-compatibility/2006">
      <mc:Choice Requires="x14">
        <oleObject progId="Equation.3" shapeId="3135" r:id="rId38">
          <objectPr defaultSize="0" autoPict="0" r:id="rId39">
            <anchor moveWithCells="1">
              <from>
                <xdr:col>12</xdr:col>
                <xdr:colOff>0</xdr:colOff>
                <xdr:row>1018</xdr:row>
                <xdr:rowOff>47625</xdr:rowOff>
              </from>
              <to>
                <xdr:col>19</xdr:col>
                <xdr:colOff>180975</xdr:colOff>
                <xdr:row>1019</xdr:row>
                <xdr:rowOff>142875</xdr:rowOff>
              </to>
            </anchor>
          </objectPr>
        </oleObject>
      </mc:Choice>
      <mc:Fallback>
        <oleObject progId="Equation.3" shapeId="3135" r:id="rId38"/>
      </mc:Fallback>
    </mc:AlternateContent>
    <mc:AlternateContent xmlns:mc="http://schemas.openxmlformats.org/markup-compatibility/2006">
      <mc:Choice Requires="x14">
        <oleObject progId="Equation.3" shapeId="3141" r:id="rId40">
          <objectPr defaultSize="0" autoPict="0" r:id="rId41">
            <anchor moveWithCells="1">
              <from>
                <xdr:col>33</xdr:col>
                <xdr:colOff>9525</xdr:colOff>
                <xdr:row>1007</xdr:row>
                <xdr:rowOff>123825</xdr:rowOff>
              </from>
              <to>
                <xdr:col>37</xdr:col>
                <xdr:colOff>276225</xdr:colOff>
                <xdr:row>1010</xdr:row>
                <xdr:rowOff>76200</xdr:rowOff>
              </to>
            </anchor>
          </objectPr>
        </oleObject>
      </mc:Choice>
      <mc:Fallback>
        <oleObject progId="Equation.3" shapeId="3141" r:id="rId40"/>
      </mc:Fallback>
    </mc:AlternateContent>
    <mc:AlternateContent xmlns:mc="http://schemas.openxmlformats.org/markup-compatibility/2006">
      <mc:Choice Requires="x14">
        <oleObject progId="Equation.3" shapeId="3142" r:id="rId42">
          <objectPr defaultSize="0" autoPict="0" r:id="rId43">
            <anchor moveWithCells="1">
              <from>
                <xdr:col>33</xdr:col>
                <xdr:colOff>9525</xdr:colOff>
                <xdr:row>1010</xdr:row>
                <xdr:rowOff>85725</xdr:rowOff>
              </from>
              <to>
                <xdr:col>35</xdr:col>
                <xdr:colOff>723900</xdr:colOff>
                <xdr:row>1013</xdr:row>
                <xdr:rowOff>47625</xdr:rowOff>
              </to>
            </anchor>
          </objectPr>
        </oleObject>
      </mc:Choice>
      <mc:Fallback>
        <oleObject progId="Equation.3" shapeId="3142" r:id="rId42"/>
      </mc:Fallback>
    </mc:AlternateContent>
    <mc:AlternateContent xmlns:mc="http://schemas.openxmlformats.org/markup-compatibility/2006">
      <mc:Choice Requires="x14">
        <oleObject progId="Equation.3" shapeId="3157" r:id="rId44">
          <objectPr defaultSize="0" autoPict="0" r:id="rId45">
            <anchor moveWithCells="1">
              <from>
                <xdr:col>4</xdr:col>
                <xdr:colOff>0</xdr:colOff>
                <xdr:row>1035</xdr:row>
                <xdr:rowOff>28575</xdr:rowOff>
              </from>
              <to>
                <xdr:col>11</xdr:col>
                <xdr:colOff>561975</xdr:colOff>
                <xdr:row>1038</xdr:row>
                <xdr:rowOff>28575</xdr:rowOff>
              </to>
            </anchor>
          </objectPr>
        </oleObject>
      </mc:Choice>
      <mc:Fallback>
        <oleObject progId="Equation.3" shapeId="3157" r:id="rId44"/>
      </mc:Fallback>
    </mc:AlternateContent>
    <mc:AlternateContent xmlns:mc="http://schemas.openxmlformats.org/markup-compatibility/2006">
      <mc:Choice Requires="x14">
        <oleObject progId="Equation.3" shapeId="3158" r:id="rId46">
          <objectPr defaultSize="0" autoPict="0" r:id="rId47">
            <anchor moveWithCells="1">
              <from>
                <xdr:col>4</xdr:col>
                <xdr:colOff>0</xdr:colOff>
                <xdr:row>1040</xdr:row>
                <xdr:rowOff>28575</xdr:rowOff>
              </from>
              <to>
                <xdr:col>12</xdr:col>
                <xdr:colOff>28575</xdr:colOff>
                <xdr:row>1043</xdr:row>
                <xdr:rowOff>28575</xdr:rowOff>
              </to>
            </anchor>
          </objectPr>
        </oleObject>
      </mc:Choice>
      <mc:Fallback>
        <oleObject progId="Equation.3" shapeId="3158" r:id="rId46"/>
      </mc:Fallback>
    </mc:AlternateContent>
    <mc:AlternateContent xmlns:mc="http://schemas.openxmlformats.org/markup-compatibility/2006">
      <mc:Choice Requires="x14">
        <oleObject progId="Equation.3" shapeId="3161" r:id="rId48">
          <objectPr defaultSize="0" autoPict="0" r:id="rId49">
            <anchor moveWithCells="1">
              <from>
                <xdr:col>18</xdr:col>
                <xdr:colOff>9525</xdr:colOff>
                <xdr:row>1014</xdr:row>
                <xdr:rowOff>123825</xdr:rowOff>
              </from>
              <to>
                <xdr:col>20</xdr:col>
                <xdr:colOff>333375</xdr:colOff>
                <xdr:row>1016</xdr:row>
                <xdr:rowOff>9525</xdr:rowOff>
              </to>
            </anchor>
          </objectPr>
        </oleObject>
      </mc:Choice>
      <mc:Fallback>
        <oleObject progId="Equation.3" shapeId="3161" r:id="rId48"/>
      </mc:Fallback>
    </mc:AlternateContent>
    <mc:AlternateContent xmlns:mc="http://schemas.openxmlformats.org/markup-compatibility/2006">
      <mc:Choice Requires="x14">
        <oleObject progId="Equation.3" shapeId="3162" r:id="rId50">
          <objectPr defaultSize="0" autoPict="0" r:id="rId51">
            <anchor moveWithCells="1">
              <from>
                <xdr:col>16</xdr:col>
                <xdr:colOff>257175</xdr:colOff>
                <xdr:row>1007</xdr:row>
                <xdr:rowOff>114300</xdr:rowOff>
              </from>
              <to>
                <xdr:col>32</xdr:col>
                <xdr:colOff>161925</xdr:colOff>
                <xdr:row>1010</xdr:row>
                <xdr:rowOff>85725</xdr:rowOff>
              </to>
            </anchor>
          </objectPr>
        </oleObject>
      </mc:Choice>
      <mc:Fallback>
        <oleObject progId="Equation.3" shapeId="3162" r:id="rId50"/>
      </mc:Fallback>
    </mc:AlternateContent>
    <mc:AlternateContent xmlns:mc="http://schemas.openxmlformats.org/markup-compatibility/2006">
      <mc:Choice Requires="x14">
        <oleObject progId="Equation.3" shapeId="3167" r:id="rId52">
          <objectPr defaultSize="0" autoPict="0" r:id="rId53">
            <anchor moveWithCells="1">
              <from>
                <xdr:col>4</xdr:col>
                <xdr:colOff>0</xdr:colOff>
                <xdr:row>1055</xdr:row>
                <xdr:rowOff>28575</xdr:rowOff>
              </from>
              <to>
                <xdr:col>12</xdr:col>
                <xdr:colOff>333375</xdr:colOff>
                <xdr:row>1058</xdr:row>
                <xdr:rowOff>47625</xdr:rowOff>
              </to>
            </anchor>
          </objectPr>
        </oleObject>
      </mc:Choice>
      <mc:Fallback>
        <oleObject progId="Equation.3" shapeId="3167" r:id="rId52"/>
      </mc:Fallback>
    </mc:AlternateContent>
    <mc:AlternateContent xmlns:mc="http://schemas.openxmlformats.org/markup-compatibility/2006">
      <mc:Choice Requires="x14">
        <oleObject progId="Equation.3" shapeId="3168" r:id="rId54">
          <objectPr defaultSize="0" autoPict="0" r:id="rId55">
            <anchor moveWithCells="1">
              <from>
                <xdr:col>4</xdr:col>
                <xdr:colOff>0</xdr:colOff>
                <xdr:row>1060</xdr:row>
                <xdr:rowOff>28575</xdr:rowOff>
              </from>
              <to>
                <xdr:col>15</xdr:col>
                <xdr:colOff>47625</xdr:colOff>
                <xdr:row>1063</xdr:row>
                <xdr:rowOff>47625</xdr:rowOff>
              </to>
            </anchor>
          </objectPr>
        </oleObject>
      </mc:Choice>
      <mc:Fallback>
        <oleObject progId="Equation.3" shapeId="3168" r:id="rId54"/>
      </mc:Fallback>
    </mc:AlternateContent>
    <mc:AlternateContent xmlns:mc="http://schemas.openxmlformats.org/markup-compatibility/2006">
      <mc:Choice Requires="x14">
        <oleObject progId="Equation.3" shapeId="3169" r:id="rId56">
          <objectPr defaultSize="0" autoPict="0" r:id="rId57">
            <anchor moveWithCells="1">
              <from>
                <xdr:col>4</xdr:col>
                <xdr:colOff>0</xdr:colOff>
                <xdr:row>1065</xdr:row>
                <xdr:rowOff>28575</xdr:rowOff>
              </from>
              <to>
                <xdr:col>16</xdr:col>
                <xdr:colOff>676275</xdr:colOff>
                <xdr:row>1068</xdr:row>
                <xdr:rowOff>47625</xdr:rowOff>
              </to>
            </anchor>
          </objectPr>
        </oleObject>
      </mc:Choice>
      <mc:Fallback>
        <oleObject progId="Equation.3" shapeId="3169" r:id="rId56"/>
      </mc:Fallback>
    </mc:AlternateContent>
    <mc:AlternateContent xmlns:mc="http://schemas.openxmlformats.org/markup-compatibility/2006">
      <mc:Choice Requires="x14">
        <oleObject progId="Equation.3" shapeId="3173" r:id="rId58">
          <objectPr defaultSize="0" autoPict="0" r:id="rId59">
            <anchor moveWithCells="1">
              <from>
                <xdr:col>4</xdr:col>
                <xdr:colOff>0</xdr:colOff>
                <xdr:row>1045</xdr:row>
                <xdr:rowOff>28575</xdr:rowOff>
              </from>
              <to>
                <xdr:col>16</xdr:col>
                <xdr:colOff>104775</xdr:colOff>
                <xdr:row>1048</xdr:row>
                <xdr:rowOff>28575</xdr:rowOff>
              </to>
            </anchor>
          </objectPr>
        </oleObject>
      </mc:Choice>
      <mc:Fallback>
        <oleObject progId="Equation.3" shapeId="3173" r:id="rId58"/>
      </mc:Fallback>
    </mc:AlternateContent>
    <mc:AlternateContent xmlns:mc="http://schemas.openxmlformats.org/markup-compatibility/2006">
      <mc:Choice Requires="x14">
        <oleObject progId="Equation.3" shapeId="3174" r:id="rId60">
          <objectPr defaultSize="0" autoPict="0" r:id="rId61">
            <anchor moveWithCells="1">
              <from>
                <xdr:col>4</xdr:col>
                <xdr:colOff>0</xdr:colOff>
                <xdr:row>1050</xdr:row>
                <xdr:rowOff>28575</xdr:rowOff>
              </from>
              <to>
                <xdr:col>16</xdr:col>
                <xdr:colOff>390525</xdr:colOff>
                <xdr:row>1053</xdr:row>
                <xdr:rowOff>47625</xdr:rowOff>
              </to>
            </anchor>
          </objectPr>
        </oleObject>
      </mc:Choice>
      <mc:Fallback>
        <oleObject progId="Equation.3" shapeId="3174" r:id="rId60"/>
      </mc:Fallback>
    </mc:AlternateContent>
    <mc:AlternateContent xmlns:mc="http://schemas.openxmlformats.org/markup-compatibility/2006">
      <mc:Choice Requires="x14">
        <oleObject progId="Equation.3" shapeId="3178" r:id="rId62">
          <objectPr defaultSize="0" autoPict="0" r:id="rId63">
            <anchor moveWithCells="1">
              <from>
                <xdr:col>4</xdr:col>
                <xdr:colOff>0</xdr:colOff>
                <xdr:row>1070</xdr:row>
                <xdr:rowOff>28575</xdr:rowOff>
              </from>
              <to>
                <xdr:col>12</xdr:col>
                <xdr:colOff>409575</xdr:colOff>
                <xdr:row>1073</xdr:row>
                <xdr:rowOff>47625</xdr:rowOff>
              </to>
            </anchor>
          </objectPr>
        </oleObject>
      </mc:Choice>
      <mc:Fallback>
        <oleObject progId="Equation.3" shapeId="3178" r:id="rId62"/>
      </mc:Fallback>
    </mc:AlternateContent>
    <mc:AlternateContent xmlns:mc="http://schemas.openxmlformats.org/markup-compatibility/2006">
      <mc:Choice Requires="x14">
        <oleObject progId="Equation.3" shapeId="3188" r:id="rId64">
          <objectPr defaultSize="0" autoPict="0" r:id="rId65">
            <anchor moveWithCells="1">
              <from>
                <xdr:col>19</xdr:col>
                <xdr:colOff>0</xdr:colOff>
                <xdr:row>1053</xdr:row>
                <xdr:rowOff>28575</xdr:rowOff>
              </from>
              <to>
                <xdr:col>32</xdr:col>
                <xdr:colOff>419100</xdr:colOff>
                <xdr:row>1056</xdr:row>
                <xdr:rowOff>28575</xdr:rowOff>
              </to>
            </anchor>
          </objectPr>
        </oleObject>
      </mc:Choice>
      <mc:Fallback>
        <oleObject progId="Equation.3" shapeId="3188" r:id="rId64"/>
      </mc:Fallback>
    </mc:AlternateContent>
    <mc:AlternateContent xmlns:mc="http://schemas.openxmlformats.org/markup-compatibility/2006">
      <mc:Choice Requires="x14">
        <oleObject progId="Equation.3" shapeId="3192" r:id="rId66">
          <objectPr defaultSize="0" autoPict="0" r:id="rId67">
            <anchor moveWithCells="1">
              <from>
                <xdr:col>21</xdr:col>
                <xdr:colOff>28575</xdr:colOff>
                <xdr:row>1022</xdr:row>
                <xdr:rowOff>47625</xdr:rowOff>
              </from>
              <to>
                <xdr:col>32</xdr:col>
                <xdr:colOff>266700</xdr:colOff>
                <xdr:row>1024</xdr:row>
                <xdr:rowOff>142875</xdr:rowOff>
              </to>
            </anchor>
          </objectPr>
        </oleObject>
      </mc:Choice>
      <mc:Fallback>
        <oleObject progId="Equation.3" shapeId="3192" r:id="rId66"/>
      </mc:Fallback>
    </mc:AlternateContent>
    <mc:AlternateContent xmlns:mc="http://schemas.openxmlformats.org/markup-compatibility/2006">
      <mc:Choice Requires="x14">
        <oleObject progId="Equation.3" shapeId="3220" r:id="rId68">
          <objectPr defaultSize="0" autoPict="0" r:id="rId69">
            <anchor moveWithCells="1">
              <from>
                <xdr:col>33</xdr:col>
                <xdr:colOff>0</xdr:colOff>
                <xdr:row>1017</xdr:row>
                <xdr:rowOff>28575</xdr:rowOff>
              </from>
              <to>
                <xdr:col>36</xdr:col>
                <xdr:colOff>161925</xdr:colOff>
                <xdr:row>1020</xdr:row>
                <xdr:rowOff>28575</xdr:rowOff>
              </to>
            </anchor>
          </objectPr>
        </oleObject>
      </mc:Choice>
      <mc:Fallback>
        <oleObject progId="Equation.3" shapeId="3220" r:id="rId68"/>
      </mc:Fallback>
    </mc:AlternateContent>
    <mc:AlternateContent xmlns:mc="http://schemas.openxmlformats.org/markup-compatibility/2006">
      <mc:Choice Requires="x14">
        <oleObject progId="Equation.3" shapeId="3222" r:id="rId70">
          <objectPr defaultSize="0" autoPict="0" r:id="rId71">
            <anchor moveWithCells="1">
              <from>
                <xdr:col>33</xdr:col>
                <xdr:colOff>0</xdr:colOff>
                <xdr:row>1014</xdr:row>
                <xdr:rowOff>0</xdr:rowOff>
              </from>
              <to>
                <xdr:col>36</xdr:col>
                <xdr:colOff>695325</xdr:colOff>
                <xdr:row>1017</xdr:row>
                <xdr:rowOff>0</xdr:rowOff>
              </to>
            </anchor>
          </objectPr>
        </oleObject>
      </mc:Choice>
      <mc:Fallback>
        <oleObject progId="Equation.3" shapeId="3222" r:id="rId70"/>
      </mc:Fallback>
    </mc:AlternateContent>
    <mc:AlternateContent xmlns:mc="http://schemas.openxmlformats.org/markup-compatibility/2006">
      <mc:Choice Requires="x14">
        <oleObject progId="Equation.3" shapeId="3223" r:id="rId72">
          <objectPr defaultSize="0" autoPict="0" r:id="rId73">
            <anchor moveWithCells="1">
              <from>
                <xdr:col>33</xdr:col>
                <xdr:colOff>0</xdr:colOff>
                <xdr:row>1020</xdr:row>
                <xdr:rowOff>47625</xdr:rowOff>
              </from>
              <to>
                <xdr:col>35</xdr:col>
                <xdr:colOff>142875</xdr:colOff>
                <xdr:row>1023</xdr:row>
                <xdr:rowOff>47625</xdr:rowOff>
              </to>
            </anchor>
          </objectPr>
        </oleObject>
      </mc:Choice>
      <mc:Fallback>
        <oleObject progId="Equation.3" shapeId="3223" r:id="rId72"/>
      </mc:Fallback>
    </mc:AlternateContent>
    <mc:AlternateContent xmlns:mc="http://schemas.openxmlformats.org/markup-compatibility/2006">
      <mc:Choice Requires="x14">
        <oleObject progId="Equation.3" shapeId="3225" r:id="rId74">
          <objectPr defaultSize="0" autoPict="0" r:id="rId75">
            <anchor moveWithCells="1">
              <from>
                <xdr:col>33</xdr:col>
                <xdr:colOff>0</xdr:colOff>
                <xdr:row>1023</xdr:row>
                <xdr:rowOff>66675</xdr:rowOff>
              </from>
              <to>
                <xdr:col>36</xdr:col>
                <xdr:colOff>47625</xdr:colOff>
                <xdr:row>1026</xdr:row>
                <xdr:rowOff>66675</xdr:rowOff>
              </to>
            </anchor>
          </objectPr>
        </oleObject>
      </mc:Choice>
      <mc:Fallback>
        <oleObject progId="Equation.3" shapeId="3225" r:id="rId74"/>
      </mc:Fallback>
    </mc:AlternateContent>
    <mc:AlternateContent xmlns:mc="http://schemas.openxmlformats.org/markup-compatibility/2006">
      <mc:Choice Requires="x14">
        <oleObject progId="Equation.3" shapeId="3281" r:id="rId76">
          <objectPr defaultSize="0" autoPict="0" r:id="rId77">
            <anchor moveWithCells="1">
              <from>
                <xdr:col>19</xdr:col>
                <xdr:colOff>0</xdr:colOff>
                <xdr:row>1048</xdr:row>
                <xdr:rowOff>28575</xdr:rowOff>
              </from>
              <to>
                <xdr:col>34</xdr:col>
                <xdr:colOff>352425</xdr:colOff>
                <xdr:row>1051</xdr:row>
                <xdr:rowOff>85725</xdr:rowOff>
              </to>
            </anchor>
          </objectPr>
        </oleObject>
      </mc:Choice>
      <mc:Fallback>
        <oleObject progId="Equation.3" shapeId="3281" r:id="rId76"/>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8">
    <pageSetUpPr fitToPage="1"/>
  </sheetPr>
  <dimension ref="A1:M81"/>
  <sheetViews>
    <sheetView showGridLines="0" zoomScaleNormal="100" workbookViewId="0">
      <selection activeCell="E13" sqref="E13"/>
    </sheetView>
  </sheetViews>
  <sheetFormatPr baseColWidth="10" defaultRowHeight="12.75" x14ac:dyDescent="0.2"/>
  <cols>
    <col min="1" max="1" width="2.140625" customWidth="1"/>
    <col min="2" max="2" width="16.140625" customWidth="1"/>
    <col min="3" max="4" width="11.42578125" customWidth="1"/>
  </cols>
  <sheetData>
    <row r="1" spans="1:13" x14ac:dyDescent="0.2">
      <c r="A1" s="51"/>
      <c r="B1" s="52"/>
      <c r="C1" s="53"/>
      <c r="D1" s="52"/>
      <c r="E1" s="72"/>
      <c r="F1" s="72"/>
      <c r="G1" s="72"/>
      <c r="H1" s="72"/>
      <c r="I1" s="72"/>
      <c r="J1" s="72"/>
      <c r="K1" s="72"/>
      <c r="L1" s="72"/>
      <c r="M1" s="73"/>
    </row>
    <row r="2" spans="1:13" ht="12.75" customHeight="1" x14ac:dyDescent="0.2">
      <c r="A2" s="56"/>
      <c r="B2" s="2"/>
      <c r="C2" s="598" t="s">
        <v>281</v>
      </c>
      <c r="D2" s="598"/>
      <c r="M2" s="75"/>
    </row>
    <row r="3" spans="1:13" ht="12.75" customHeight="1" x14ac:dyDescent="0.2">
      <c r="A3" s="56"/>
      <c r="B3" s="2"/>
      <c r="C3" s="598"/>
      <c r="D3" s="598"/>
      <c r="M3" s="75"/>
    </row>
    <row r="4" spans="1:13" x14ac:dyDescent="0.2">
      <c r="A4" s="56"/>
      <c r="B4" s="2"/>
      <c r="C4" s="603" t="str">
        <f>IF(Lang="Français","Abaques de performance",IF(Lang="English","Performance charts",""))</f>
        <v>Abaques de performance</v>
      </c>
      <c r="D4" s="603"/>
      <c r="M4" s="75"/>
    </row>
    <row r="5" spans="1:13" x14ac:dyDescent="0.2">
      <c r="A5" s="56"/>
      <c r="B5" s="2"/>
      <c r="C5" s="603" t="str">
        <f>IF(Lang="Français","Calcul analytique simple",IF(Lang="English","Analytical computation",""))</f>
        <v>Calcul analytique simple</v>
      </c>
      <c r="D5" s="603"/>
      <c r="M5" s="75"/>
    </row>
    <row r="6" spans="1:13" x14ac:dyDescent="0.2">
      <c r="A6" s="56"/>
      <c r="B6" s="87"/>
      <c r="C6" s="1"/>
      <c r="D6" s="1"/>
      <c r="M6" s="75"/>
    </row>
    <row r="7" spans="1:13" x14ac:dyDescent="0.2">
      <c r="A7" s="59"/>
      <c r="B7" s="6"/>
      <c r="C7" s="599" t="str">
        <f>IF(Lang="Français","Fusée",IF(Lang="English","Rocket",""))</f>
        <v>Fusée</v>
      </c>
      <c r="D7" s="599"/>
      <c r="M7" s="75"/>
    </row>
    <row r="8" spans="1:13" ht="15.75" x14ac:dyDescent="0.25">
      <c r="A8" s="59"/>
      <c r="B8" s="140" t="str">
        <f>IF(Lang="Français","Nom",IF(Lang="English","Name",""))</f>
        <v>Nom</v>
      </c>
      <c r="C8" s="600" t="str">
        <f>Nom</f>
        <v>SP02</v>
      </c>
      <c r="D8" s="600"/>
      <c r="M8" s="75"/>
    </row>
    <row r="9" spans="1:13" ht="15.75" x14ac:dyDescent="0.25">
      <c r="A9" s="59"/>
      <c r="B9" s="140" t="s">
        <v>4</v>
      </c>
      <c r="C9" s="600" t="str">
        <f>Club</f>
        <v>L'AéroIPSA</v>
      </c>
      <c r="D9" s="600"/>
      <c r="M9" s="75"/>
    </row>
    <row r="10" spans="1:13" ht="15.75" x14ac:dyDescent="0.25">
      <c r="A10" s="59"/>
      <c r="B10" s="140" t="s">
        <v>563</v>
      </c>
      <c r="C10" s="666" t="str">
        <f>Matricule</f>
        <v>FX0</v>
      </c>
      <c r="D10" s="667"/>
      <c r="M10" s="75"/>
    </row>
    <row r="11" spans="1:13" x14ac:dyDescent="0.2">
      <c r="A11" s="59"/>
      <c r="B11" s="140" t="str">
        <f>IF(Lang="Français","Masse sans propu",IF(Lang="English","Mass without M",""))</f>
        <v>Masse sans propu</v>
      </c>
      <c r="C11" s="662">
        <f>MasseSans</f>
        <v>6.8</v>
      </c>
      <c r="D11" s="662"/>
      <c r="M11" s="75"/>
    </row>
    <row r="12" spans="1:13" x14ac:dyDescent="0.2">
      <c r="A12" s="59"/>
      <c r="B12" s="140" t="str">
        <f>IF(Lang="Français","Masse totale",IF(Lang="English","Total mass",""))</f>
        <v>Masse totale</v>
      </c>
      <c r="C12" s="665" t="str">
        <f ca="1">MassePlein &amp; " kg ±" &amp; MasseSans &amp; " kg"</f>
        <v>8,432 kg ±6,8 kg</v>
      </c>
      <c r="D12" s="665"/>
      <c r="M12" s="75"/>
    </row>
    <row r="13" spans="1:13" x14ac:dyDescent="0.2">
      <c r="A13" s="59"/>
      <c r="B13" s="227" t="str">
        <f>IF(Lang="Français","Propulseur",IF(Lang="English","Motor",""))</f>
        <v>Propulseur</v>
      </c>
      <c r="C13" s="628" t="str">
        <f>Propu</f>
        <v>Pro54-5G WT</v>
      </c>
      <c r="D13" s="629"/>
      <c r="M13" s="75"/>
    </row>
    <row r="14" spans="1:13" x14ac:dyDescent="0.2">
      <c r="A14" s="59"/>
      <c r="B14" s="1"/>
      <c r="C14" s="1"/>
      <c r="D14" s="1"/>
      <c r="M14" s="75"/>
    </row>
    <row r="15" spans="1:13" x14ac:dyDescent="0.2">
      <c r="A15" s="74"/>
      <c r="C15" s="599" t="str">
        <f>IF(Lang="Français","Traînée Aérdynamique",IF(Lang="English","Drag",""))</f>
        <v>Traînée Aérdynamique</v>
      </c>
      <c r="D15" s="599"/>
      <c r="M15" s="75"/>
    </row>
    <row r="16" spans="1:13" x14ac:dyDescent="0.2">
      <c r="A16" s="74"/>
      <c r="B16" s="139" t="str">
        <f>IF(Lang="Français","Diamètre Ø",IF(Lang="English","Diameter Ø",""))</f>
        <v>Diamètre Ø</v>
      </c>
      <c r="C16" s="663">
        <f>D_ref</f>
        <v>99</v>
      </c>
      <c r="D16" s="663"/>
      <c r="M16" s="75"/>
    </row>
    <row r="17" spans="1:13" x14ac:dyDescent="0.2">
      <c r="A17" s="74"/>
      <c r="B17" s="140" t="s">
        <v>5</v>
      </c>
      <c r="C17" s="664">
        <f>Cx</f>
        <v>0.7</v>
      </c>
      <c r="D17" s="664"/>
      <c r="M17" s="75"/>
    </row>
    <row r="18" spans="1:13" x14ac:dyDescent="0.2">
      <c r="A18" s="74"/>
      <c r="M18" s="75"/>
    </row>
    <row r="19" spans="1:13" x14ac:dyDescent="0.2">
      <c r="A19" s="74"/>
      <c r="M19" s="75"/>
    </row>
    <row r="20" spans="1:13" x14ac:dyDescent="0.2">
      <c r="A20" s="74"/>
      <c r="M20" s="75"/>
    </row>
    <row r="21" spans="1:13" x14ac:dyDescent="0.2">
      <c r="A21" s="74"/>
      <c r="M21" s="75"/>
    </row>
    <row r="22" spans="1:13" x14ac:dyDescent="0.2">
      <c r="A22" s="74"/>
      <c r="M22" s="75"/>
    </row>
    <row r="23" spans="1:13" x14ac:dyDescent="0.2">
      <c r="A23" s="74"/>
      <c r="M23" s="75"/>
    </row>
    <row r="24" spans="1:13" x14ac:dyDescent="0.2">
      <c r="A24" s="74"/>
      <c r="M24" s="75"/>
    </row>
    <row r="25" spans="1:13" x14ac:dyDescent="0.2">
      <c r="A25" s="74"/>
      <c r="M25" s="75"/>
    </row>
    <row r="26" spans="1:13" x14ac:dyDescent="0.2">
      <c r="A26" s="74"/>
      <c r="M26" s="75"/>
    </row>
    <row r="27" spans="1:13" x14ac:dyDescent="0.2">
      <c r="A27" s="74"/>
      <c r="M27" s="75"/>
    </row>
    <row r="28" spans="1:13" x14ac:dyDescent="0.2">
      <c r="A28" s="74"/>
      <c r="M28" s="75"/>
    </row>
    <row r="29" spans="1:13" x14ac:dyDescent="0.2">
      <c r="A29" s="74"/>
      <c r="M29" s="75"/>
    </row>
    <row r="30" spans="1:13" x14ac:dyDescent="0.2">
      <c r="A30" s="74"/>
      <c r="M30" s="75"/>
    </row>
    <row r="31" spans="1:13" x14ac:dyDescent="0.2">
      <c r="A31" s="74"/>
      <c r="M31" s="75"/>
    </row>
    <row r="32" spans="1:13" x14ac:dyDescent="0.2">
      <c r="A32" s="74"/>
      <c r="M32" s="75"/>
    </row>
    <row r="33" spans="1:13" x14ac:dyDescent="0.2">
      <c r="A33" s="74"/>
      <c r="M33" s="75"/>
    </row>
    <row r="34" spans="1:13" x14ac:dyDescent="0.2">
      <c r="A34" s="74"/>
      <c r="M34" s="75"/>
    </row>
    <row r="35" spans="1:13" x14ac:dyDescent="0.2">
      <c r="A35" s="74"/>
      <c r="M35" s="75"/>
    </row>
    <row r="36" spans="1:13" x14ac:dyDescent="0.2">
      <c r="A36" s="74"/>
      <c r="M36" s="75"/>
    </row>
    <row r="37" spans="1:13" ht="13.5" thickBot="1" x14ac:dyDescent="0.25">
      <c r="A37" s="77"/>
      <c r="B37" s="78"/>
      <c r="C37" s="78"/>
      <c r="D37" s="78"/>
      <c r="E37" s="78"/>
      <c r="F37" s="78"/>
      <c r="G37" s="78"/>
      <c r="H37" s="78"/>
      <c r="I37" s="78"/>
      <c r="J37" s="78"/>
      <c r="K37" s="78"/>
      <c r="L37" s="78"/>
      <c r="M37" s="79"/>
    </row>
    <row r="41" spans="1:13" x14ac:dyDescent="0.2">
      <c r="B41" s="419" t="s">
        <v>61</v>
      </c>
      <c r="C41" s="170" t="s">
        <v>285</v>
      </c>
      <c r="D41" s="134" t="s">
        <v>282</v>
      </c>
      <c r="E41" s="134" t="s">
        <v>286</v>
      </c>
      <c r="F41" s="134" t="s">
        <v>287</v>
      </c>
      <c r="G41" s="134" t="s">
        <v>13</v>
      </c>
      <c r="H41" s="134" t="s">
        <v>283</v>
      </c>
      <c r="I41" s="134" t="s">
        <v>284</v>
      </c>
      <c r="J41" s="134" t="s">
        <v>299</v>
      </c>
      <c r="K41" s="134" t="s">
        <v>300</v>
      </c>
      <c r="L41" s="134" t="s">
        <v>302</v>
      </c>
      <c r="M41" s="134" t="s">
        <v>290</v>
      </c>
    </row>
    <row r="42" spans="1:13" x14ac:dyDescent="0.2">
      <c r="B42" s="420" t="s">
        <v>291</v>
      </c>
      <c r="C42" s="170" t="s">
        <v>292</v>
      </c>
      <c r="D42" s="134" t="s">
        <v>293</v>
      </c>
      <c r="E42" s="134" t="s">
        <v>294</v>
      </c>
      <c r="F42" s="134" t="s">
        <v>295</v>
      </c>
      <c r="G42" s="134" t="s">
        <v>296</v>
      </c>
      <c r="H42" s="134" t="s">
        <v>297</v>
      </c>
      <c r="I42" s="134" t="s">
        <v>298</v>
      </c>
      <c r="J42" s="134" t="s">
        <v>288</v>
      </c>
      <c r="K42" s="134" t="s">
        <v>289</v>
      </c>
      <c r="L42" s="134"/>
      <c r="M42" s="134"/>
    </row>
    <row r="43" spans="1:13" x14ac:dyDescent="0.2">
      <c r="B43" s="425">
        <f t="shared" ref="B43:B51" ca="1" si="0">MAX(D_ref*0.5, Diam_propu)</f>
        <v>54</v>
      </c>
      <c r="C43" s="403">
        <f t="shared" ref="C43:C69" ca="1" si="1">1/2*Rho_moyen*PI()*D_var^2/4*Cx/10^6</f>
        <v>9.8193227281520882E-4</v>
      </c>
      <c r="D43" s="400">
        <f ca="1">MpropuPlein+0*MasseSans</f>
        <v>1.6319999999999999</v>
      </c>
      <c r="E43" s="400">
        <f t="shared" ref="E43:E69" ca="1" si="2">m_var - 0.5*m_poudre</f>
        <v>1.141</v>
      </c>
      <c r="F43" s="400">
        <f t="shared" ref="F43:F69" ca="1" si="3">m_var - m_poudre</f>
        <v>0.65</v>
      </c>
      <c r="G43" s="407">
        <f t="shared" ref="G43:G69" ca="1" si="4">MAX(0, (I_total/Temps_fin_propu)/m_prop-g)</f>
        <v>1020.3714198071864</v>
      </c>
      <c r="H43" s="406">
        <f t="shared" ref="H43:H69" ca="1" si="5">Q_var/m_prop</f>
        <v>8.6058919615706296E-4</v>
      </c>
      <c r="I43" s="403">
        <f t="shared" ref="I43:I69" ca="1" si="6">Q_var/m_bal</f>
        <v>1.5106650351003213E-3</v>
      </c>
      <c r="J43" s="403">
        <f t="shared" ref="J43:J69" ca="1" si="7">1/(2*b_prop)*LN(  ((EXP(2*SQRT(a_prop*b_prop)*Temps_fin_propu)+1)^2)  /  (((1+1)^2)*EXP(2*SQRT(a_prop*b_prop)*Temps_fin_propu)))</f>
        <v>1092.7312787053243</v>
      </c>
      <c r="K43" s="410">
        <f t="shared" ref="K43:K69" ca="1" si="8">SQRT(a_prop/b_prop)  *  (EXP(2*SQRT(a_prop*b_prop)*Temps_fin_propu)-1)/(EXP(2*SQRT(a_prop*b_prop)*Temps_fin_propu)+1)</f>
        <v>1002.4406316061013</v>
      </c>
      <c r="L43" s="413">
        <f t="shared" ref="L43:L69" ca="1" si="9">alt_prop + 1/(2*b_bal) * LN(1+b_bal/g*V_prop^2)</f>
        <v>2763.5913417554384</v>
      </c>
      <c r="M43" s="416">
        <f t="shared" ref="M43:M69" ca="1" si="10">Temps_fin_propu + ATAN(SQRT(b_bal/g)*V_prop)/SQRT(b_bal*g)</f>
        <v>13.944383064217877</v>
      </c>
    </row>
    <row r="44" spans="1:13" x14ac:dyDescent="0.2">
      <c r="B44" s="426">
        <f t="shared" ca="1" si="0"/>
        <v>54</v>
      </c>
      <c r="C44" s="404">
        <f t="shared" ca="1" si="1"/>
        <v>9.8193227281520882E-4</v>
      </c>
      <c r="D44" s="401">
        <f ca="1">MpropuPlein+0.25*MasseSans</f>
        <v>3.3319999999999999</v>
      </c>
      <c r="E44" s="401">
        <f t="shared" ca="1" si="2"/>
        <v>2.8409999999999997</v>
      </c>
      <c r="F44" s="401">
        <f t="shared" ca="1" si="3"/>
        <v>2.35</v>
      </c>
      <c r="G44" s="408">
        <f t="shared" ca="1" si="4"/>
        <v>403.9305843013023</v>
      </c>
      <c r="H44" s="404">
        <f t="shared" ca="1" si="5"/>
        <v>3.4562909989975673E-4</v>
      </c>
      <c r="I44" s="404">
        <f t="shared" ca="1" si="6"/>
        <v>4.1784352034689734E-4</v>
      </c>
      <c r="J44" s="404">
        <f t="shared" ca="1" si="7"/>
        <v>548.19515270693887</v>
      </c>
      <c r="K44" s="411">
        <f t="shared" ca="1" si="8"/>
        <v>607.14203244534497</v>
      </c>
      <c r="L44" s="414">
        <f t="shared" ca="1" si="9"/>
        <v>3917.2364629100011</v>
      </c>
      <c r="M44" s="417">
        <f t="shared" ca="1" si="10"/>
        <v>22.373387819072278</v>
      </c>
    </row>
    <row r="45" spans="1:13" x14ac:dyDescent="0.2">
      <c r="B45" s="426">
        <f t="shared" ca="1" si="0"/>
        <v>54</v>
      </c>
      <c r="C45" s="404">
        <f t="shared" ca="1" si="1"/>
        <v>9.8193227281520882E-4</v>
      </c>
      <c r="D45" s="401">
        <f ca="1">MpropuPlein+0.5*MasseSans</f>
        <v>5.032</v>
      </c>
      <c r="E45" s="401">
        <f t="shared" ca="1" si="2"/>
        <v>4.5410000000000004</v>
      </c>
      <c r="F45" s="401">
        <f t="shared" ca="1" si="3"/>
        <v>4.05</v>
      </c>
      <c r="G45" s="408">
        <f t="shared" ca="1" si="4"/>
        <v>249.03981281656013</v>
      </c>
      <c r="H45" s="404">
        <f t="shared" ca="1" si="5"/>
        <v>2.1623701229139149E-4</v>
      </c>
      <c r="I45" s="404">
        <f t="shared" ca="1" si="6"/>
        <v>2.4245241304079231E-4</v>
      </c>
      <c r="J45" s="404">
        <f t="shared" ca="1" si="7"/>
        <v>350.8981877240646</v>
      </c>
      <c r="K45" s="411">
        <f t="shared" ca="1" si="8"/>
        <v>402.69084574671263</v>
      </c>
      <c r="L45" s="414">
        <f t="shared" ca="1" si="9"/>
        <v>3673.173721385187</v>
      </c>
      <c r="M45" s="417">
        <f t="shared" ca="1" si="10"/>
        <v>24.409629981940071</v>
      </c>
    </row>
    <row r="46" spans="1:13" x14ac:dyDescent="0.2">
      <c r="B46" s="426">
        <f t="shared" ca="1" si="0"/>
        <v>54</v>
      </c>
      <c r="C46" s="404">
        <f t="shared" ca="1" si="1"/>
        <v>9.8193227281520882E-4</v>
      </c>
      <c r="D46" s="401">
        <f ca="1">MpropuPlein+0.75*MasseSans</f>
        <v>6.7319999999999993</v>
      </c>
      <c r="E46" s="401">
        <f t="shared" ca="1" si="2"/>
        <v>6.2409999999999997</v>
      </c>
      <c r="F46" s="401">
        <f t="shared" ca="1" si="3"/>
        <v>5.7499999999999991</v>
      </c>
      <c r="G46" s="408">
        <f t="shared" ca="1" si="4"/>
        <v>178.53113122896968</v>
      </c>
      <c r="H46" s="404">
        <f t="shared" ca="1" si="5"/>
        <v>1.5733572709745376E-4</v>
      </c>
      <c r="I46" s="404">
        <f t="shared" ca="1" si="6"/>
        <v>1.7077083005481895E-4</v>
      </c>
      <c r="J46" s="404">
        <f t="shared" ca="1" si="7"/>
        <v>254.56087199653922</v>
      </c>
      <c r="K46" s="411">
        <f t="shared" ca="1" si="8"/>
        <v>295.54851141081042</v>
      </c>
      <c r="L46" s="414">
        <f t="shared" ca="1" si="9"/>
        <v>2961.3441535971206</v>
      </c>
      <c r="M46" s="417">
        <f t="shared" ca="1" si="10"/>
        <v>23.430015314147063</v>
      </c>
    </row>
    <row r="47" spans="1:13" x14ac:dyDescent="0.2">
      <c r="B47" s="426">
        <f t="shared" ca="1" si="0"/>
        <v>54</v>
      </c>
      <c r="C47" s="404">
        <f t="shared" ca="1" si="1"/>
        <v>9.8193227281520882E-4</v>
      </c>
      <c r="D47" s="401">
        <f ca="1">MpropuPlein+1*MasseSans</f>
        <v>8.4320000000000004</v>
      </c>
      <c r="E47" s="401">
        <f t="shared" ca="1" si="2"/>
        <v>7.9410000000000007</v>
      </c>
      <c r="F47" s="401">
        <f t="shared" ca="1" si="3"/>
        <v>7.45</v>
      </c>
      <c r="G47" s="408">
        <f t="shared" ca="1" si="4"/>
        <v>138.21128195441375</v>
      </c>
      <c r="H47" s="404">
        <f t="shared" ca="1" si="5"/>
        <v>1.2365347850588196E-4</v>
      </c>
      <c r="I47" s="404">
        <f t="shared" ca="1" si="6"/>
        <v>1.3180298963962533E-4</v>
      </c>
      <c r="J47" s="404">
        <f t="shared" ca="1" si="7"/>
        <v>198.09261363699315</v>
      </c>
      <c r="K47" s="411">
        <f t="shared" ca="1" si="8"/>
        <v>231.1658165691147</v>
      </c>
      <c r="L47" s="414">
        <f t="shared" ca="1" si="9"/>
        <v>2250.9316737739614</v>
      </c>
      <c r="M47" s="417">
        <f t="shared" ca="1" si="10"/>
        <v>21.248873443811277</v>
      </c>
    </row>
    <row r="48" spans="1:13" x14ac:dyDescent="0.2">
      <c r="B48" s="426">
        <f t="shared" ca="1" si="0"/>
        <v>54</v>
      </c>
      <c r="C48" s="404">
        <f t="shared" ca="1" si="1"/>
        <v>9.8193227281520882E-4</v>
      </c>
      <c r="D48" s="401">
        <f ca="1">MpropuPlein+1.25*MasseSans</f>
        <v>10.132</v>
      </c>
      <c r="E48" s="401">
        <f t="shared" ca="1" si="2"/>
        <v>9.641</v>
      </c>
      <c r="F48" s="401">
        <f t="shared" ca="1" si="3"/>
        <v>9.15</v>
      </c>
      <c r="G48" s="408">
        <f t="shared" ca="1" si="4"/>
        <v>112.11065138471109</v>
      </c>
      <c r="H48" s="404">
        <f t="shared" ca="1" si="5"/>
        <v>1.01849628961229E-4</v>
      </c>
      <c r="I48" s="404">
        <f t="shared" ca="1" si="6"/>
        <v>1.0731500249346545E-4</v>
      </c>
      <c r="J48" s="404">
        <f t="shared" ca="1" si="7"/>
        <v>161.11667462325133</v>
      </c>
      <c r="K48" s="411">
        <f t="shared" ca="1" si="8"/>
        <v>188.51899274824845</v>
      </c>
      <c r="L48" s="414">
        <f t="shared" ca="1" si="9"/>
        <v>1691.3044328119433</v>
      </c>
      <c r="M48" s="417">
        <f t="shared" ca="1" si="10"/>
        <v>18.88332679038664</v>
      </c>
    </row>
    <row r="49" spans="2:13" x14ac:dyDescent="0.2">
      <c r="B49" s="426">
        <f t="shared" ca="1" si="0"/>
        <v>54</v>
      </c>
      <c r="C49" s="404">
        <f t="shared" ca="1" si="1"/>
        <v>9.8193227281520882E-4</v>
      </c>
      <c r="D49" s="401">
        <f ca="1">MpropuPlein+1.5*MasseSans</f>
        <v>11.831999999999999</v>
      </c>
      <c r="E49" s="401">
        <f t="shared" ca="1" si="2"/>
        <v>11.340999999999999</v>
      </c>
      <c r="F49" s="401">
        <f t="shared" ca="1" si="3"/>
        <v>10.85</v>
      </c>
      <c r="G49" s="408">
        <f t="shared" ca="1" si="4"/>
        <v>93.834916674014607</v>
      </c>
      <c r="H49" s="404">
        <f t="shared" ca="1" si="5"/>
        <v>8.6582512372384177E-5</v>
      </c>
      <c r="I49" s="404">
        <f t="shared" ca="1" si="6"/>
        <v>9.0500670305549203E-5</v>
      </c>
      <c r="J49" s="404">
        <f t="shared" ca="1" si="7"/>
        <v>135.06414563653055</v>
      </c>
      <c r="K49" s="411">
        <f t="shared" ca="1" si="8"/>
        <v>158.28248485004076</v>
      </c>
      <c r="L49" s="414">
        <f t="shared" ca="1" si="9"/>
        <v>1283.8350293025796</v>
      </c>
      <c r="M49" s="417">
        <f t="shared" ca="1" si="10"/>
        <v>16.739981931776416</v>
      </c>
    </row>
    <row r="50" spans="2:13" x14ac:dyDescent="0.2">
      <c r="B50" s="426">
        <f t="shared" ca="1" si="0"/>
        <v>54</v>
      </c>
      <c r="C50" s="404">
        <f t="shared" ca="1" si="1"/>
        <v>9.8193227281520882E-4</v>
      </c>
      <c r="D50" s="401">
        <f ca="1">MpropuPlein+1.75*MasseSans</f>
        <v>13.532</v>
      </c>
      <c r="E50" s="401">
        <f t="shared" ca="1" si="2"/>
        <v>13.041</v>
      </c>
      <c r="F50" s="401">
        <f t="shared" ca="1" si="3"/>
        <v>12.55</v>
      </c>
      <c r="G50" s="408">
        <f t="shared" ca="1" si="4"/>
        <v>80.323962119469343</v>
      </c>
      <c r="H50" s="404">
        <f t="shared" ca="1" si="5"/>
        <v>7.5295780447451026E-5</v>
      </c>
      <c r="I50" s="404">
        <f t="shared" ca="1" si="6"/>
        <v>7.8241615363761654E-5</v>
      </c>
      <c r="J50" s="404">
        <f t="shared" ca="1" si="7"/>
        <v>115.73156947738745</v>
      </c>
      <c r="K50" s="411">
        <f t="shared" ca="1" si="8"/>
        <v>135.76067425127982</v>
      </c>
      <c r="L50" s="414">
        <f t="shared" ca="1" si="9"/>
        <v>992.18121734766976</v>
      </c>
      <c r="M50" s="417">
        <f t="shared" ca="1" si="10"/>
        <v>14.915068532874093</v>
      </c>
    </row>
    <row r="51" spans="2:13" x14ac:dyDescent="0.2">
      <c r="B51" s="427">
        <f t="shared" ca="1" si="0"/>
        <v>54</v>
      </c>
      <c r="C51" s="405">
        <f t="shared" ca="1" si="1"/>
        <v>9.8193227281520882E-4</v>
      </c>
      <c r="D51" s="402">
        <f ca="1">MpropuPlein+2*MasseSans</f>
        <v>15.231999999999999</v>
      </c>
      <c r="E51" s="402">
        <f t="shared" ca="1" si="2"/>
        <v>14.741</v>
      </c>
      <c r="F51" s="402">
        <f t="shared" ca="1" si="3"/>
        <v>14.25</v>
      </c>
      <c r="G51" s="409">
        <f t="shared" ca="1" si="4"/>
        <v>69.929298555050522</v>
      </c>
      <c r="H51" s="405">
        <f t="shared" ca="1" si="5"/>
        <v>6.6612324320955757E-5</v>
      </c>
      <c r="I51" s="405">
        <f t="shared" ca="1" si="6"/>
        <v>6.8907527916856764E-5</v>
      </c>
      <c r="J51" s="405">
        <f t="shared" ca="1" si="7"/>
        <v>100.8219282791833</v>
      </c>
      <c r="K51" s="412">
        <f t="shared" ca="1" si="8"/>
        <v>118.34920874243217</v>
      </c>
      <c r="L51" s="415">
        <f t="shared" ca="1" si="9"/>
        <v>781.74037613117332</v>
      </c>
      <c r="M51" s="418">
        <f t="shared" ca="1" si="10"/>
        <v>13.390326684665993</v>
      </c>
    </row>
    <row r="52" spans="2:13" x14ac:dyDescent="0.2">
      <c r="B52" s="425">
        <f t="shared" ref="B52:B60" si="11">D_ref</f>
        <v>99</v>
      </c>
      <c r="C52" s="403">
        <f t="shared" si="1"/>
        <v>3.3003834725177849E-3</v>
      </c>
      <c r="D52" s="400">
        <f ca="1">MpropuPlein+0*MasseSans</f>
        <v>1.6319999999999999</v>
      </c>
      <c r="E52" s="400">
        <f t="shared" ca="1" si="2"/>
        <v>1.141</v>
      </c>
      <c r="F52" s="400">
        <f t="shared" ca="1" si="3"/>
        <v>0.65</v>
      </c>
      <c r="G52" s="407">
        <f t="shared" ca="1" si="4"/>
        <v>1020.3714198071864</v>
      </c>
      <c r="H52" s="403">
        <f t="shared" ca="1" si="5"/>
        <v>2.8925359093056836E-3</v>
      </c>
      <c r="I52" s="403">
        <f t="shared" ca="1" si="6"/>
        <v>5.0775130346427458E-3</v>
      </c>
      <c r="J52" s="403">
        <f t="shared" ca="1" si="7"/>
        <v>771.06145890577397</v>
      </c>
      <c r="K52" s="410">
        <f t="shared" ca="1" si="8"/>
        <v>590.49474934968862</v>
      </c>
      <c r="L52" s="413">
        <f t="shared" ca="1" si="9"/>
        <v>1283.2325904559127</v>
      </c>
      <c r="M52" s="416">
        <f t="shared" ca="1" si="10"/>
        <v>8.4052570892024328</v>
      </c>
    </row>
    <row r="53" spans="2:13" x14ac:dyDescent="0.2">
      <c r="B53" s="426">
        <f t="shared" si="11"/>
        <v>99</v>
      </c>
      <c r="C53" s="404">
        <f t="shared" si="1"/>
        <v>3.3003834725177849E-3</v>
      </c>
      <c r="D53" s="401">
        <f ca="1">MpropuPlein+0.25*MasseSans</f>
        <v>3.3319999999999999</v>
      </c>
      <c r="E53" s="401">
        <f t="shared" ca="1" si="2"/>
        <v>2.8409999999999997</v>
      </c>
      <c r="F53" s="401">
        <f t="shared" ca="1" si="3"/>
        <v>2.35</v>
      </c>
      <c r="G53" s="408">
        <f t="shared" ca="1" si="4"/>
        <v>403.9305843013023</v>
      </c>
      <c r="H53" s="404">
        <f t="shared" ca="1" si="5"/>
        <v>1.1616978079964045E-3</v>
      </c>
      <c r="I53" s="404">
        <f t="shared" ca="1" si="6"/>
        <v>1.4044184989437383E-3</v>
      </c>
      <c r="J53" s="404">
        <f t="shared" ca="1" si="7"/>
        <v>485.76398972307766</v>
      </c>
      <c r="K53" s="411">
        <f t="shared" ca="1" si="8"/>
        <v>485.00644799649695</v>
      </c>
      <c r="L53" s="414">
        <f t="shared" ca="1" si="9"/>
        <v>1748.2268559255056</v>
      </c>
      <c r="M53" s="417">
        <f t="shared" ca="1" si="10"/>
        <v>13.628672375979455</v>
      </c>
    </row>
    <row r="54" spans="2:13" x14ac:dyDescent="0.2">
      <c r="B54" s="426">
        <f t="shared" si="11"/>
        <v>99</v>
      </c>
      <c r="C54" s="404">
        <f t="shared" si="1"/>
        <v>3.3003834725177849E-3</v>
      </c>
      <c r="D54" s="401">
        <f ca="1">MpropuPlein+0.5*MasseSans</f>
        <v>5.032</v>
      </c>
      <c r="E54" s="401">
        <f t="shared" ca="1" si="2"/>
        <v>4.5410000000000004</v>
      </c>
      <c r="F54" s="401">
        <f t="shared" ca="1" si="3"/>
        <v>4.05</v>
      </c>
      <c r="G54" s="408">
        <f t="shared" ca="1" si="4"/>
        <v>249.03981281656013</v>
      </c>
      <c r="H54" s="404">
        <f t="shared" ca="1" si="5"/>
        <v>7.2679662464606581E-4</v>
      </c>
      <c r="I54" s="404">
        <f t="shared" ca="1" si="6"/>
        <v>8.1490949938710746E-4</v>
      </c>
      <c r="J54" s="404">
        <f t="shared" ca="1" si="7"/>
        <v>332.27052221541317</v>
      </c>
      <c r="K54" s="411">
        <f t="shared" ca="1" si="8"/>
        <v>362.29494995191754</v>
      </c>
      <c r="L54" s="414">
        <f t="shared" ca="1" si="9"/>
        <v>1851.9671141612764</v>
      </c>
      <c r="M54" s="417">
        <f t="shared" ca="1" si="10"/>
        <v>15.979434229856487</v>
      </c>
    </row>
    <row r="55" spans="2:13" x14ac:dyDescent="0.2">
      <c r="B55" s="426">
        <f t="shared" si="11"/>
        <v>99</v>
      </c>
      <c r="C55" s="404">
        <f t="shared" si="1"/>
        <v>3.3003834725177849E-3</v>
      </c>
      <c r="D55" s="401">
        <f ca="1">MpropuPlein+0.75*MasseSans</f>
        <v>6.7319999999999993</v>
      </c>
      <c r="E55" s="401">
        <f t="shared" ca="1" si="2"/>
        <v>6.2409999999999997</v>
      </c>
      <c r="F55" s="401">
        <f t="shared" ca="1" si="3"/>
        <v>5.7499999999999991</v>
      </c>
      <c r="G55" s="408">
        <f t="shared" ca="1" si="4"/>
        <v>178.53113122896968</v>
      </c>
      <c r="H55" s="404">
        <f t="shared" ca="1" si="5"/>
        <v>5.2882286052199727E-4</v>
      </c>
      <c r="I55" s="404">
        <f t="shared" ca="1" si="6"/>
        <v>5.7397973435091923E-4</v>
      </c>
      <c r="J55" s="404">
        <f t="shared" ca="1" si="7"/>
        <v>247.03461521363212</v>
      </c>
      <c r="K55" s="411">
        <f t="shared" ca="1" si="8"/>
        <v>278.6124970736434</v>
      </c>
      <c r="L55" s="414">
        <f t="shared" ca="1" si="9"/>
        <v>1738.655864649261</v>
      </c>
      <c r="M55" s="417">
        <f t="shared" ca="1" si="10"/>
        <v>16.786521976320376</v>
      </c>
    </row>
    <row r="56" spans="2:13" x14ac:dyDescent="0.2">
      <c r="B56" s="426">
        <f t="shared" si="11"/>
        <v>99</v>
      </c>
      <c r="C56" s="404">
        <f t="shared" si="1"/>
        <v>3.3003834725177849E-3</v>
      </c>
      <c r="D56" s="401">
        <f ca="1">MpropuPlein+1*MasseSans</f>
        <v>8.4320000000000004</v>
      </c>
      <c r="E56" s="401">
        <f t="shared" ca="1" si="2"/>
        <v>7.9410000000000007</v>
      </c>
      <c r="F56" s="401">
        <f t="shared" ca="1" si="3"/>
        <v>7.45</v>
      </c>
      <c r="G56" s="408">
        <f t="shared" ca="1" si="4"/>
        <v>138.21128195441375</v>
      </c>
      <c r="H56" s="404">
        <f t="shared" ca="1" si="5"/>
        <v>4.156130805336588E-4</v>
      </c>
      <c r="I56" s="404">
        <f t="shared" ca="1" si="6"/>
        <v>4.4300449295540739E-4</v>
      </c>
      <c r="J56" s="404">
        <f t="shared" ca="1" si="7"/>
        <v>194.42247943016969</v>
      </c>
      <c r="K56" s="411">
        <f t="shared" ca="1" si="8"/>
        <v>222.76643703038485</v>
      </c>
      <c r="L56" s="414">
        <f t="shared" ca="1" si="9"/>
        <v>1521.583742106214</v>
      </c>
      <c r="M56" s="417">
        <f t="shared" ca="1" si="10"/>
        <v>16.594090040439273</v>
      </c>
    </row>
    <row r="57" spans="2:13" x14ac:dyDescent="0.2">
      <c r="B57" s="426">
        <f t="shared" si="11"/>
        <v>99</v>
      </c>
      <c r="C57" s="404">
        <f t="shared" si="1"/>
        <v>3.3003834725177849E-3</v>
      </c>
      <c r="D57" s="401">
        <f ca="1">MpropuPlein+1.25*MasseSans</f>
        <v>10.132</v>
      </c>
      <c r="E57" s="401">
        <f t="shared" ca="1" si="2"/>
        <v>9.641</v>
      </c>
      <c r="F57" s="401">
        <f t="shared" ca="1" si="3"/>
        <v>9.15</v>
      </c>
      <c r="G57" s="408">
        <f t="shared" ca="1" si="4"/>
        <v>112.11065138471109</v>
      </c>
      <c r="H57" s="404">
        <f t="shared" ca="1" si="5"/>
        <v>3.4232791956413081E-4</v>
      </c>
      <c r="I57" s="404">
        <f t="shared" ca="1" si="6"/>
        <v>3.6069764726970327E-4</v>
      </c>
      <c r="J57" s="404">
        <f t="shared" ca="1" si="7"/>
        <v>159.09090568237707</v>
      </c>
      <c r="K57" s="411">
        <f t="shared" ca="1" si="8"/>
        <v>183.84098335537104</v>
      </c>
      <c r="L57" s="414">
        <f t="shared" ca="1" si="9"/>
        <v>1278.6867144581972</v>
      </c>
      <c r="M57" s="417">
        <f t="shared" ca="1" si="10"/>
        <v>15.814676930949704</v>
      </c>
    </row>
    <row r="58" spans="2:13" x14ac:dyDescent="0.2">
      <c r="B58" s="426">
        <f t="shared" si="11"/>
        <v>99</v>
      </c>
      <c r="C58" s="404">
        <f t="shared" si="1"/>
        <v>3.3003834725177849E-3</v>
      </c>
      <c r="D58" s="401">
        <f ca="1">MpropuPlein+1.5*MasseSans</f>
        <v>11.831999999999999</v>
      </c>
      <c r="E58" s="401">
        <f t="shared" ca="1" si="2"/>
        <v>11.340999999999999</v>
      </c>
      <c r="F58" s="401">
        <f t="shared" ca="1" si="3"/>
        <v>10.85</v>
      </c>
      <c r="G58" s="408">
        <f t="shared" ca="1" si="4"/>
        <v>93.834916674014607</v>
      </c>
      <c r="H58" s="404">
        <f t="shared" ca="1" si="5"/>
        <v>2.9101344436273564E-4</v>
      </c>
      <c r="I58" s="404">
        <f t="shared" ca="1" si="6"/>
        <v>3.0418280852698479E-4</v>
      </c>
      <c r="J58" s="404">
        <f t="shared" ca="1" si="7"/>
        <v>133.84467822054421</v>
      </c>
      <c r="K58" s="411">
        <f t="shared" ca="1" si="8"/>
        <v>155.45141419708011</v>
      </c>
      <c r="L58" s="414">
        <f t="shared" ca="1" si="9"/>
        <v>1053.0534273872288</v>
      </c>
      <c r="M58" s="417">
        <f t="shared" ca="1" si="10"/>
        <v>14.761343069263519</v>
      </c>
    </row>
    <row r="59" spans="2:13" x14ac:dyDescent="0.2">
      <c r="B59" s="426">
        <f t="shared" si="11"/>
        <v>99</v>
      </c>
      <c r="C59" s="404">
        <f t="shared" si="1"/>
        <v>3.3003834725177849E-3</v>
      </c>
      <c r="D59" s="401">
        <f ca="1">MpropuPlein+1.75*MasseSans</f>
        <v>13.532</v>
      </c>
      <c r="E59" s="401">
        <f t="shared" ca="1" si="2"/>
        <v>13.041</v>
      </c>
      <c r="F59" s="401">
        <f t="shared" ca="1" si="3"/>
        <v>12.55</v>
      </c>
      <c r="G59" s="408">
        <f t="shared" ca="1" si="4"/>
        <v>80.323962119469343</v>
      </c>
      <c r="H59" s="404">
        <f t="shared" ca="1" si="5"/>
        <v>2.5307748428171037E-4</v>
      </c>
      <c r="I59" s="404">
        <f t="shared" ca="1" si="6"/>
        <v>2.6297876275042112E-4</v>
      </c>
      <c r="J59" s="404">
        <f t="shared" ca="1" si="7"/>
        <v>114.94914733434116</v>
      </c>
      <c r="K59" s="411">
        <f t="shared" ca="1" si="8"/>
        <v>133.93806619340432</v>
      </c>
      <c r="L59" s="414">
        <f t="shared" ca="1" si="9"/>
        <v>861.49936714274907</v>
      </c>
      <c r="M59" s="417">
        <f t="shared" ca="1" si="10"/>
        <v>13.637568254247611</v>
      </c>
    </row>
    <row r="60" spans="2:13" x14ac:dyDescent="0.2">
      <c r="B60" s="427">
        <f t="shared" si="11"/>
        <v>99</v>
      </c>
      <c r="C60" s="405">
        <f t="shared" si="1"/>
        <v>3.3003834725177849E-3</v>
      </c>
      <c r="D60" s="402">
        <f ca="1">MpropuPlein+2*MasseSans</f>
        <v>15.231999999999999</v>
      </c>
      <c r="E60" s="402">
        <f t="shared" ca="1" si="2"/>
        <v>14.741</v>
      </c>
      <c r="F60" s="402">
        <f t="shared" ca="1" si="3"/>
        <v>14.25</v>
      </c>
      <c r="G60" s="409">
        <f t="shared" ca="1" si="4"/>
        <v>69.929298555050522</v>
      </c>
      <c r="H60" s="405">
        <f t="shared" ca="1" si="5"/>
        <v>2.2389142341210129E-4</v>
      </c>
      <c r="I60" s="405">
        <f t="shared" ca="1" si="6"/>
        <v>2.3160585772054632E-4</v>
      </c>
      <c r="J60" s="405">
        <f t="shared" ca="1" si="7"/>
        <v>100.29487976198247</v>
      </c>
      <c r="K60" s="412">
        <f t="shared" ca="1" si="8"/>
        <v>117.11867127036943</v>
      </c>
      <c r="L60" s="415">
        <f t="shared" ca="1" si="9"/>
        <v>705.93134896902495</v>
      </c>
      <c r="M60" s="418">
        <f t="shared" ca="1" si="10"/>
        <v>12.553991087936687</v>
      </c>
    </row>
    <row r="61" spans="2:13" x14ac:dyDescent="0.2">
      <c r="B61" s="425">
        <f t="shared" ref="B61:B69" si="12">D_ref*1.5</f>
        <v>148.5</v>
      </c>
      <c r="C61" s="403">
        <f t="shared" si="1"/>
        <v>7.4258628131650163E-3</v>
      </c>
      <c r="D61" s="400">
        <f ca="1">MpropuPlein+0*MasseSans</f>
        <v>1.6319999999999999</v>
      </c>
      <c r="E61" s="400">
        <f t="shared" ca="1" si="2"/>
        <v>1.141</v>
      </c>
      <c r="F61" s="400">
        <f t="shared" ca="1" si="3"/>
        <v>0.65</v>
      </c>
      <c r="G61" s="407">
        <f t="shared" ca="1" si="4"/>
        <v>1020.3714198071864</v>
      </c>
      <c r="H61" s="403">
        <f t="shared" ca="1" si="5"/>
        <v>6.5082057959377883E-3</v>
      </c>
      <c r="I61" s="403">
        <f t="shared" ca="1" si="6"/>
        <v>1.1424404327946178E-2</v>
      </c>
      <c r="J61" s="403">
        <f t="shared" ca="1" si="7"/>
        <v>566.64813074656661</v>
      </c>
      <c r="K61" s="410">
        <f t="shared" ca="1" si="8"/>
        <v>395.83342877308831</v>
      </c>
      <c r="L61" s="413">
        <f t="shared" ca="1" si="9"/>
        <v>794.75834496934203</v>
      </c>
      <c r="M61" s="416">
        <f t="shared" ca="1" si="10"/>
        <v>6.1713838175324387</v>
      </c>
    </row>
    <row r="62" spans="2:13" x14ac:dyDescent="0.2">
      <c r="B62" s="426">
        <f t="shared" si="12"/>
        <v>148.5</v>
      </c>
      <c r="C62" s="404">
        <f t="shared" si="1"/>
        <v>7.4258628131650163E-3</v>
      </c>
      <c r="D62" s="401">
        <f ca="1">MpropuPlein+0.25*MasseSans</f>
        <v>3.3319999999999999</v>
      </c>
      <c r="E62" s="401">
        <f t="shared" ca="1" si="2"/>
        <v>2.8409999999999997</v>
      </c>
      <c r="F62" s="401">
        <f t="shared" ca="1" si="3"/>
        <v>2.35</v>
      </c>
      <c r="G62" s="408">
        <f t="shared" ca="1" si="4"/>
        <v>403.9305843013023</v>
      </c>
      <c r="H62" s="404">
        <f t="shared" ca="1" si="5"/>
        <v>2.6138200679919101E-3</v>
      </c>
      <c r="I62" s="404">
        <f t="shared" ca="1" si="6"/>
        <v>3.159941622623411E-3</v>
      </c>
      <c r="J62" s="404">
        <f t="shared" ca="1" si="7"/>
        <v>414.55794648040398</v>
      </c>
      <c r="K62" s="411">
        <f t="shared" ca="1" si="8"/>
        <v>369.92120451047248</v>
      </c>
      <c r="L62" s="414">
        <f t="shared" ca="1" si="9"/>
        <v>1017.1654773557838</v>
      </c>
      <c r="M62" s="417">
        <f t="shared" ca="1" si="10"/>
        <v>9.7725626577975344</v>
      </c>
    </row>
    <row r="63" spans="2:13" x14ac:dyDescent="0.2">
      <c r="B63" s="426">
        <f t="shared" si="12"/>
        <v>148.5</v>
      </c>
      <c r="C63" s="404">
        <f t="shared" si="1"/>
        <v>7.4258628131650163E-3</v>
      </c>
      <c r="D63" s="401">
        <f ca="1">MpropuPlein+0.5*MasseSans</f>
        <v>5.032</v>
      </c>
      <c r="E63" s="401">
        <f t="shared" ca="1" si="2"/>
        <v>4.5410000000000004</v>
      </c>
      <c r="F63" s="401">
        <f t="shared" ca="1" si="3"/>
        <v>4.05</v>
      </c>
      <c r="G63" s="408">
        <f t="shared" ca="1" si="4"/>
        <v>249.03981281656013</v>
      </c>
      <c r="H63" s="404">
        <f t="shared" ca="1" si="5"/>
        <v>1.6352924054536481E-3</v>
      </c>
      <c r="I63" s="404">
        <f t="shared" ca="1" si="6"/>
        <v>1.8335463736209917E-3</v>
      </c>
      <c r="J63" s="404">
        <f t="shared" ca="1" si="7"/>
        <v>305.67782976939009</v>
      </c>
      <c r="K63" s="411">
        <f t="shared" ca="1" si="8"/>
        <v>310.24474934527859</v>
      </c>
      <c r="L63" s="414">
        <f t="shared" ca="1" si="9"/>
        <v>1108.4701380331376</v>
      </c>
      <c r="M63" s="417">
        <f t="shared" ca="1" si="10"/>
        <v>11.685814493361406</v>
      </c>
    </row>
    <row r="64" spans="2:13" x14ac:dyDescent="0.2">
      <c r="B64" s="426">
        <f t="shared" si="12"/>
        <v>148.5</v>
      </c>
      <c r="C64" s="404">
        <f t="shared" si="1"/>
        <v>7.4258628131650163E-3</v>
      </c>
      <c r="D64" s="401">
        <f ca="1">MpropuPlein+0.75*MasseSans</f>
        <v>6.7319999999999993</v>
      </c>
      <c r="E64" s="401">
        <f t="shared" ca="1" si="2"/>
        <v>6.2409999999999997</v>
      </c>
      <c r="F64" s="401">
        <f t="shared" ca="1" si="3"/>
        <v>5.7499999999999991</v>
      </c>
      <c r="G64" s="408">
        <f t="shared" ca="1" si="4"/>
        <v>178.53113122896968</v>
      </c>
      <c r="H64" s="404">
        <f t="shared" ca="1" si="5"/>
        <v>1.1898514361744939E-3</v>
      </c>
      <c r="I64" s="404">
        <f t="shared" ca="1" si="6"/>
        <v>1.2914544022895682E-3</v>
      </c>
      <c r="J64" s="404">
        <f t="shared" ca="1" si="7"/>
        <v>235.23044641883303</v>
      </c>
      <c r="K64" s="411">
        <f t="shared" ca="1" si="8"/>
        <v>253.61173035732941</v>
      </c>
      <c r="L64" s="414">
        <f t="shared" ca="1" si="9"/>
        <v>1105.5095560055947</v>
      </c>
      <c r="M64" s="417">
        <f t="shared" ca="1" si="10"/>
        <v>12.714674712910281</v>
      </c>
    </row>
    <row r="65" spans="2:13" x14ac:dyDescent="0.2">
      <c r="B65" s="426">
        <f t="shared" si="12"/>
        <v>148.5</v>
      </c>
      <c r="C65" s="404">
        <f t="shared" si="1"/>
        <v>7.4258628131650163E-3</v>
      </c>
      <c r="D65" s="401">
        <f ca="1">MpropuPlein+1*MasseSans</f>
        <v>8.4320000000000004</v>
      </c>
      <c r="E65" s="401">
        <f t="shared" ca="1" si="2"/>
        <v>7.9410000000000007</v>
      </c>
      <c r="F65" s="401">
        <f t="shared" ca="1" si="3"/>
        <v>7.45</v>
      </c>
      <c r="G65" s="408">
        <f t="shared" ca="1" si="4"/>
        <v>138.21128195441375</v>
      </c>
      <c r="H65" s="404">
        <f t="shared" ca="1" si="5"/>
        <v>9.3512943120073239E-4</v>
      </c>
      <c r="I65" s="404">
        <f t="shared" ca="1" si="6"/>
        <v>9.967601091496667E-4</v>
      </c>
      <c r="J65" s="404">
        <f t="shared" ca="1" si="7"/>
        <v>188.39544901600144</v>
      </c>
      <c r="K65" s="411">
        <f t="shared" ca="1" si="8"/>
        <v>209.50208115042608</v>
      </c>
      <c r="L65" s="414">
        <f t="shared" ca="1" si="9"/>
        <v>1039.8440869467108</v>
      </c>
      <c r="M65" s="417">
        <f t="shared" ca="1" si="10"/>
        <v>13.112718004830215</v>
      </c>
    </row>
    <row r="66" spans="2:13" x14ac:dyDescent="0.2">
      <c r="B66" s="426">
        <f t="shared" si="12"/>
        <v>148.5</v>
      </c>
      <c r="C66" s="404">
        <f t="shared" si="1"/>
        <v>7.4258628131650163E-3</v>
      </c>
      <c r="D66" s="401">
        <f ca="1">MpropuPlein+1.25*MasseSans</f>
        <v>10.132</v>
      </c>
      <c r="E66" s="401">
        <f t="shared" ca="1" si="2"/>
        <v>9.641</v>
      </c>
      <c r="F66" s="401">
        <f t="shared" ca="1" si="3"/>
        <v>9.15</v>
      </c>
      <c r="G66" s="408">
        <f t="shared" ca="1" si="4"/>
        <v>112.11065138471109</v>
      </c>
      <c r="H66" s="404">
        <f t="shared" ca="1" si="5"/>
        <v>7.7023781901929434E-4</v>
      </c>
      <c r="I66" s="404">
        <f t="shared" ca="1" si="6"/>
        <v>8.1156970635683234E-4</v>
      </c>
      <c r="J66" s="404">
        <f t="shared" ca="1" si="7"/>
        <v>155.678830370746</v>
      </c>
      <c r="K66" s="411">
        <f t="shared" ca="1" si="8"/>
        <v>176.17134527807647</v>
      </c>
      <c r="L66" s="414">
        <f t="shared" ca="1" si="9"/>
        <v>939.27947614970583</v>
      </c>
      <c r="M66" s="417">
        <f t="shared" ca="1" si="10"/>
        <v>13.051500243690041</v>
      </c>
    </row>
    <row r="67" spans="2:13" x14ac:dyDescent="0.2">
      <c r="B67" s="426">
        <f t="shared" si="12"/>
        <v>148.5</v>
      </c>
      <c r="C67" s="404">
        <f t="shared" si="1"/>
        <v>7.4258628131650163E-3</v>
      </c>
      <c r="D67" s="401">
        <f ca="1">MpropuPlein+1.5*MasseSans</f>
        <v>11.831999999999999</v>
      </c>
      <c r="E67" s="401">
        <f t="shared" ca="1" si="2"/>
        <v>11.340999999999999</v>
      </c>
      <c r="F67" s="401">
        <f t="shared" ca="1" si="3"/>
        <v>10.85</v>
      </c>
      <c r="G67" s="408">
        <f t="shared" ca="1" si="4"/>
        <v>93.834916674014607</v>
      </c>
      <c r="H67" s="404">
        <f t="shared" ca="1" si="5"/>
        <v>6.5478024981615527E-4</v>
      </c>
      <c r="I67" s="404">
        <f t="shared" ca="1" si="6"/>
        <v>6.8441131918571584E-4</v>
      </c>
      <c r="J67" s="404">
        <f t="shared" ca="1" si="7"/>
        <v>131.75905318444745</v>
      </c>
      <c r="K67" s="411">
        <f t="shared" ca="1" si="8"/>
        <v>150.70330640618363</v>
      </c>
      <c r="L67" s="414">
        <f t="shared" ca="1" si="9"/>
        <v>825.44583794918788</v>
      </c>
      <c r="M67" s="417">
        <f t="shared" ca="1" si="10"/>
        <v>12.677174849898707</v>
      </c>
    </row>
    <row r="68" spans="2:13" x14ac:dyDescent="0.2">
      <c r="B68" s="426">
        <f t="shared" si="12"/>
        <v>148.5</v>
      </c>
      <c r="C68" s="404">
        <f t="shared" si="1"/>
        <v>7.4258628131650163E-3</v>
      </c>
      <c r="D68" s="401">
        <f ca="1">MpropuPlein+1.75*MasseSans</f>
        <v>13.532</v>
      </c>
      <c r="E68" s="401">
        <f t="shared" ca="1" si="2"/>
        <v>13.041</v>
      </c>
      <c r="F68" s="401">
        <f t="shared" ca="1" si="3"/>
        <v>12.55</v>
      </c>
      <c r="G68" s="408">
        <f t="shared" ca="1" si="4"/>
        <v>80.323962119469343</v>
      </c>
      <c r="H68" s="404">
        <f t="shared" ca="1" si="5"/>
        <v>5.694243396338483E-4</v>
      </c>
      <c r="I68" s="404">
        <f t="shared" ca="1" si="6"/>
        <v>5.9170221618844751E-4</v>
      </c>
      <c r="J68" s="404">
        <f t="shared" ca="1" si="7"/>
        <v>113.59773197859305</v>
      </c>
      <c r="K68" s="411">
        <f t="shared" ca="1" si="8"/>
        <v>130.83609150411436</v>
      </c>
      <c r="L68" s="414">
        <f t="shared" ca="1" si="9"/>
        <v>712.94117537509067</v>
      </c>
      <c r="M68" s="417">
        <f t="shared" ca="1" si="10"/>
        <v>12.113634888062888</v>
      </c>
    </row>
    <row r="69" spans="2:13" x14ac:dyDescent="0.2">
      <c r="B69" s="427">
        <f t="shared" si="12"/>
        <v>148.5</v>
      </c>
      <c r="C69" s="405">
        <f t="shared" si="1"/>
        <v>7.4258628131650163E-3</v>
      </c>
      <c r="D69" s="402">
        <f ca="1">MpropuPlein+2*MasseSans</f>
        <v>15.231999999999999</v>
      </c>
      <c r="E69" s="402">
        <f t="shared" ca="1" si="2"/>
        <v>14.741</v>
      </c>
      <c r="F69" s="402">
        <f t="shared" ca="1" si="3"/>
        <v>14.25</v>
      </c>
      <c r="G69" s="409">
        <f t="shared" ca="1" si="4"/>
        <v>69.929298555050522</v>
      </c>
      <c r="H69" s="405">
        <f t="shared" ca="1" si="5"/>
        <v>5.0375570267722786E-4</v>
      </c>
      <c r="I69" s="405">
        <f t="shared" ca="1" si="6"/>
        <v>5.2111317987122926E-4</v>
      </c>
      <c r="J69" s="405">
        <f t="shared" ca="1" si="7"/>
        <v>99.378431172503923</v>
      </c>
      <c r="K69" s="412">
        <f t="shared" ca="1" si="8"/>
        <v>115.0033325518458</v>
      </c>
      <c r="L69" s="415">
        <f t="shared" ca="1" si="9"/>
        <v>609.95221672874106</v>
      </c>
      <c r="M69" s="418">
        <f t="shared" ca="1" si="10"/>
        <v>11.456726196549363</v>
      </c>
    </row>
    <row r="73" spans="2:13" x14ac:dyDescent="0.2">
      <c r="B73" s="24" t="str">
        <f>IF(Lang="Français","Textes pour les graphiques :","Texts for graphics :")</f>
        <v>Textes pour les graphiques :</v>
      </c>
    </row>
    <row r="75" spans="2:13" x14ac:dyDescent="0.2">
      <c r="B75" t="str">
        <f>IF(Lang="Français","Masse totale",IF(Lang="English","Total Mass",""))</f>
        <v>Masse totale</v>
      </c>
    </row>
    <row r="76" spans="2:13" x14ac:dyDescent="0.2">
      <c r="B76" t="str">
        <f>IF(Lang="Français","Vitesse max",IF(Lang="English","Max Velocity",""))</f>
        <v>Vitesse max</v>
      </c>
    </row>
    <row r="77" spans="2:13" x14ac:dyDescent="0.2">
      <c r="B77" t="str">
        <f>Abaco!$B$76 &amp; " / " &amp; Abaco!$B$75</f>
        <v>Vitesse max / Masse totale</v>
      </c>
    </row>
    <row r="78" spans="2:13" x14ac:dyDescent="0.2">
      <c r="B78" t="str">
        <f>IF(Lang="Français","Altitude max",IF(Lang="English","Max Altitude",""))</f>
        <v>Altitude max</v>
      </c>
    </row>
    <row r="79" spans="2:13" x14ac:dyDescent="0.2">
      <c r="B79" t="str">
        <f>Abaco!$B$78 &amp; " / " &amp; Abaco!$B$75</f>
        <v>Altitude max / Masse totale</v>
      </c>
    </row>
    <row r="80" spans="2:13" x14ac:dyDescent="0.2">
      <c r="B80" t="str">
        <f>IF(Lang="Français","Temps de culmination",IF(Lang="English","Apogee time",""))</f>
        <v>Temps de culmination</v>
      </c>
    </row>
    <row r="81" spans="2:2" x14ac:dyDescent="0.2">
      <c r="B81" t="str">
        <f>Abaco!$B$80 &amp; " / " &amp; Abaco!$B$75</f>
        <v>Temps de culmination / Masse totale</v>
      </c>
    </row>
  </sheetData>
  <sheetProtection algorithmName="SHA-512" hashValue="+PTrTvch0rD/oo5wbJAiLSXEwsZuHYCw11E5jJpN7UFv8bqEgAVA+seu72dez5dZDB7fUdwejfBNAFZdr7g5pg==" saltValue="gnM8LKYZzdY29Fufgy5vJQ==" spinCount="100000" sheet="1"/>
  <mergeCells count="13">
    <mergeCell ref="C10:D10"/>
    <mergeCell ref="C9:D9"/>
    <mergeCell ref="C2:D3"/>
    <mergeCell ref="C4:D4"/>
    <mergeCell ref="C5:D5"/>
    <mergeCell ref="C7:D7"/>
    <mergeCell ref="C8:D8"/>
    <mergeCell ref="C11:D11"/>
    <mergeCell ref="C13:D13"/>
    <mergeCell ref="C15:D15"/>
    <mergeCell ref="C16:D16"/>
    <mergeCell ref="C17:D17"/>
    <mergeCell ref="C12:D12"/>
  </mergeCells>
  <dataValidations count="3">
    <dataValidation type="decimal" errorStyle="warning" showErrorMessage="1" errorTitle="Cx" error="Le Cx est souvent compris entre 0 et 1._x000a_Cx may be between 0 &amp; 1." sqref="C17:D17" xr:uid="{00000000-0002-0000-0500-000000000000}">
      <formula1>0</formula1>
      <formula2>1</formula2>
    </dataValidation>
    <dataValidation operator="greaterThanOrEqual" sqref="C11:D12" xr:uid="{00000000-0002-0000-0500-000001000000}"/>
    <dataValidation sqref="C13:D13" xr:uid="{00000000-0002-0000-0500-000002000000}"/>
  </dataValidations>
  <hyperlinks>
    <hyperlink ref="B13" location="Stabilito!C17" display="Stabilito!C17" xr:uid="{00000000-0004-0000-0500-000000000000}"/>
  </hyperlinks>
  <pageMargins left="0.70866141732283472" right="0.70866141732283472" top="0.74803149606299213" bottom="0.74803149606299213" header="0.31496062992125984" footer="0.31496062992125984"/>
  <pageSetup paperSize="9" scale="92" orientation="landscape" r:id="rId1"/>
  <drawing r:id="rId2"/>
  <legacyDrawing r:id="rId3"/>
  <oleObjects>
    <mc:AlternateContent xmlns:mc="http://schemas.openxmlformats.org/markup-compatibility/2006">
      <mc:Choice Requires="x14">
        <oleObject progId="Equation.3" shapeId="2604101" r:id="rId4">
          <objectPr defaultSize="0" autoPict="0" r:id="rId5">
            <anchor moveWithCells="1">
              <from>
                <xdr:col>8</xdr:col>
                <xdr:colOff>390525</xdr:colOff>
                <xdr:row>70</xdr:row>
                <xdr:rowOff>28575</xdr:rowOff>
              </from>
              <to>
                <xdr:col>12</xdr:col>
                <xdr:colOff>904875</xdr:colOff>
                <xdr:row>87</xdr:row>
                <xdr:rowOff>9525</xdr:rowOff>
              </to>
            </anchor>
          </objectPr>
        </oleObject>
      </mc:Choice>
      <mc:Fallback>
        <oleObject progId="Equation.3" shapeId="2604101" r:id="rId4"/>
      </mc:Fallback>
    </mc:AlternateContent>
  </oleObjects>
  <mc:AlternateContent xmlns:mc="http://schemas.openxmlformats.org/markup-compatibility/2006">
    <mc:Choice Requires="x14">
      <controls>
        <mc:AlternateContent xmlns:mc="http://schemas.openxmlformats.org/markup-compatibility/2006">
          <mc:Choice Requires="x14">
            <control shapeId="2604063" r:id="rId6" name="Spinner 31">
              <controlPr defaultSize="0" print="0" autoPict="0">
                <anchor moveWithCells="1" sizeWithCells="1">
                  <from>
                    <xdr:col>3</xdr:col>
                    <xdr:colOff>657225</xdr:colOff>
                    <xdr:row>9</xdr:row>
                    <xdr:rowOff>200025</xdr:rowOff>
                  </from>
                  <to>
                    <xdr:col>4</xdr:col>
                    <xdr:colOff>0</xdr:colOff>
                    <xdr:row>11</xdr:row>
                    <xdr:rowOff>0</xdr:rowOff>
                  </to>
                </anchor>
              </controlPr>
            </control>
          </mc:Choice>
        </mc:AlternateContent>
        <mc:AlternateContent xmlns:mc="http://schemas.openxmlformats.org/markup-compatibility/2006">
          <mc:Choice Requires="x14">
            <control shapeId="2604202" r:id="rId7" name="Spinner 170">
              <controlPr defaultSize="0" print="0" autoPict="0">
                <anchor moveWithCells="1" sizeWithCells="1">
                  <from>
                    <xdr:col>3</xdr:col>
                    <xdr:colOff>657225</xdr:colOff>
                    <xdr:row>11</xdr:row>
                    <xdr:rowOff>0</xdr:rowOff>
                  </from>
                  <to>
                    <xdr:col>4</xdr:col>
                    <xdr:colOff>0</xdr:colOff>
                    <xdr:row>12</xdr:row>
                    <xdr:rowOff>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6">
    <pageSetUpPr fitToPage="1"/>
  </sheetPr>
  <dimension ref="C2:H61"/>
  <sheetViews>
    <sheetView showGridLines="0" topLeftCell="A31" workbookViewId="0">
      <selection activeCell="G46" sqref="G46"/>
    </sheetView>
  </sheetViews>
  <sheetFormatPr baseColWidth="10" defaultRowHeight="12.75" x14ac:dyDescent="0.2"/>
  <cols>
    <col min="1" max="1" width="2.140625" customWidth="1"/>
    <col min="2" max="2" width="16.140625" customWidth="1"/>
    <col min="3" max="4" width="13.5703125" customWidth="1"/>
  </cols>
  <sheetData>
    <row r="2" spans="3:8" x14ac:dyDescent="0.2">
      <c r="C2" s="598" t="s">
        <v>178</v>
      </c>
      <c r="D2" s="598"/>
    </row>
    <row r="3" spans="3:8" x14ac:dyDescent="0.2">
      <c r="C3" s="598"/>
      <c r="D3" s="598"/>
    </row>
    <row r="5" spans="3:8" x14ac:dyDescent="0.2">
      <c r="C5" s="13" t="str">
        <f>IF(Lang="Français","Stabilité de fusée à ailerons","Stability of finned rocket")</f>
        <v>Stabilité de fusée à ailerons</v>
      </c>
    </row>
    <row r="6" spans="3:8" x14ac:dyDescent="0.2">
      <c r="C6" s="2" t="str">
        <f>IF(Lang="Français","Calculs de Stabilité basés sur les équations de Barrowman","Stability calculs are based on Barrowman equations")</f>
        <v>Calculs de Stabilité basés sur les équations de Barrowman</v>
      </c>
    </row>
    <row r="7" spans="3:8" x14ac:dyDescent="0.2">
      <c r="C7" s="13" t="str">
        <f>IF(Lang="Français","Trajectographie de fusée","Rocket Trajectography")</f>
        <v>Trajectographie de fusée</v>
      </c>
    </row>
    <row r="8" spans="3:8" x14ac:dyDescent="0.2">
      <c r="C8" s="2" t="str">
        <f>IF(Lang="Français","Trajectoire dans un plan par calcul pas à pas","Trajectory in a plane, step by step computation")</f>
        <v>Trajectoire dans un plan par calcul pas à pas</v>
      </c>
    </row>
    <row r="9" spans="3:8" x14ac:dyDescent="0.2">
      <c r="C9" s="2"/>
    </row>
    <row r="10" spans="3:8" x14ac:dyDescent="0.2">
      <c r="C10" s="14" t="str">
        <f>IF(Lang="Français","Documentation et équations :","Documentation and equations are aviable in french:")</f>
        <v>Documentation et équations :</v>
      </c>
    </row>
    <row r="11" spans="3:8" x14ac:dyDescent="0.2">
      <c r="C11" t="str">
        <f>IF(Lang="Français","voir le dossier technique Planète-Sciences ''Le Vol de la Fusée, Stabilité &amp; Trajectographie''","dossier technique Planète-Sciences ''Le Vol de la Fusée, Stabilité &amp; Trajectographie''")</f>
        <v>voir le dossier technique Planète-Sciences ''Le Vol de la Fusée, Stabilité &amp; Trajectographie''</v>
      </c>
    </row>
    <row r="12" spans="3:8" x14ac:dyDescent="0.2">
      <c r="C12" t="str">
        <f>IF(Lang="Français","Néanmoins, les équations d'intégration du mouvement utilisées sont légèrement différentes !","")</f>
        <v>Néanmoins, les équations d'intégration du mouvement utilisées sont légèrement différentes !</v>
      </c>
    </row>
    <row r="13" spans="3:8" x14ac:dyDescent="0.2">
      <c r="C13" t="str">
        <f>IF(Lang="Français","Logiciels et dossier technique téléchargeables sur :","Softwares and french documentation can be downloaded at:")</f>
        <v>Logiciels et dossier technique téléchargeables sur :</v>
      </c>
      <c r="H13" s="15" t="s">
        <v>39</v>
      </c>
    </row>
    <row r="15" spans="3:8" x14ac:dyDescent="0.2">
      <c r="C15" s="14" t="str">
        <f>IF(Lang="Français","Pour les experts :","For experts:")</f>
        <v>Pour les experts :</v>
      </c>
    </row>
    <row r="16" spans="3:8" x14ac:dyDescent="0.2">
      <c r="C16" t="str">
        <f>IF(Lang="Français","Pour les curieux et les experts, vous pouvez déprotéger les feuilles de calcul (mot de passe : anstj),","Curious people can unlock excel sheets with this password : anstj")</f>
        <v>Pour les curieux et les experts, vous pouvez déprotéger les feuilles de calcul (mot de passe : anstj),</v>
      </c>
    </row>
    <row r="17" spans="3:8" x14ac:dyDescent="0.2">
      <c r="C17" t="str">
        <f>IF(Lang="Français","et faire vos modifications personnelles (ajout de moteur...).","and do your personal modification (adding a motor...)")</f>
        <v>et faire vos modifications personnelles (ajout de moteur...).</v>
      </c>
    </row>
    <row r="18" spans="3:8" x14ac:dyDescent="0.2">
      <c r="C18" t="s">
        <v>419</v>
      </c>
    </row>
    <row r="19" spans="3:8" x14ac:dyDescent="0.2">
      <c r="C19" t="str">
        <f>IF(Lang="Français","Merci néanmoins de diffuser uniquement la version officielle protégée (fichier initial).","Please avoid distributing unlocked version.")</f>
        <v>Merci néanmoins de diffuser uniquement la version officielle protégée (fichier initial).</v>
      </c>
    </row>
    <row r="20" spans="3:8" x14ac:dyDescent="0.2">
      <c r="C20" t="str">
        <f>IF(Lang="Français","Aucune Macro. Mise en forme conditionnelle, Noms de zone.","No macro. Conditionnal formating, named zones.")</f>
        <v>Aucune Macro. Mise en forme conditionnelle, Noms de zone.</v>
      </c>
    </row>
    <row r="21" spans="3:8" x14ac:dyDescent="0.2">
      <c r="C21" s="48" t="str">
        <f>IF(Lang="Français","Pour changer les choix des menus déroulants et les restrictions des cellules jaunes, cf. Données&gt; Validations…", "To change choices menu &amp; yellow cells restrictions, go to data validation.")</f>
        <v>Pour changer les choix des menus déroulants et les restrictions des cellules jaunes, cf. Données&gt; Validations…</v>
      </c>
    </row>
    <row r="22" spans="3:8" x14ac:dyDescent="0.2">
      <c r="C22" s="48" t="str">
        <f>IF(Lang="Français","Les unités sont réglés dans le Format de la cellule.","Units are set in cell number Format")</f>
        <v>Les unités sont réglés dans le Format de la cellule.</v>
      </c>
      <c r="H22" s="15" t="s">
        <v>37</v>
      </c>
    </row>
    <row r="23" spans="3:8" x14ac:dyDescent="0.2">
      <c r="C23" t="str">
        <f>IF(Lang="Français","Vous pouvez proposer vos améliorations en envoyant votre fichier à : ","Send all remarks and improvements proposals to:")</f>
        <v xml:space="preserve">Vous pouvez proposer vos améliorations en envoyant votre fichier à : </v>
      </c>
      <c r="H23" s="15"/>
    </row>
    <row r="25" spans="3:8" x14ac:dyDescent="0.2">
      <c r="C25" s="14" t="str">
        <f>IF(Lang="Français","Licence :","License:")</f>
        <v>Licence :</v>
      </c>
      <c r="D25" s="16"/>
    </row>
    <row r="26" spans="3:8" x14ac:dyDescent="0.2">
      <c r="C26" t="str">
        <f>IF(Lang="Français","Ce logiciel est placé sous la licence Creative Commons BY-SA","This software is placed under Creative Commons licence BY-SA")</f>
        <v>Ce logiciel est placé sous la licence Creative Commons BY-SA</v>
      </c>
      <c r="H26" s="68" t="s">
        <v>122</v>
      </c>
    </row>
    <row r="28" spans="3:8" x14ac:dyDescent="0.2">
      <c r="C28" s="14" t="str">
        <f>IF(Lang="Français","Compatibilité :","Compatibility:")</f>
        <v>Compatibilité :</v>
      </c>
    </row>
    <row r="29" spans="3:8" x14ac:dyDescent="0.2">
      <c r="C29" t="s">
        <v>152</v>
      </c>
    </row>
    <row r="30" spans="3:8" x14ac:dyDescent="0.2">
      <c r="C30" t="s">
        <v>301</v>
      </c>
    </row>
    <row r="31" spans="3:8" x14ac:dyDescent="0.2">
      <c r="C31" s="49" t="s">
        <v>110</v>
      </c>
    </row>
    <row r="33" spans="3:6" x14ac:dyDescent="0.2">
      <c r="C33" s="14" t="str">
        <f>IF(Lang="Français","Historique :","History:")</f>
        <v>Historique :</v>
      </c>
    </row>
    <row r="34" spans="3:6" x14ac:dyDescent="0.2">
      <c r="C34" t="s">
        <v>102</v>
      </c>
      <c r="D34" t="s">
        <v>42</v>
      </c>
      <c r="E34" s="47" t="s">
        <v>101</v>
      </c>
      <c r="F34" t="str">
        <f>IF(Lang="Français","Essais personnels, héritage d'une feuille de calcul de Vincent Girard, ESO","Personnel tests")</f>
        <v>Essais personnels, héritage d'une feuille de calcul de Vincent Girard, ESO</v>
      </c>
    </row>
    <row r="35" spans="3:6" x14ac:dyDescent="0.2">
      <c r="C35" t="s">
        <v>103</v>
      </c>
      <c r="D35" t="s">
        <v>42</v>
      </c>
      <c r="E35" s="16">
        <v>39483</v>
      </c>
      <c r="F35" t="str">
        <f>IF(Lang="Français","Equations de Barrowman généralisées (D_ref), masquage inter-ailerons, bilingue fr-en","Generalized Barrowman equations (D_ref), fin-fin interaction, english translation")</f>
        <v>Equations de Barrowman généralisées (D_ref), masquage inter-ailerons, bilingue fr-en</v>
      </c>
    </row>
    <row r="36" spans="3:6" x14ac:dyDescent="0.2">
      <c r="C36" t="s">
        <v>104</v>
      </c>
      <c r="D36" t="s">
        <v>42</v>
      </c>
      <c r="E36" s="16">
        <v>39507</v>
      </c>
      <c r="F36" t="str">
        <f>IF(Lang="Français","Schéma de la fusée, estimation analytique de la trajecto, diagramme des critères","Rocket schematic, analytical trajecto, criterions diagram")</f>
        <v>Schéma de la fusée, estimation analytique de la trajecto, diagramme des critères</v>
      </c>
    </row>
    <row r="37" spans="3:6" x14ac:dyDescent="0.2">
      <c r="C37" t="s">
        <v>105</v>
      </c>
      <c r="D37" t="s">
        <v>42</v>
      </c>
      <c r="E37" s="16">
        <v>39694</v>
      </c>
      <c r="F37" t="str">
        <f>IF(Lang="Français","Mise en forme","Formatting")</f>
        <v>Mise en forme</v>
      </c>
    </row>
    <row r="38" spans="3:6" x14ac:dyDescent="0.2">
      <c r="C38" t="s">
        <v>106</v>
      </c>
      <c r="D38" t="s">
        <v>42</v>
      </c>
      <c r="E38" s="16">
        <v>39643</v>
      </c>
      <c r="F38" t="str">
        <f>IF(Lang="Français","Essais personnels, héritage d'une feuille de calcul de Félicien Roux, ESO","Personal tests")</f>
        <v>Essais personnels, héritage d'une feuille de calcul de Félicien Roux, ESO</v>
      </c>
    </row>
    <row r="39" spans="3:6" x14ac:dyDescent="0.2">
      <c r="C39" t="s">
        <v>107</v>
      </c>
      <c r="D39" t="s">
        <v>42</v>
      </c>
      <c r="E39" s="16">
        <v>39755</v>
      </c>
      <c r="F39" t="str">
        <f>IF(Lang="Français","Réécriture équations, traduction, érgonomie","Equations, traduction, ergonomy")</f>
        <v>Réécriture équations, traduction, érgonomie</v>
      </c>
    </row>
    <row r="40" spans="3:6" x14ac:dyDescent="0.2">
      <c r="C40" t="s">
        <v>108</v>
      </c>
      <c r="D40" t="s">
        <v>42</v>
      </c>
      <c r="E40" s="16">
        <v>39756</v>
      </c>
      <c r="F40" t="str">
        <f>IF(Lang="Français","Conditions Initiales pour vol 2e étage, 1ère publication","Initial Conditions, 1st publication")</f>
        <v>Conditions Initiales pour vol 2e étage, 1ère publication</v>
      </c>
    </row>
    <row r="41" spans="3:6" x14ac:dyDescent="0.2">
      <c r="C41" t="s">
        <v>109</v>
      </c>
      <c r="D41" t="s">
        <v>42</v>
      </c>
      <c r="E41" s="16">
        <v>40658</v>
      </c>
      <c r="F41" t="s">
        <v>52</v>
      </c>
    </row>
    <row r="42" spans="3:6" x14ac:dyDescent="0.2">
      <c r="C42" t="s">
        <v>179</v>
      </c>
      <c r="D42" t="s">
        <v>42</v>
      </c>
      <c r="E42" s="16">
        <v>40868</v>
      </c>
      <c r="F42" t="str">
        <f>IF(Lang="Français","Fusion Stabilito+Trajecto, mise en forme, Ctrl, RC, H2O, Abaco","Merge Stabilito+Trajecto, formatting, Ctrl, RC, H2O, Abaco")</f>
        <v>Fusion Stabilito+Trajecto, mise en forme, Ctrl, RC, H2O, Abaco</v>
      </c>
    </row>
    <row r="43" spans="3:6" x14ac:dyDescent="0.2">
      <c r="C43" t="s">
        <v>327</v>
      </c>
      <c r="D43" t="s">
        <v>42</v>
      </c>
      <c r="E43" s="16">
        <v>41194</v>
      </c>
      <c r="F43" t="s">
        <v>331</v>
      </c>
    </row>
    <row r="44" spans="3:6" x14ac:dyDescent="0.2">
      <c r="C44" t="s">
        <v>328</v>
      </c>
      <c r="D44" t="s">
        <v>42</v>
      </c>
      <c r="E44" s="16">
        <v>41329</v>
      </c>
      <c r="F44" t="s">
        <v>332</v>
      </c>
    </row>
    <row r="45" spans="3:6" x14ac:dyDescent="0.2">
      <c r="C45" t="s">
        <v>416</v>
      </c>
      <c r="D45" t="s">
        <v>395</v>
      </c>
      <c r="E45" s="16">
        <v>41947</v>
      </c>
      <c r="F45" t="s">
        <v>415</v>
      </c>
    </row>
    <row r="46" spans="3:6" x14ac:dyDescent="0.2">
      <c r="C46" t="s">
        <v>420</v>
      </c>
      <c r="D46" t="s">
        <v>395</v>
      </c>
      <c r="E46" s="16">
        <v>41965</v>
      </c>
      <c r="F46" t="s">
        <v>418</v>
      </c>
    </row>
    <row r="47" spans="3:6" x14ac:dyDescent="0.2">
      <c r="C47" t="s">
        <v>542</v>
      </c>
      <c r="D47" t="s">
        <v>395</v>
      </c>
      <c r="E47" s="16">
        <v>43048</v>
      </c>
      <c r="F47" t="s">
        <v>543</v>
      </c>
    </row>
    <row r="48" spans="3:6" x14ac:dyDescent="0.2">
      <c r="C48" t="s">
        <v>546</v>
      </c>
      <c r="D48" t="s">
        <v>395</v>
      </c>
      <c r="E48" s="16">
        <v>44160</v>
      </c>
      <c r="F48" t="s">
        <v>547</v>
      </c>
    </row>
    <row r="49" spans="3:6" x14ac:dyDescent="0.2">
      <c r="C49" t="s">
        <v>555</v>
      </c>
      <c r="D49" t="s">
        <v>553</v>
      </c>
      <c r="E49" s="16">
        <v>45300</v>
      </c>
      <c r="F49" t="s">
        <v>554</v>
      </c>
    </row>
    <row r="50" spans="3:6" x14ac:dyDescent="0.2">
      <c r="C50" t="s">
        <v>557</v>
      </c>
      <c r="D50" t="s">
        <v>395</v>
      </c>
      <c r="E50" s="16">
        <v>45322</v>
      </c>
      <c r="F50" t="s">
        <v>562</v>
      </c>
    </row>
    <row r="51" spans="3:6" x14ac:dyDescent="0.2">
      <c r="C51" t="s">
        <v>566</v>
      </c>
      <c r="D51" t="s">
        <v>395</v>
      </c>
      <c r="E51" s="16">
        <v>45325</v>
      </c>
      <c r="F51" t="s">
        <v>565</v>
      </c>
    </row>
    <row r="52" spans="3:6" x14ac:dyDescent="0.2">
      <c r="E52" s="16"/>
    </row>
    <row r="53" spans="3:6" x14ac:dyDescent="0.2">
      <c r="C53" s="14" t="str">
        <f>IF(Lang="Français","Paramètres de référence :","Reference parameters:")</f>
        <v>Paramètres de référence :</v>
      </c>
    </row>
    <row r="54" spans="3:6" x14ac:dyDescent="0.2">
      <c r="C54" s="62" t="str">
        <f>IF(Lang="Français","Gravité g :","Gravity g")</f>
        <v>Gravité g :</v>
      </c>
      <c r="E54" s="62">
        <v>9.81</v>
      </c>
      <c r="F54" s="62" t="s">
        <v>7</v>
      </c>
    </row>
    <row r="55" spans="3:6" x14ac:dyDescent="0.2">
      <c r="C55" s="62" t="str">
        <f>IF(Lang="Français","Masse volumique de l'air ρ :","Air density ρ")</f>
        <v>Masse volumique de l'air ρ :</v>
      </c>
      <c r="E55" s="63">
        <v>1.2250000000000001</v>
      </c>
      <c r="F55" s="62" t="s">
        <v>8</v>
      </c>
    </row>
    <row r="56" spans="3:6" x14ac:dyDescent="0.2">
      <c r="C56" s="48"/>
    </row>
    <row r="57" spans="3:6" x14ac:dyDescent="0.2">
      <c r="C57" s="48"/>
    </row>
    <row r="58" spans="3:6" x14ac:dyDescent="0.2">
      <c r="C58" s="48"/>
    </row>
    <row r="59" spans="3:6" x14ac:dyDescent="0.2">
      <c r="C59" s="48"/>
    </row>
    <row r="60" spans="3:6" x14ac:dyDescent="0.2">
      <c r="C60" s="48"/>
    </row>
    <row r="61" spans="3:6" x14ac:dyDescent="0.2">
      <c r="C61" s="48"/>
    </row>
  </sheetData>
  <sheetProtection algorithmName="SHA-512" hashValue="dcP9v4DQ6JuvC6eLIBXnlatxcJ77hQrkAMZATd7/biqbQNTpo5JLWb/f1rwPyt3T541dwFzTLWfTsEIfUWsRvA==" saltValue="abKm4XUCT8zC5fp4rZeuTQ==" spinCount="100000" sheet="1" objects="1" scenarios="1"/>
  <mergeCells count="1">
    <mergeCell ref="C2:D3"/>
  </mergeCells>
  <phoneticPr fontId="8" type="noConversion"/>
  <hyperlinks>
    <hyperlink ref="H13" r:id="rId1" xr:uid="{00000000-0004-0000-0600-000000000000}"/>
    <hyperlink ref="H22" r:id="rId2" xr:uid="{00000000-0004-0000-0600-000001000000}"/>
    <hyperlink ref="H26" r:id="rId3" xr:uid="{00000000-0004-0000-0600-000002000000}"/>
  </hyperlinks>
  <pageMargins left="0.39370078740157483" right="0.39370078740157483" top="0.39370078740157483" bottom="0.39370078740157483" header="0" footer="0"/>
  <pageSetup scale="73" firstPageNumber="0" orientation="portrait" horizontalDpi="300" verticalDpi="300" r:id="rId4"/>
  <headerFooter alignWithMargins="0"/>
  <drawing r:id="rId5"/>
  <legacy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7">
    <pageSetUpPr fitToPage="1"/>
  </sheetPr>
  <dimension ref="B1:U134"/>
  <sheetViews>
    <sheetView showGridLines="0" zoomScaleNormal="100" workbookViewId="0">
      <selection activeCell="L39" sqref="L39"/>
    </sheetView>
  </sheetViews>
  <sheetFormatPr baseColWidth="10" defaultColWidth="11.5703125" defaultRowHeight="12.75" x14ac:dyDescent="0.2"/>
  <cols>
    <col min="1" max="2" width="2.140625" customWidth="1"/>
    <col min="3" max="3" width="12.5703125" customWidth="1"/>
    <col min="4" max="4" width="21" customWidth="1"/>
    <col min="7" max="7" width="26.5703125" customWidth="1"/>
    <col min="8" max="9" width="6.85546875" customWidth="1"/>
    <col min="10" max="10" width="10" customWidth="1"/>
    <col min="11" max="11" width="13" customWidth="1"/>
    <col min="12" max="12" width="21.140625" customWidth="1"/>
    <col min="14" max="14" width="2.140625" customWidth="1"/>
    <col min="18" max="19" width="16.140625" customWidth="1"/>
  </cols>
  <sheetData>
    <row r="1" spans="2:21" ht="13.5" thickBot="1" x14ac:dyDescent="0.25">
      <c r="O1" s="6"/>
      <c r="P1" s="48"/>
      <c r="Q1" s="48"/>
      <c r="R1" s="48"/>
      <c r="S1" s="48"/>
      <c r="T1" s="48"/>
      <c r="U1" s="48"/>
    </row>
    <row r="2" spans="2:21" ht="13.5" thickBot="1" x14ac:dyDescent="0.25">
      <c r="B2" s="71"/>
      <c r="C2" s="72"/>
      <c r="D2" s="72"/>
      <c r="E2" s="72"/>
      <c r="F2" s="72"/>
      <c r="G2" s="72"/>
      <c r="H2" s="72"/>
      <c r="I2" s="72"/>
      <c r="J2" s="72"/>
      <c r="K2" s="72"/>
      <c r="L2" s="72"/>
      <c r="M2" s="72"/>
      <c r="N2" s="73"/>
      <c r="O2" s="6"/>
      <c r="P2" s="48"/>
      <c r="Q2" s="48"/>
      <c r="R2" s="48"/>
      <c r="S2" s="48"/>
      <c r="T2" s="48"/>
      <c r="U2" s="48"/>
    </row>
    <row r="3" spans="2:21" ht="15.75" customHeight="1" thickBot="1" x14ac:dyDescent="0.25">
      <c r="B3" s="74"/>
      <c r="D3" s="2" t="s">
        <v>429</v>
      </c>
      <c r="N3" s="75"/>
      <c r="O3" s="6"/>
      <c r="P3" s="273" t="s">
        <v>340</v>
      </c>
      <c r="Q3" s="441">
        <f>Long_ogive</f>
        <v>252</v>
      </c>
      <c r="R3" s="48"/>
      <c r="S3" s="48"/>
      <c r="T3" s="48"/>
      <c r="U3" s="48"/>
    </row>
    <row r="4" spans="2:21" ht="15.75" customHeight="1" x14ac:dyDescent="0.2">
      <c r="B4" s="74"/>
      <c r="D4" s="2" t="s">
        <v>564</v>
      </c>
      <c r="E4" t="str">
        <f>Matricule</f>
        <v>FX0</v>
      </c>
      <c r="N4" s="75"/>
      <c r="O4" s="6"/>
      <c r="P4" s="273"/>
      <c r="Q4" s="436"/>
      <c r="R4" s="48"/>
      <c r="S4" s="48"/>
      <c r="T4" s="48"/>
      <c r="U4" s="48"/>
    </row>
    <row r="5" spans="2:21" ht="15.75" customHeight="1" x14ac:dyDescent="0.2">
      <c r="B5" s="74"/>
      <c r="D5" t="s">
        <v>462</v>
      </c>
      <c r="E5" t="str">
        <f>Propu</f>
        <v>Pro54-5G WT</v>
      </c>
      <c r="G5" t="s">
        <v>459</v>
      </c>
      <c r="H5">
        <f>MasseSans</f>
        <v>6.8</v>
      </c>
      <c r="N5" s="75"/>
      <c r="O5" s="6"/>
      <c r="P5" s="273"/>
      <c r="Q5" s="436"/>
      <c r="R5" s="48"/>
      <c r="S5" s="48"/>
      <c r="T5" s="48"/>
      <c r="U5" s="48"/>
    </row>
    <row r="6" spans="2:21" x14ac:dyDescent="0.2">
      <c r="B6" s="74"/>
      <c r="D6" t="s">
        <v>455</v>
      </c>
      <c r="E6" s="2" t="str">
        <f>Trajecto!H34</f>
        <v>Brun/Orange…</v>
      </c>
      <c r="G6" t="s">
        <v>460</v>
      </c>
      <c r="H6">
        <f>D_ref</f>
        <v>99</v>
      </c>
      <c r="N6" s="75"/>
      <c r="O6" s="6"/>
      <c r="P6" s="273"/>
      <c r="Q6" s="436"/>
      <c r="R6" s="48"/>
      <c r="S6" s="48"/>
      <c r="T6" s="48"/>
      <c r="U6" s="48"/>
    </row>
    <row r="7" spans="2:21" x14ac:dyDescent="0.2">
      <c r="B7" s="74"/>
      <c r="D7" t="s">
        <v>457</v>
      </c>
      <c r="E7" s="2" t="str">
        <f>Trajecto!H35</f>
        <v>Rouge…</v>
      </c>
      <c r="G7" t="s">
        <v>5</v>
      </c>
      <c r="H7">
        <f>Cx</f>
        <v>0.7</v>
      </c>
      <c r="N7" s="75"/>
      <c r="O7" s="6"/>
      <c r="P7" s="273"/>
      <c r="Q7" s="436"/>
      <c r="R7" s="48"/>
      <c r="S7" s="48"/>
      <c r="T7" s="48"/>
      <c r="U7" s="48"/>
    </row>
    <row r="8" spans="2:21" x14ac:dyDescent="0.2">
      <c r="B8" s="74"/>
      <c r="D8" t="s">
        <v>458</v>
      </c>
      <c r="E8" s="2">
        <f>S_para</f>
        <v>0.48049999999999998</v>
      </c>
      <c r="G8" t="s">
        <v>461</v>
      </c>
      <c r="H8">
        <f>L_rampe</f>
        <v>4</v>
      </c>
      <c r="N8" s="75"/>
      <c r="O8" s="6"/>
      <c r="P8" s="273"/>
      <c r="Q8" s="436"/>
      <c r="R8" s="48"/>
      <c r="S8" s="48"/>
      <c r="T8" s="48"/>
      <c r="U8" s="48"/>
    </row>
    <row r="9" spans="2:21" x14ac:dyDescent="0.2">
      <c r="B9" s="74"/>
      <c r="D9" t="s">
        <v>456</v>
      </c>
      <c r="E9" s="2"/>
      <c r="G9" t="s">
        <v>146</v>
      </c>
      <c r="H9" s="532" t="str">
        <f>Forme_ogive</f>
        <v>Conique (droite)</v>
      </c>
      <c r="N9" s="75"/>
      <c r="O9" s="6"/>
      <c r="P9" s="273"/>
      <c r="Q9" s="436"/>
      <c r="R9" s="48"/>
      <c r="S9" s="48"/>
      <c r="T9" s="48"/>
      <c r="U9" s="48"/>
    </row>
    <row r="10" spans="2:21" x14ac:dyDescent="0.2">
      <c r="B10" s="74"/>
      <c r="F10" s="3"/>
      <c r="G10" s="6"/>
      <c r="N10" s="75"/>
      <c r="O10" s="521"/>
      <c r="P10" s="48"/>
      <c r="Q10" s="436"/>
      <c r="R10" s="48"/>
      <c r="S10" s="48"/>
      <c r="T10" s="48"/>
      <c r="U10" s="48"/>
    </row>
    <row r="11" spans="2:21" ht="13.5" thickBot="1" x14ac:dyDescent="0.25">
      <c r="B11" s="74"/>
      <c r="C11" s="12"/>
      <c r="D11" s="275" t="s">
        <v>454</v>
      </c>
      <c r="E11" s="243">
        <f>MasseSans</f>
        <v>6.8</v>
      </c>
      <c r="F11" s="246" t="s">
        <v>123</v>
      </c>
      <c r="G11" s="246" t="s">
        <v>125</v>
      </c>
      <c r="H11" s="672">
        <f ca="1">Vsortie_de_rampe</f>
        <v>33.046249345329279</v>
      </c>
      <c r="I11" s="673"/>
      <c r="J11" s="76"/>
      <c r="N11" s="75"/>
      <c r="P11" s="48"/>
      <c r="Q11" s="436"/>
      <c r="R11" s="48"/>
      <c r="S11" s="48"/>
      <c r="T11" s="48"/>
      <c r="U11" s="440">
        <f>IF(RIGHT(Nb_diam,1)=",", "", X_j)</f>
        <v>942</v>
      </c>
    </row>
    <row r="12" spans="2:21" ht="13.5" thickBot="1" x14ac:dyDescent="0.25">
      <c r="B12" s="74"/>
      <c r="C12" s="12"/>
      <c r="D12" s="276"/>
      <c r="E12" s="244"/>
      <c r="F12" s="6" t="s">
        <v>123</v>
      </c>
      <c r="G12" s="6" t="s">
        <v>126</v>
      </c>
      <c r="H12" s="674">
        <f>Finesse</f>
        <v>20.727272727272727</v>
      </c>
      <c r="I12" s="675"/>
      <c r="J12" s="76"/>
      <c r="N12" s="75"/>
      <c r="O12" s="6"/>
      <c r="P12" s="273" t="s">
        <v>341</v>
      </c>
      <c r="Q12" s="441">
        <f>D_og</f>
        <v>84</v>
      </c>
      <c r="R12" s="48"/>
      <c r="S12" s="48"/>
      <c r="T12" s="48"/>
      <c r="U12" s="436"/>
    </row>
    <row r="13" spans="2:21" x14ac:dyDescent="0.2">
      <c r="B13" s="74"/>
      <c r="C13" s="12"/>
      <c r="D13" s="276" t="s">
        <v>5</v>
      </c>
      <c r="E13" s="244">
        <f>Cx</f>
        <v>0.7</v>
      </c>
      <c r="F13" s="6" t="s">
        <v>123</v>
      </c>
      <c r="G13" s="6" t="s">
        <v>433</v>
      </c>
      <c r="H13" s="674">
        <f>Cn</f>
        <v>21.750417214765324</v>
      </c>
      <c r="I13" s="675"/>
      <c r="J13" s="76"/>
      <c r="N13" s="75"/>
      <c r="O13" s="6"/>
      <c r="P13" s="48"/>
      <c r="Q13" s="436"/>
      <c r="R13" s="48"/>
      <c r="S13" s="48"/>
      <c r="T13" s="48"/>
      <c r="U13" s="440">
        <f>IF(RIGHT(Nb_diam,1)=",", "", X_r)</f>
        <v>2002</v>
      </c>
    </row>
    <row r="14" spans="2:21" x14ac:dyDescent="0.2">
      <c r="B14" s="74"/>
      <c r="C14" s="12"/>
      <c r="D14" s="276" t="s">
        <v>143</v>
      </c>
      <c r="E14" s="244">
        <f>L_rampe</f>
        <v>4</v>
      </c>
      <c r="F14" s="6" t="s">
        <v>123</v>
      </c>
      <c r="G14" s="6" t="s">
        <v>127</v>
      </c>
      <c r="H14" s="247">
        <f ca="1">MS_min</f>
        <v>1.2201184324328413</v>
      </c>
      <c r="I14" s="254">
        <f ca="1">MS_max</f>
        <v>3.1783043879582542</v>
      </c>
      <c r="J14" s="76"/>
      <c r="K14" s="76"/>
      <c r="N14" s="75"/>
      <c r="P14" s="48"/>
      <c r="Q14" s="436"/>
      <c r="R14" s="48"/>
      <c r="S14" s="48"/>
      <c r="T14" s="48"/>
      <c r="U14" s="436"/>
    </row>
    <row r="15" spans="2:21" x14ac:dyDescent="0.2">
      <c r="B15" s="74"/>
      <c r="C15" s="12"/>
      <c r="D15" s="276" t="s">
        <v>144</v>
      </c>
      <c r="E15" s="244">
        <f>ep_ail</f>
        <v>3</v>
      </c>
      <c r="F15" s="6" t="s">
        <v>123</v>
      </c>
      <c r="G15" s="6" t="s">
        <v>124</v>
      </c>
      <c r="H15" s="247">
        <f ca="1">MS_Cn_min</f>
        <v>26.538084956839754</v>
      </c>
      <c r="I15" s="254">
        <f ca="1">MS_Cn_max</f>
        <v>83.344652036931464</v>
      </c>
      <c r="J15" s="76"/>
      <c r="K15" s="76"/>
      <c r="N15" s="75"/>
      <c r="P15" s="48"/>
      <c r="Q15" s="436"/>
      <c r="R15" s="48"/>
      <c r="S15" s="48"/>
      <c r="T15" s="48"/>
    </row>
    <row r="16" spans="2:21" x14ac:dyDescent="0.2">
      <c r="B16" s="74"/>
      <c r="C16" s="12"/>
      <c r="D16" s="276" t="s">
        <v>145</v>
      </c>
      <c r="E16" s="244">
        <f>Q_ail</f>
        <v>4</v>
      </c>
      <c r="F16" s="6" t="s">
        <v>128</v>
      </c>
      <c r="G16" s="6" t="s">
        <v>129</v>
      </c>
      <c r="H16" s="247">
        <f ca="1">V_para</f>
        <v>14.662722604544951</v>
      </c>
      <c r="I16" s="253">
        <f>V_satellite</f>
        <v>12.655562623057198</v>
      </c>
      <c r="J16" s="76"/>
      <c r="N16" s="75"/>
      <c r="P16" s="48"/>
      <c r="Q16" s="436"/>
      <c r="R16" s="48"/>
      <c r="S16" s="48"/>
      <c r="T16" s="48"/>
      <c r="U16" s="440">
        <f>IF(RIGHT(Nb_diam,1)=",", "", l_j)</f>
        <v>60</v>
      </c>
    </row>
    <row r="17" spans="2:21" x14ac:dyDescent="0.2">
      <c r="B17" s="74"/>
      <c r="C17" s="12"/>
      <c r="D17" s="276" t="s">
        <v>146</v>
      </c>
      <c r="E17" s="272" t="str">
        <f>Forme_ogive</f>
        <v>Conique (droite)</v>
      </c>
      <c r="F17" s="6" t="s">
        <v>130</v>
      </c>
      <c r="G17" s="6" t="s">
        <v>131</v>
      </c>
      <c r="H17" s="674">
        <f>T_para</f>
        <v>15.6</v>
      </c>
      <c r="I17" s="675"/>
      <c r="J17" s="258"/>
      <c r="N17" s="75"/>
      <c r="P17" s="434" t="s">
        <v>342</v>
      </c>
      <c r="Q17" s="440">
        <f>IF(RIGHT(Nb_diam,1)=",", "", D2j)</f>
        <v>104</v>
      </c>
      <c r="R17" s="48"/>
      <c r="S17" s="48"/>
      <c r="T17" s="48"/>
      <c r="U17" s="436"/>
    </row>
    <row r="18" spans="2:21" x14ac:dyDescent="0.2">
      <c r="B18" s="74"/>
      <c r="C18" s="12"/>
      <c r="D18" s="276" t="s">
        <v>148</v>
      </c>
      <c r="E18" s="244">
        <f ca="1">XpropuRef-Long_propu</f>
        <v>1564</v>
      </c>
      <c r="F18" s="12" t="s">
        <v>130</v>
      </c>
      <c r="G18" s="12" t="s">
        <v>427</v>
      </c>
      <c r="H18" s="602">
        <f ca="1">T_para-Combustion-Depotage</f>
        <v>15.6</v>
      </c>
      <c r="I18" s="680"/>
      <c r="N18" s="75"/>
      <c r="P18" s="48"/>
      <c r="Q18" s="436"/>
      <c r="R18" s="48"/>
      <c r="S18" s="48"/>
    </row>
    <row r="19" spans="2:21" x14ac:dyDescent="0.2">
      <c r="B19" s="74"/>
      <c r="C19" s="531"/>
      <c r="D19" s="269"/>
      <c r="E19" s="271"/>
      <c r="F19" s="519" t="s">
        <v>132</v>
      </c>
      <c r="G19" s="274" t="s">
        <v>426</v>
      </c>
      <c r="H19" s="681">
        <f ca="1">Portee_balistique</f>
        <v>770.52896740167785</v>
      </c>
      <c r="I19" s="682"/>
      <c r="N19" s="75"/>
      <c r="P19" s="48"/>
      <c r="Q19" s="436"/>
      <c r="R19" s="48"/>
      <c r="S19" s="48"/>
      <c r="T19" s="48"/>
    </row>
    <row r="20" spans="2:21" x14ac:dyDescent="0.2">
      <c r="B20" s="74"/>
      <c r="C20" s="12"/>
      <c r="D20" s="6"/>
      <c r="E20" s="6"/>
      <c r="H20" s="518"/>
      <c r="I20" s="518"/>
      <c r="N20" s="75"/>
      <c r="P20" s="48"/>
      <c r="Q20" s="436"/>
      <c r="R20" s="48"/>
      <c r="S20" s="48"/>
      <c r="T20" s="48"/>
      <c r="U20" s="440">
        <f>IF(RIGHT(Nb_diam,1)=",", "", l_r)</f>
        <v>40</v>
      </c>
    </row>
    <row r="21" spans="2:21" x14ac:dyDescent="0.2">
      <c r="B21" s="74"/>
      <c r="C21" s="12"/>
      <c r="D21" s="6"/>
      <c r="E21" s="263"/>
      <c r="F21" s="3"/>
      <c r="G21" s="6"/>
      <c r="H21" s="518"/>
      <c r="I21" s="518"/>
      <c r="N21" s="75"/>
      <c r="O21" s="273"/>
      <c r="P21" s="436"/>
      <c r="Q21" s="48"/>
      <c r="R21" s="48"/>
      <c r="S21" s="48"/>
      <c r="T21" s="226"/>
      <c r="U21" s="436"/>
    </row>
    <row r="22" spans="2:21" x14ac:dyDescent="0.2">
      <c r="B22" s="74"/>
      <c r="C22" s="526" t="s">
        <v>453</v>
      </c>
      <c r="D22" s="526" t="s">
        <v>437</v>
      </c>
      <c r="E22" s="527"/>
      <c r="F22" s="528" t="s">
        <v>442</v>
      </c>
      <c r="G22" s="526" t="s">
        <v>447</v>
      </c>
      <c r="I22" s="529"/>
      <c r="J22" s="530" t="s">
        <v>156</v>
      </c>
      <c r="K22" s="526" t="s">
        <v>157</v>
      </c>
      <c r="N22" s="75"/>
      <c r="O22" s="273"/>
      <c r="P22" s="436"/>
      <c r="Q22" s="48"/>
      <c r="R22" s="48"/>
      <c r="S22" s="48"/>
      <c r="T22" s="226"/>
      <c r="U22" s="436"/>
    </row>
    <row r="23" spans="2:21" x14ac:dyDescent="0.2">
      <c r="B23" s="74"/>
      <c r="C23" s="526" t="s">
        <v>452</v>
      </c>
      <c r="D23" s="527">
        <f>XcgSans</f>
        <v>1016</v>
      </c>
      <c r="E23" s="527" t="s">
        <v>38</v>
      </c>
      <c r="F23" s="528">
        <f>m_ail</f>
        <v>190</v>
      </c>
      <c r="G23" s="526">
        <f>m_can</f>
        <v>170</v>
      </c>
      <c r="I23" s="529" t="s">
        <v>448</v>
      </c>
      <c r="J23" s="528">
        <f>l_j</f>
        <v>60</v>
      </c>
      <c r="K23" s="526">
        <f>l_r</f>
        <v>40</v>
      </c>
      <c r="N23" s="75"/>
      <c r="O23" s="273"/>
      <c r="P23" s="436"/>
      <c r="Q23" s="48"/>
      <c r="R23" s="48"/>
      <c r="S23" s="48"/>
      <c r="T23" s="226"/>
      <c r="U23" s="436"/>
    </row>
    <row r="24" spans="2:21" x14ac:dyDescent="0.2">
      <c r="B24" s="74"/>
      <c r="C24" s="526" t="s">
        <v>440</v>
      </c>
      <c r="D24" s="526">
        <f>Long_tot</f>
        <v>2052</v>
      </c>
      <c r="E24" s="527" t="s">
        <v>443</v>
      </c>
      <c r="F24" s="528">
        <f>n_ail</f>
        <v>80</v>
      </c>
      <c r="G24" s="526">
        <f>n_can</f>
        <v>80</v>
      </c>
      <c r="I24" s="529" t="s">
        <v>449</v>
      </c>
      <c r="J24" s="528">
        <f>D1j</f>
        <v>84</v>
      </c>
      <c r="K24" s="526">
        <f>D1r</f>
        <v>104</v>
      </c>
      <c r="N24" s="75"/>
      <c r="O24" s="273"/>
      <c r="P24" s="436"/>
      <c r="Q24" s="48"/>
      <c r="R24" s="48"/>
      <c r="S24" s="48"/>
      <c r="T24" s="226"/>
      <c r="U24" s="436"/>
    </row>
    <row r="25" spans="2:21" x14ac:dyDescent="0.2">
      <c r="B25" s="74"/>
      <c r="C25" s="526" t="s">
        <v>441</v>
      </c>
      <c r="D25" s="526">
        <f>XpropuRef</f>
        <v>2052</v>
      </c>
      <c r="E25" s="527" t="s">
        <v>444</v>
      </c>
      <c r="F25" s="528">
        <f>p_ail</f>
        <v>180</v>
      </c>
      <c r="G25" s="526">
        <f>p_can</f>
        <v>120</v>
      </c>
      <c r="I25" s="529" t="s">
        <v>450</v>
      </c>
      <c r="J25" s="528">
        <f>D2j</f>
        <v>104</v>
      </c>
      <c r="K25" s="526">
        <f>D2r</f>
        <v>84</v>
      </c>
      <c r="N25" s="75"/>
      <c r="O25" s="273"/>
      <c r="P25" s="436"/>
      <c r="Q25" s="48"/>
      <c r="R25" s="48"/>
      <c r="S25" s="48"/>
      <c r="T25" s="226"/>
      <c r="U25" s="436"/>
    </row>
    <row r="26" spans="2:21" x14ac:dyDescent="0.2">
      <c r="B26" s="74"/>
      <c r="C26" s="526" t="s">
        <v>438</v>
      </c>
      <c r="D26" s="526">
        <f>D_ref</f>
        <v>99</v>
      </c>
      <c r="E26" s="527" t="s">
        <v>445</v>
      </c>
      <c r="F26" s="528">
        <f>E_ail</f>
        <v>140</v>
      </c>
      <c r="G26" s="526">
        <f>E_can</f>
        <v>107</v>
      </c>
      <c r="I26" s="529" t="s">
        <v>451</v>
      </c>
      <c r="J26" s="528">
        <f>X_j</f>
        <v>942</v>
      </c>
      <c r="K26" s="526">
        <f>X_r</f>
        <v>2002</v>
      </c>
      <c r="N26" s="75"/>
      <c r="O26" s="273"/>
      <c r="P26" s="436"/>
      <c r="Q26" s="48"/>
      <c r="R26" s="48"/>
      <c r="S26" s="48"/>
      <c r="T26" s="226"/>
      <c r="U26" s="436"/>
    </row>
    <row r="27" spans="2:21" x14ac:dyDescent="0.2">
      <c r="B27" s="74"/>
      <c r="C27" s="526" t="s">
        <v>439</v>
      </c>
      <c r="D27" s="526">
        <f>Long_ogive</f>
        <v>252</v>
      </c>
      <c r="E27" s="527" t="s">
        <v>446</v>
      </c>
      <c r="F27" s="528">
        <f>X_ail</f>
        <v>2002</v>
      </c>
      <c r="G27" s="526">
        <f>X_can</f>
        <v>942</v>
      </c>
      <c r="H27" s="518"/>
      <c r="I27" s="3"/>
      <c r="J27" s="2"/>
      <c r="N27" s="75"/>
      <c r="O27" s="273"/>
      <c r="P27" s="436"/>
      <c r="Q27" s="48"/>
      <c r="R27" s="48"/>
      <c r="S27" s="48"/>
      <c r="T27" s="226"/>
      <c r="U27" s="436"/>
    </row>
    <row r="28" spans="2:21" ht="13.5" thickBot="1" x14ac:dyDescent="0.25">
      <c r="B28" s="74"/>
      <c r="E28" s="95"/>
      <c r="N28" s="75"/>
      <c r="O28" s="2"/>
      <c r="P28" s="6"/>
      <c r="Q28" s="2"/>
      <c r="R28" s="48"/>
      <c r="S28" s="48"/>
      <c r="T28" s="48"/>
      <c r="U28" s="436"/>
    </row>
    <row r="29" spans="2:21" ht="13.5" thickBot="1" x14ac:dyDescent="0.25">
      <c r="B29" s="74"/>
      <c r="C29" s="677" t="s">
        <v>141</v>
      </c>
      <c r="D29" s="677" t="s">
        <v>133</v>
      </c>
      <c r="E29" s="677" t="s">
        <v>134</v>
      </c>
      <c r="F29" s="677"/>
      <c r="G29" s="677"/>
      <c r="H29" s="678" t="s">
        <v>135</v>
      </c>
      <c r="I29" s="678"/>
      <c r="J29" s="678"/>
      <c r="K29" s="678"/>
      <c r="L29" s="677" t="s">
        <v>136</v>
      </c>
      <c r="M29" s="677" t="s">
        <v>137</v>
      </c>
      <c r="N29" s="75"/>
      <c r="O29" s="273" t="s">
        <v>430</v>
      </c>
      <c r="P29" s="441">
        <f>n_ail</f>
        <v>80</v>
      </c>
      <c r="Q29" s="2"/>
      <c r="R29" s="48"/>
      <c r="S29" s="48"/>
      <c r="T29" s="48"/>
      <c r="U29" s="12" t="s">
        <v>434</v>
      </c>
    </row>
    <row r="30" spans="2:21" ht="13.5" thickBot="1" x14ac:dyDescent="0.25">
      <c r="B30" s="74"/>
      <c r="C30" s="677"/>
      <c r="D30" s="677"/>
      <c r="E30" s="677"/>
      <c r="F30" s="677"/>
      <c r="G30" s="677"/>
      <c r="H30" s="678" t="s">
        <v>138</v>
      </c>
      <c r="I30" s="678"/>
      <c r="J30" s="69" t="s">
        <v>139</v>
      </c>
      <c r="K30" s="70" t="s">
        <v>140</v>
      </c>
      <c r="L30" s="677"/>
      <c r="M30" s="677"/>
      <c r="N30" s="75"/>
      <c r="P30" s="12"/>
      <c r="R30" s="48"/>
      <c r="S30" s="48"/>
      <c r="T30" s="226" t="s">
        <v>432</v>
      </c>
      <c r="U30" s="523">
        <f>[0]!p_can</f>
        <v>120</v>
      </c>
    </row>
    <row r="31" spans="2:21" ht="13.5" thickBot="1" x14ac:dyDescent="0.25">
      <c r="B31" s="74"/>
      <c r="C31" s="83">
        <f>Beta_rampe</f>
        <v>80</v>
      </c>
      <c r="D31" s="84">
        <f ca="1">Portee_balistique</f>
        <v>770.52896740167785</v>
      </c>
      <c r="E31" s="676">
        <f ca="1">T_para+Dt_para</f>
        <v>109.627166423151</v>
      </c>
      <c r="F31" s="676"/>
      <c r="G31" s="676"/>
      <c r="H31" s="679">
        <f ca="1">Altitude_culmi</f>
        <v>1378.6942585540462</v>
      </c>
      <c r="I31" s="679"/>
      <c r="J31" s="85">
        <f ca="1">Temps_culmi</f>
        <v>15.599999999999962</v>
      </c>
      <c r="K31" s="86">
        <f ca="1">Vit_culmi</f>
        <v>22.807953943032299</v>
      </c>
      <c r="L31" s="84">
        <f ca="1">Acc_max</f>
        <v>151.55813559109322</v>
      </c>
      <c r="M31" s="86">
        <f ca="1">Vit_max</f>
        <v>219.40379934926966</v>
      </c>
      <c r="N31" s="75"/>
      <c r="O31" s="273" t="s">
        <v>436</v>
      </c>
      <c r="P31" s="441">
        <f>ep_ail</f>
        <v>3</v>
      </c>
      <c r="Q31" s="2"/>
      <c r="R31" s="48"/>
      <c r="S31" s="48"/>
      <c r="T31" s="226" t="s">
        <v>344</v>
      </c>
      <c r="U31" s="523">
        <f>[0]!m_can</f>
        <v>170</v>
      </c>
    </row>
    <row r="32" spans="2:21" ht="13.5" thickBot="1" x14ac:dyDescent="0.25">
      <c r="B32" s="74"/>
      <c r="C32" s="520"/>
      <c r="D32" s="242"/>
      <c r="E32" s="247"/>
      <c r="F32" s="247"/>
      <c r="G32" s="247"/>
      <c r="H32" s="283"/>
      <c r="I32" s="283"/>
      <c r="J32" s="247"/>
      <c r="K32" s="248"/>
      <c r="L32" s="242"/>
      <c r="M32" s="248"/>
      <c r="N32" s="75"/>
      <c r="O32" s="273" t="s">
        <v>435</v>
      </c>
      <c r="P32" s="522">
        <f>Q_ail</f>
        <v>4</v>
      </c>
      <c r="Q32" s="2"/>
      <c r="R32" s="48"/>
      <c r="S32" s="48"/>
      <c r="T32" s="226" t="s">
        <v>430</v>
      </c>
      <c r="U32" s="523">
        <f>[0]!n_can</f>
        <v>80</v>
      </c>
    </row>
    <row r="33" spans="2:21" ht="13.5" thickBot="1" x14ac:dyDescent="0.25">
      <c r="B33" s="74"/>
      <c r="D33" s="80"/>
      <c r="E33" s="81"/>
      <c r="F33" s="81"/>
      <c r="G33" s="81"/>
      <c r="H33" s="82"/>
      <c r="I33" s="82"/>
      <c r="J33" s="81"/>
      <c r="K33" s="76"/>
      <c r="L33" s="80"/>
      <c r="M33" s="76"/>
      <c r="N33" s="75"/>
      <c r="O33" s="2"/>
      <c r="Q33" s="2"/>
      <c r="R33" s="48"/>
      <c r="S33" s="48"/>
      <c r="T33" s="226" t="s">
        <v>431</v>
      </c>
      <c r="U33" s="523">
        <f>[0]!E_can</f>
        <v>107</v>
      </c>
    </row>
    <row r="34" spans="2:21" ht="13.5" thickBot="1" x14ac:dyDescent="0.25">
      <c r="B34" s="77"/>
      <c r="C34" s="78"/>
      <c r="D34" s="78"/>
      <c r="E34" s="78"/>
      <c r="F34" s="78"/>
      <c r="G34" s="78"/>
      <c r="H34" s="78"/>
      <c r="I34" s="78"/>
      <c r="J34" s="78"/>
      <c r="K34" s="78"/>
      <c r="L34" s="78"/>
      <c r="M34" s="78"/>
      <c r="N34" s="79"/>
      <c r="O34" s="2"/>
      <c r="P34" s="273" t="s">
        <v>431</v>
      </c>
      <c r="Q34" s="441">
        <f>E_ail</f>
        <v>140</v>
      </c>
      <c r="T34" s="226" t="s">
        <v>436</v>
      </c>
      <c r="U34" s="523">
        <f>[0]!ep_can</f>
        <v>3</v>
      </c>
    </row>
    <row r="35" spans="2:21" x14ac:dyDescent="0.2">
      <c r="O35" s="2"/>
      <c r="P35" s="6"/>
      <c r="Q35" s="6"/>
      <c r="T35" s="226" t="s">
        <v>435</v>
      </c>
      <c r="U35" s="523">
        <f>[0]!Q_can</f>
        <v>4</v>
      </c>
    </row>
    <row r="36" spans="2:21" ht="13.5" thickBot="1" x14ac:dyDescent="0.25">
      <c r="T36" s="2"/>
      <c r="U36" s="12"/>
    </row>
    <row r="37" spans="2:21" x14ac:dyDescent="0.2">
      <c r="B37" s="71"/>
      <c r="C37" s="72"/>
      <c r="D37" s="72"/>
      <c r="E37" s="72"/>
      <c r="F37" s="72"/>
      <c r="G37" s="72"/>
      <c r="H37" s="72"/>
      <c r="I37" s="72"/>
      <c r="J37" s="72"/>
      <c r="K37" s="72"/>
      <c r="L37" s="72"/>
      <c r="M37" s="72"/>
      <c r="N37" s="73"/>
      <c r="T37" s="2"/>
    </row>
    <row r="38" spans="2:21" x14ac:dyDescent="0.2">
      <c r="B38" s="74"/>
      <c r="D38" s="2" t="s">
        <v>195</v>
      </c>
      <c r="H38" s="273" t="s">
        <v>563</v>
      </c>
      <c r="I38" t="str">
        <f>Matricule</f>
        <v>FX0</v>
      </c>
      <c r="N38" s="75"/>
    </row>
    <row r="39" spans="2:21" x14ac:dyDescent="0.2">
      <c r="B39" s="74"/>
      <c r="D39" s="2"/>
      <c r="N39" s="75"/>
    </row>
    <row r="40" spans="2:21" x14ac:dyDescent="0.2">
      <c r="B40" s="74"/>
      <c r="D40" s="275" t="s">
        <v>149</v>
      </c>
      <c r="E40" s="246">
        <f>D_ref</f>
        <v>99</v>
      </c>
      <c r="F40" s="265"/>
      <c r="G40" s="265"/>
      <c r="H40" s="261" t="s">
        <v>198</v>
      </c>
      <c r="I40" s="261" t="s">
        <v>199</v>
      </c>
      <c r="J40" s="262" t="s">
        <v>200</v>
      </c>
      <c r="N40" s="75"/>
    </row>
    <row r="41" spans="2:21" x14ac:dyDescent="0.2">
      <c r="B41" s="74"/>
      <c r="D41" s="276" t="s">
        <v>147</v>
      </c>
      <c r="E41" s="6">
        <f>Long_ogive</f>
        <v>252</v>
      </c>
      <c r="F41" s="2"/>
      <c r="G41" s="2" t="s">
        <v>201</v>
      </c>
      <c r="H41" s="6">
        <f>MasseSans</f>
        <v>6.8</v>
      </c>
      <c r="I41" s="6">
        <f ca="1">MasseVide</f>
        <v>7.45</v>
      </c>
      <c r="J41" s="244">
        <f ca="1">MassePlein</f>
        <v>8.4320000000000004</v>
      </c>
      <c r="N41" s="75"/>
    </row>
    <row r="42" spans="2:21" x14ac:dyDescent="0.2">
      <c r="B42" s="74"/>
      <c r="D42" s="276" t="s">
        <v>150</v>
      </c>
      <c r="E42" s="6">
        <f>X_ail-m_ail</f>
        <v>1812</v>
      </c>
      <c r="F42" s="255"/>
      <c r="G42" s="255" t="s">
        <v>218</v>
      </c>
      <c r="H42" s="263">
        <f>XcgSans</f>
        <v>1016</v>
      </c>
      <c r="I42" s="263">
        <f ca="1">XcgVide</f>
        <v>1084.7516778523491</v>
      </c>
      <c r="J42" s="245">
        <f ca="1">XcgPlein</f>
        <v>1170.4516129032256</v>
      </c>
      <c r="N42" s="75"/>
    </row>
    <row r="43" spans="2:21" x14ac:dyDescent="0.2">
      <c r="B43" s="74"/>
      <c r="D43" s="276" t="str">
        <f>IF(Lang="Français","Emplanture 'm'",IF(Lang="English","Root edge  'm'",""))</f>
        <v>Emplanture 'm'</v>
      </c>
      <c r="E43" s="244">
        <f>m_ail</f>
        <v>190</v>
      </c>
      <c r="N43" s="75"/>
    </row>
    <row r="44" spans="2:21" x14ac:dyDescent="0.2">
      <c r="B44" s="74"/>
      <c r="D44" s="276" t="str">
        <f>IF(Lang="Français","Saumon      'n'",IF(Lang="English","Tip edge    'n'",""))</f>
        <v>Saumon      'n'</v>
      </c>
      <c r="E44" s="244">
        <f>n_ail</f>
        <v>80</v>
      </c>
      <c r="F44" s="246" t="s">
        <v>202</v>
      </c>
      <c r="G44" s="246" t="s">
        <v>207</v>
      </c>
      <c r="H44" s="672">
        <f ca="1">Vsortie_de_rampe</f>
        <v>33.046249345329279</v>
      </c>
      <c r="I44" s="673"/>
      <c r="N44" s="75"/>
    </row>
    <row r="45" spans="2:21" x14ac:dyDescent="0.2">
      <c r="B45" s="74"/>
      <c r="D45" s="276" t="str">
        <f>IF(Lang="Français","Flèche        'p'",IF(Lang="English","Offset         'p'",""))</f>
        <v>Flèche        'p'</v>
      </c>
      <c r="E45" s="244">
        <f>p_ail</f>
        <v>180</v>
      </c>
      <c r="F45" s="6" t="s">
        <v>203</v>
      </c>
      <c r="G45" s="6" t="s">
        <v>208</v>
      </c>
      <c r="H45" s="674">
        <f>Finesse</f>
        <v>20.727272727272727</v>
      </c>
      <c r="I45" s="675"/>
      <c r="N45" s="75"/>
    </row>
    <row r="46" spans="2:21" x14ac:dyDescent="0.2">
      <c r="B46" s="74"/>
      <c r="D46" s="276" t="str">
        <f>IF(Lang="Français","Envergure   'E'",IF(Lang="English","Span          'E'",""))</f>
        <v>Envergure   'E'</v>
      </c>
      <c r="E46" s="244">
        <f>E_ail</f>
        <v>140</v>
      </c>
      <c r="F46" s="6" t="s">
        <v>204</v>
      </c>
      <c r="G46" s="6" t="s">
        <v>209</v>
      </c>
      <c r="H46" s="674">
        <f>Cn</f>
        <v>21.750417214765324</v>
      </c>
      <c r="I46" s="675"/>
      <c r="N46" s="75"/>
    </row>
    <row r="47" spans="2:21" x14ac:dyDescent="0.2">
      <c r="B47" s="74"/>
      <c r="D47" s="276" t="s">
        <v>144</v>
      </c>
      <c r="E47" s="244">
        <f>ep_ail</f>
        <v>3</v>
      </c>
      <c r="F47" s="6" t="s">
        <v>205</v>
      </c>
      <c r="G47" s="6" t="s">
        <v>210</v>
      </c>
      <c r="H47" s="247">
        <f ca="1">MS_min</f>
        <v>1.2201184324328413</v>
      </c>
      <c r="I47" s="254">
        <f ca="1">MS_max</f>
        <v>3.1783043879582542</v>
      </c>
      <c r="N47" s="75"/>
    </row>
    <row r="48" spans="2:21" x14ac:dyDescent="0.2">
      <c r="B48" s="74"/>
      <c r="D48" s="276" t="s">
        <v>145</v>
      </c>
      <c r="E48" s="244">
        <f>Q_ail</f>
        <v>4</v>
      </c>
      <c r="F48" s="274" t="s">
        <v>206</v>
      </c>
      <c r="G48" s="274" t="s">
        <v>211</v>
      </c>
      <c r="H48" s="256">
        <f ca="1">MS_Cn_min</f>
        <v>26.538084956839754</v>
      </c>
      <c r="I48" s="264">
        <f ca="1">MS_Cn_max</f>
        <v>83.344652036931464</v>
      </c>
      <c r="N48" s="75"/>
    </row>
    <row r="49" spans="2:14" x14ac:dyDescent="0.2">
      <c r="B49" s="74"/>
      <c r="D49" s="276" t="s">
        <v>148</v>
      </c>
      <c r="E49" s="244">
        <f ca="1">XpropuRef-Long_propu</f>
        <v>1564</v>
      </c>
      <c r="N49" s="75"/>
    </row>
    <row r="50" spans="2:14" x14ac:dyDescent="0.2">
      <c r="B50" s="74"/>
      <c r="D50" s="276" t="s">
        <v>146</v>
      </c>
      <c r="E50" s="272" t="str">
        <f>Forme_ogive</f>
        <v>Conique (droite)</v>
      </c>
      <c r="F50" s="273" t="s">
        <v>183</v>
      </c>
      <c r="G50" s="275" t="s">
        <v>5</v>
      </c>
      <c r="H50" s="246">
        <f>Cx</f>
        <v>0.7</v>
      </c>
      <c r="I50" s="265"/>
      <c r="J50" s="266"/>
      <c r="N50" s="75"/>
    </row>
    <row r="51" spans="2:14" x14ac:dyDescent="0.2">
      <c r="B51" s="74"/>
      <c r="D51" s="276" t="s">
        <v>142</v>
      </c>
      <c r="E51" s="244">
        <f>Long_tot</f>
        <v>2052</v>
      </c>
      <c r="G51" s="276" t="s">
        <v>212</v>
      </c>
      <c r="H51" s="6">
        <f>Sref</f>
        <v>9.3776873994583908E-3</v>
      </c>
      <c r="J51" s="267"/>
      <c r="N51" s="75"/>
    </row>
    <row r="52" spans="2:14" x14ac:dyDescent="0.2">
      <c r="B52" s="74"/>
      <c r="D52" s="276" t="s">
        <v>196</v>
      </c>
      <c r="E52" s="244">
        <f>MAX(D_ref,D_ail,D_og,(RIGHT(Nb_diam,1)=",")*MAX(D1j,D1r,D2j,D2r))</f>
        <v>104</v>
      </c>
      <c r="G52" s="276" t="s">
        <v>213</v>
      </c>
      <c r="H52" s="6">
        <f>Beta_rampe</f>
        <v>80</v>
      </c>
      <c r="I52" s="6">
        <v>80</v>
      </c>
      <c r="J52" s="244">
        <v>90</v>
      </c>
      <c r="N52" s="75"/>
    </row>
    <row r="53" spans="2:14" x14ac:dyDescent="0.2">
      <c r="B53" s="74"/>
      <c r="D53" s="277" t="s">
        <v>197</v>
      </c>
      <c r="E53" s="260">
        <f>E_ail*2+D_ail</f>
        <v>384</v>
      </c>
      <c r="G53" s="278" t="s">
        <v>215</v>
      </c>
      <c r="H53" s="247">
        <f ca="1">Temps_culmi</f>
        <v>15.599999999999962</v>
      </c>
      <c r="I53" s="259"/>
      <c r="J53" s="268"/>
      <c r="N53" s="75"/>
    </row>
    <row r="54" spans="2:14" x14ac:dyDescent="0.2">
      <c r="B54" s="74"/>
      <c r="G54" s="278" t="s">
        <v>216</v>
      </c>
      <c r="H54" s="242">
        <f ca="1">Altitude_culmi</f>
        <v>1378.6942585540462</v>
      </c>
      <c r="I54" s="259"/>
      <c r="J54" s="268"/>
      <c r="N54" s="75"/>
    </row>
    <row r="55" spans="2:14" x14ac:dyDescent="0.2">
      <c r="B55" s="74"/>
      <c r="C55" s="275" t="s">
        <v>233</v>
      </c>
      <c r="D55" s="249" t="s">
        <v>60</v>
      </c>
      <c r="E55" s="243">
        <f>Long_tot</f>
        <v>2052</v>
      </c>
      <c r="G55" s="278" t="s">
        <v>217</v>
      </c>
      <c r="H55" s="248">
        <f ca="1">Vit_culmi</f>
        <v>22.807953943032299</v>
      </c>
      <c r="I55" s="259"/>
      <c r="J55" s="268"/>
      <c r="N55" s="75"/>
    </row>
    <row r="56" spans="2:14" x14ac:dyDescent="0.2">
      <c r="B56" s="74"/>
      <c r="C56" s="276"/>
      <c r="D56" s="2" t="s">
        <v>219</v>
      </c>
      <c r="E56" s="244">
        <f>MAX(D_ref,D_ail,D_og,(RIGHT(Nb_diam,1)=",")*MAX(D1j,D1r,D2j,D2r))</f>
        <v>104</v>
      </c>
      <c r="G56" s="278" t="s">
        <v>133</v>
      </c>
      <c r="H56" s="242">
        <f ca="1">Portee_balistique</f>
        <v>770.52896740167785</v>
      </c>
      <c r="I56" s="259"/>
      <c r="J56" s="268"/>
      <c r="N56" s="75"/>
    </row>
    <row r="57" spans="2:14" x14ac:dyDescent="0.2">
      <c r="B57" s="74"/>
      <c r="C57" s="276"/>
      <c r="D57" s="2" t="s">
        <v>220</v>
      </c>
      <c r="E57" s="244">
        <f>E_ail*2+D_ail</f>
        <v>384</v>
      </c>
      <c r="G57" s="278" t="s">
        <v>214</v>
      </c>
      <c r="H57" s="242">
        <f ca="1">T_balistique</f>
        <v>34.50000000000022</v>
      </c>
      <c r="I57" s="259"/>
      <c r="J57" s="268"/>
      <c r="N57" s="75"/>
    </row>
    <row r="58" spans="2:14" x14ac:dyDescent="0.2">
      <c r="B58" s="74"/>
      <c r="C58" s="276"/>
      <c r="D58" s="2" t="s">
        <v>221</v>
      </c>
      <c r="E58" s="244">
        <f ca="1">MassePlein</f>
        <v>8.4320000000000004</v>
      </c>
      <c r="G58" s="278" t="s">
        <v>137</v>
      </c>
      <c r="H58" s="248">
        <f ca="1">Vit_max</f>
        <v>219.40379934926966</v>
      </c>
      <c r="I58" s="259"/>
      <c r="J58" s="268"/>
      <c r="N58" s="75"/>
    </row>
    <row r="59" spans="2:14" x14ac:dyDescent="0.2">
      <c r="B59" s="74"/>
      <c r="C59" s="277" t="s">
        <v>234</v>
      </c>
      <c r="D59" s="255" t="s">
        <v>145</v>
      </c>
      <c r="E59" s="260">
        <f>Q_ail</f>
        <v>4</v>
      </c>
      <c r="G59" s="278" t="s">
        <v>136</v>
      </c>
      <c r="H59" s="242">
        <f ca="1">Acc_max</f>
        <v>151.55813559109322</v>
      </c>
      <c r="I59" s="259"/>
      <c r="J59" s="268"/>
      <c r="N59" s="75"/>
    </row>
    <row r="60" spans="2:14" x14ac:dyDescent="0.2">
      <c r="B60" s="74"/>
      <c r="C60" s="12"/>
      <c r="G60" s="269" t="s">
        <v>222</v>
      </c>
      <c r="H60" s="270"/>
      <c r="I60" s="270"/>
      <c r="J60" s="271"/>
      <c r="N60" s="75"/>
    </row>
    <row r="61" spans="2:14" x14ac:dyDescent="0.2">
      <c r="B61" s="74"/>
      <c r="C61" s="275"/>
      <c r="D61" s="249"/>
      <c r="E61" s="246" t="s">
        <v>226</v>
      </c>
      <c r="F61" s="243" t="s">
        <v>227</v>
      </c>
      <c r="G61" s="2"/>
      <c r="H61" s="2"/>
      <c r="I61" s="2"/>
      <c r="J61" s="2"/>
      <c r="K61" s="2"/>
      <c r="N61" s="75"/>
    </row>
    <row r="62" spans="2:14" x14ac:dyDescent="0.2">
      <c r="B62" s="74"/>
      <c r="C62" s="276" t="s">
        <v>235</v>
      </c>
      <c r="D62" s="2" t="s">
        <v>225</v>
      </c>
      <c r="E62" s="242">
        <f ca="1">2*Acc_max*MassePlein</f>
        <v>2555.8763986081963</v>
      </c>
      <c r="F62" s="280">
        <f ca="1">E62/9.81</f>
        <v>260.53785918534112</v>
      </c>
      <c r="H62" s="2"/>
      <c r="I62" s="2"/>
      <c r="J62" s="2"/>
      <c r="K62" s="2"/>
      <c r="N62" s="75"/>
    </row>
    <row r="63" spans="2:14" x14ac:dyDescent="0.2">
      <c r="B63" s="74"/>
      <c r="C63" s="276"/>
      <c r="D63" s="2" t="s">
        <v>223</v>
      </c>
      <c r="E63" s="242">
        <f ca="1">2*Acc_max*Masse_ail</f>
        <v>34.373385152059946</v>
      </c>
      <c r="F63" s="248">
        <f ca="1">E63/9.81</f>
        <v>3.5039128595372011</v>
      </c>
      <c r="G63" s="246" t="s">
        <v>229</v>
      </c>
      <c r="H63" s="288">
        <f>S_ail*(ep_ail/1000)*2000</f>
        <v>0.1134</v>
      </c>
      <c r="I63" s="2"/>
      <c r="J63" s="2"/>
      <c r="K63" s="2"/>
      <c r="N63" s="75"/>
    </row>
    <row r="64" spans="2:14" x14ac:dyDescent="0.2">
      <c r="B64" s="74"/>
      <c r="C64" s="277"/>
      <c r="D64" s="255" t="s">
        <v>224</v>
      </c>
      <c r="E64" s="263">
        <f ca="1">0.104*S_ail*Vit_max^2</f>
        <v>94.620106203179191</v>
      </c>
      <c r="F64" s="281">
        <f ca="1">E64/9.81</f>
        <v>9.6452707648500695</v>
      </c>
      <c r="G64" s="274" t="s">
        <v>228</v>
      </c>
      <c r="H64" s="289">
        <f>(E_ail*(m_ail+n_ail)/2)/10^6</f>
        <v>1.89E-2</v>
      </c>
      <c r="I64" s="2"/>
      <c r="J64" s="2"/>
      <c r="K64" s="2"/>
      <c r="N64" s="75"/>
    </row>
    <row r="65" spans="2:14" x14ac:dyDescent="0.2">
      <c r="B65" s="74"/>
      <c r="C65" s="282" t="s">
        <v>242</v>
      </c>
      <c r="D65" s="285" t="s">
        <v>240</v>
      </c>
      <c r="E65" s="286">
        <f ca="1">2*Acc_max*H65</f>
        <v>1277.9381993040981</v>
      </c>
      <c r="F65" s="286">
        <f ca="1">E65/9.81</f>
        <v>130.26892959267056</v>
      </c>
      <c r="G65" s="287" t="s">
        <v>241</v>
      </c>
      <c r="H65" s="279">
        <f ca="1">E58/2</f>
        <v>4.2160000000000002</v>
      </c>
      <c r="I65" s="2"/>
      <c r="J65" s="2"/>
      <c r="K65" s="2"/>
      <c r="N65" s="75"/>
    </row>
    <row r="66" spans="2:14" x14ac:dyDescent="0.2">
      <c r="B66" s="74"/>
      <c r="C66" s="6"/>
      <c r="D66" s="2"/>
      <c r="E66" s="2"/>
      <c r="F66" s="2"/>
      <c r="G66" s="2"/>
      <c r="H66" s="2"/>
      <c r="I66" s="2"/>
      <c r="J66" s="2"/>
      <c r="K66" s="2"/>
      <c r="N66" s="75"/>
    </row>
    <row r="67" spans="2:14" x14ac:dyDescent="0.2">
      <c r="B67" s="74"/>
      <c r="F67" s="275" t="s">
        <v>232</v>
      </c>
      <c r="G67" s="249" t="s">
        <v>230</v>
      </c>
      <c r="H67" s="250">
        <f>T_para</f>
        <v>15.6</v>
      </c>
      <c r="I67" s="251">
        <f ca="1">Temps_culmi</f>
        <v>15.599999999999962</v>
      </c>
      <c r="J67" s="2"/>
      <c r="K67" s="2"/>
      <c r="N67" s="75"/>
    </row>
    <row r="68" spans="2:14" x14ac:dyDescent="0.2">
      <c r="B68" s="74"/>
      <c r="C68" s="6"/>
      <c r="D68" s="2"/>
      <c r="E68" s="2"/>
      <c r="F68" s="275" t="s">
        <v>231</v>
      </c>
      <c r="G68" s="249" t="s">
        <v>129</v>
      </c>
      <c r="H68" s="250">
        <f ca="1">V_para</f>
        <v>14.662722604544951</v>
      </c>
      <c r="I68" s="251">
        <f>V_satellite</f>
        <v>12.655562623057198</v>
      </c>
      <c r="J68" s="2"/>
      <c r="K68" s="2"/>
      <c r="N68" s="75"/>
    </row>
    <row r="69" spans="2:14" x14ac:dyDescent="0.2">
      <c r="B69" s="74"/>
      <c r="C69" s="6"/>
      <c r="D69" s="2"/>
      <c r="E69" s="2"/>
      <c r="F69" s="276"/>
      <c r="G69" s="2" t="s">
        <v>237</v>
      </c>
      <c r="H69" s="247">
        <f>S_para</f>
        <v>0.48049999999999998</v>
      </c>
      <c r="I69" s="253">
        <f>S_satellite</f>
        <v>0.1</v>
      </c>
      <c r="J69" s="2"/>
      <c r="K69" s="2"/>
      <c r="N69" s="75"/>
    </row>
    <row r="70" spans="2:14" x14ac:dyDescent="0.2">
      <c r="B70" s="74"/>
      <c r="C70" s="226"/>
      <c r="D70" s="2"/>
      <c r="F70" s="276"/>
      <c r="G70" s="2" t="s">
        <v>236</v>
      </c>
      <c r="H70" s="247">
        <f ca="1">V_ouverture</f>
        <v>22.807953943032299</v>
      </c>
      <c r="I70" s="253">
        <f ca="1">V_ouv_sat</f>
        <v>174.11119928081908</v>
      </c>
      <c r="N70" s="75"/>
    </row>
    <row r="71" spans="2:14" x14ac:dyDescent="0.2">
      <c r="B71" s="74"/>
      <c r="C71" s="226"/>
      <c r="F71" s="276"/>
      <c r="G71" s="2" t="s">
        <v>201</v>
      </c>
      <c r="H71" s="247">
        <f ca="1">m_vide</f>
        <v>6.45</v>
      </c>
      <c r="I71" s="253">
        <f>m_satellite</f>
        <v>1</v>
      </c>
      <c r="N71" s="75"/>
    </row>
    <row r="72" spans="2:14" x14ac:dyDescent="0.2">
      <c r="B72" s="74"/>
      <c r="C72" s="226"/>
      <c r="F72" s="276"/>
      <c r="G72" s="2" t="s">
        <v>238</v>
      </c>
      <c r="H72" s="283">
        <f ca="1">1/2*Rho_moyen*S_para*V_ouverture^2</f>
        <v>153.09892443802929</v>
      </c>
      <c r="I72" s="284">
        <f ca="1">1/2*Rho_moyen*S_satellite*V_ouv_sat^2</f>
        <v>1856.7759700440622</v>
      </c>
      <c r="N72" s="75"/>
    </row>
    <row r="73" spans="2:14" x14ac:dyDescent="0.2">
      <c r="B73" s="74"/>
      <c r="D73" s="2"/>
      <c r="F73" s="277"/>
      <c r="G73" s="255" t="s">
        <v>239</v>
      </c>
      <c r="H73" s="256">
        <f ca="1">H72/9.81</f>
        <v>15.606414315803189</v>
      </c>
      <c r="I73" s="257">
        <f ca="1">I72/9.81</f>
        <v>189.27379918899715</v>
      </c>
      <c r="N73" s="75"/>
    </row>
    <row r="74" spans="2:14" ht="13.5" thickBot="1" x14ac:dyDescent="0.25">
      <c r="B74" s="77"/>
      <c r="C74" s="78"/>
      <c r="D74" s="78"/>
      <c r="E74" s="78"/>
      <c r="F74" s="78"/>
      <c r="G74" s="78"/>
      <c r="H74" s="78"/>
      <c r="I74" s="78"/>
      <c r="J74" s="78"/>
      <c r="K74" s="78"/>
      <c r="L74" s="78"/>
      <c r="M74" s="78"/>
      <c r="N74" s="79"/>
    </row>
    <row r="76" spans="2:14" ht="13.5" thickBot="1" x14ac:dyDescent="0.25"/>
    <row r="77" spans="2:14" x14ac:dyDescent="0.2">
      <c r="B77" s="71"/>
      <c r="C77" s="72"/>
      <c r="D77" s="72"/>
      <c r="E77" s="72"/>
      <c r="F77" s="72"/>
      <c r="G77" s="72"/>
      <c r="H77" s="72"/>
      <c r="I77" s="72"/>
      <c r="J77" s="72"/>
      <c r="K77" s="72"/>
      <c r="L77" s="72"/>
      <c r="M77" s="72"/>
      <c r="N77" s="73"/>
    </row>
    <row r="78" spans="2:14" x14ac:dyDescent="0.2">
      <c r="B78" s="74"/>
      <c r="D78" s="2" t="s">
        <v>333</v>
      </c>
      <c r="N78" s="75"/>
    </row>
    <row r="79" spans="2:14" ht="12.75" customHeight="1" x14ac:dyDescent="0.25">
      <c r="B79" s="74"/>
      <c r="E79" s="48"/>
      <c r="F79" s="48"/>
      <c r="G79" s="435" t="s">
        <v>339</v>
      </c>
      <c r="I79" s="448"/>
      <c r="J79" s="48"/>
      <c r="K79" s="48"/>
      <c r="N79" s="75"/>
    </row>
    <row r="80" spans="2:14" x14ac:dyDescent="0.2">
      <c r="B80" s="74"/>
      <c r="C80" s="275" t="s">
        <v>334</v>
      </c>
      <c r="D80" s="243" t="str">
        <f>Nom</f>
        <v>SP02</v>
      </c>
      <c r="E80" s="48"/>
      <c r="F80" s="48"/>
      <c r="G80" s="48"/>
      <c r="H80" s="48"/>
      <c r="I80" s="48"/>
      <c r="J80" s="48"/>
      <c r="K80" s="48"/>
      <c r="N80" s="75"/>
    </row>
    <row r="81" spans="2:14" ht="13.5" thickBot="1" x14ac:dyDescent="0.25">
      <c r="B81" s="74"/>
      <c r="C81" s="276" t="s">
        <v>4</v>
      </c>
      <c r="D81" s="244" t="str">
        <f>Club</f>
        <v>L'AéroIPSA</v>
      </c>
      <c r="E81" s="48"/>
      <c r="F81" s="48"/>
      <c r="G81" s="48"/>
      <c r="H81" s="48"/>
      <c r="I81" s="48"/>
      <c r="J81" s="48"/>
      <c r="K81" s="48"/>
      <c r="N81" s="75"/>
    </row>
    <row r="82" spans="2:14" ht="13.5" thickBot="1" x14ac:dyDescent="0.25">
      <c r="B82" s="74"/>
      <c r="C82" s="432" t="s">
        <v>335</v>
      </c>
      <c r="D82" s="244" t="s">
        <v>14</v>
      </c>
      <c r="E82" s="273" t="s">
        <v>340</v>
      </c>
      <c r="F82" s="441">
        <f>Long_ogive</f>
        <v>252</v>
      </c>
      <c r="G82" s="48"/>
      <c r="H82" s="48"/>
      <c r="I82" s="48"/>
      <c r="J82" s="48"/>
      <c r="K82" s="48"/>
      <c r="N82" s="75"/>
    </row>
    <row r="83" spans="2:14" x14ac:dyDescent="0.2">
      <c r="B83" s="74"/>
      <c r="C83" s="277" t="s">
        <v>336</v>
      </c>
      <c r="D83" s="433">
        <f ca="1">TODAY()</f>
        <v>45931</v>
      </c>
      <c r="E83" s="48"/>
      <c r="F83" s="436"/>
      <c r="G83" s="48"/>
      <c r="H83" s="48"/>
      <c r="I83" s="48"/>
      <c r="J83" s="48"/>
      <c r="K83" s="48"/>
      <c r="N83" s="75"/>
    </row>
    <row r="84" spans="2:14" ht="13.5" thickBot="1" x14ac:dyDescent="0.25">
      <c r="B84" s="74"/>
      <c r="E84" s="48"/>
      <c r="F84" s="436"/>
      <c r="G84" s="48"/>
      <c r="H84" s="48"/>
      <c r="I84" s="48"/>
      <c r="J84" s="440">
        <f>IF(RIGHT(Nb_diam,1)=",", "", X_j)</f>
        <v>942</v>
      </c>
      <c r="K84" s="48"/>
      <c r="N84" s="75"/>
    </row>
    <row r="85" spans="2:14" ht="13.5" thickBot="1" x14ac:dyDescent="0.25">
      <c r="B85" s="74"/>
      <c r="C85" s="275" t="s">
        <v>337</v>
      </c>
      <c r="D85" s="243" t="str">
        <f>Propu</f>
        <v>Pro54-5G WT</v>
      </c>
      <c r="E85" s="273" t="s">
        <v>341</v>
      </c>
      <c r="F85" s="441">
        <f>D_og</f>
        <v>84</v>
      </c>
      <c r="G85" s="48"/>
      <c r="H85" s="48"/>
      <c r="I85" s="48"/>
      <c r="J85" s="436"/>
      <c r="K85" s="48"/>
      <c r="N85" s="75"/>
    </row>
    <row r="86" spans="2:14" x14ac:dyDescent="0.2">
      <c r="B86" s="74"/>
      <c r="C86" s="277" t="s">
        <v>338</v>
      </c>
      <c r="D86" s="260" t="s">
        <v>14</v>
      </c>
      <c r="E86" s="48"/>
      <c r="F86" s="436"/>
      <c r="G86" s="48"/>
      <c r="H86" s="48"/>
      <c r="I86" s="48"/>
      <c r="J86" s="440">
        <f>IF(RIGHT(Nb_diam,1)=",", "", X_r)</f>
        <v>2002</v>
      </c>
      <c r="K86" s="48"/>
      <c r="N86" s="75"/>
    </row>
    <row r="87" spans="2:14" x14ac:dyDescent="0.2">
      <c r="B87" s="74"/>
      <c r="E87" s="48"/>
      <c r="F87" s="436"/>
      <c r="G87" s="48"/>
      <c r="H87" s="48"/>
      <c r="I87" s="48"/>
      <c r="J87" s="436"/>
      <c r="K87" s="48"/>
      <c r="N87" s="75"/>
    </row>
    <row r="88" spans="2:14" x14ac:dyDescent="0.2">
      <c r="B88" s="74"/>
      <c r="E88" s="48"/>
      <c r="F88" s="436"/>
      <c r="G88" s="48"/>
      <c r="H88" s="48"/>
      <c r="I88" s="48"/>
      <c r="J88" s="440">
        <f>IF(RIGHT(Nb_diam,1)=",", "", l_j)</f>
        <v>60</v>
      </c>
      <c r="K88" s="48"/>
      <c r="N88" s="75"/>
    </row>
    <row r="89" spans="2:14" ht="13.5" thickBot="1" x14ac:dyDescent="0.25">
      <c r="B89" s="74"/>
      <c r="E89" s="48"/>
      <c r="F89" s="436"/>
      <c r="G89" s="48"/>
      <c r="H89" s="48"/>
      <c r="I89" s="48"/>
      <c r="J89" s="436"/>
      <c r="K89" s="48"/>
      <c r="N89" s="75"/>
    </row>
    <row r="90" spans="2:14" ht="13.5" thickBot="1" x14ac:dyDescent="0.25">
      <c r="B90" s="74"/>
      <c r="E90" s="434" t="s">
        <v>342</v>
      </c>
      <c r="F90" s="440">
        <f>IF(RIGHT(Nb_diam,1)=",", "", D2j)</f>
        <v>104</v>
      </c>
      <c r="G90" s="48"/>
      <c r="H90" s="48"/>
      <c r="I90" s="48"/>
      <c r="J90" s="441">
        <f>X_ail-m_ail</f>
        <v>1812</v>
      </c>
      <c r="K90" s="2"/>
      <c r="N90" s="75"/>
    </row>
    <row r="91" spans="2:14" x14ac:dyDescent="0.2">
      <c r="B91" s="74"/>
      <c r="E91" s="48"/>
      <c r="F91" s="436"/>
      <c r="G91" s="48"/>
      <c r="H91" s="48"/>
      <c r="I91" s="48"/>
      <c r="J91" s="436"/>
      <c r="K91" s="48"/>
      <c r="N91" s="75"/>
    </row>
    <row r="92" spans="2:14" x14ac:dyDescent="0.2">
      <c r="B92" s="74"/>
      <c r="E92" s="48"/>
      <c r="F92" s="436"/>
      <c r="G92" s="48"/>
      <c r="H92" s="48"/>
      <c r="I92" s="48"/>
      <c r="J92" s="440">
        <f>IF(RIGHT(Nb_diam,1)=",", "", l_r)</f>
        <v>40</v>
      </c>
      <c r="K92" s="48"/>
      <c r="N92" s="75"/>
    </row>
    <row r="93" spans="2:14" x14ac:dyDescent="0.2">
      <c r="B93" s="74"/>
      <c r="E93" s="48"/>
      <c r="F93" s="436"/>
      <c r="G93" s="48"/>
      <c r="H93" s="48"/>
      <c r="I93" s="48"/>
      <c r="J93" s="436"/>
      <c r="K93" s="48"/>
      <c r="N93" s="75"/>
    </row>
    <row r="94" spans="2:14" x14ac:dyDescent="0.2">
      <c r="B94" s="74"/>
      <c r="E94" s="434" t="s">
        <v>343</v>
      </c>
      <c r="F94" s="440">
        <f>IF(RIGHT(Nb_diam,1)=",", "", D2r)</f>
        <v>84</v>
      </c>
      <c r="G94" s="48"/>
      <c r="H94" s="48"/>
      <c r="I94" s="48"/>
      <c r="J94" s="436"/>
      <c r="K94" s="48"/>
      <c r="N94" s="75"/>
    </row>
    <row r="95" spans="2:14" x14ac:dyDescent="0.2">
      <c r="B95" s="74"/>
      <c r="E95" s="48"/>
      <c r="F95" s="436"/>
      <c r="G95" s="48"/>
      <c r="H95" s="48"/>
      <c r="I95" s="48"/>
      <c r="J95" s="436"/>
      <c r="K95" s="48"/>
      <c r="N95" s="75"/>
    </row>
    <row r="96" spans="2:14" ht="13.5" thickBot="1" x14ac:dyDescent="0.25">
      <c r="B96" s="74"/>
      <c r="E96" s="48"/>
      <c r="F96" s="436"/>
      <c r="G96" s="48"/>
      <c r="H96" s="48"/>
      <c r="I96" s="48"/>
      <c r="J96" s="436"/>
      <c r="K96" s="48"/>
      <c r="N96" s="75"/>
    </row>
    <row r="97" spans="2:14" ht="13.5" thickBot="1" x14ac:dyDescent="0.25">
      <c r="B97" s="74"/>
      <c r="E97" s="273" t="s">
        <v>344</v>
      </c>
      <c r="F97" s="441">
        <f>m_ail</f>
        <v>190</v>
      </c>
      <c r="G97" s="48"/>
      <c r="H97" s="48"/>
      <c r="I97" s="48"/>
      <c r="J97" s="441">
        <f>p_ail</f>
        <v>180</v>
      </c>
      <c r="K97" s="2"/>
      <c r="N97" s="75"/>
    </row>
    <row r="98" spans="2:14" x14ac:dyDescent="0.2">
      <c r="B98" s="74"/>
      <c r="E98" s="48"/>
      <c r="F98" s="48"/>
      <c r="G98" s="48"/>
      <c r="H98" s="48"/>
      <c r="I98" s="48"/>
      <c r="J98" s="436"/>
      <c r="K98" s="48"/>
      <c r="N98" s="75"/>
    </row>
    <row r="99" spans="2:14" x14ac:dyDescent="0.2">
      <c r="B99" s="74"/>
      <c r="E99" s="48"/>
      <c r="F99" s="48"/>
      <c r="G99" s="48"/>
      <c r="H99" s="48"/>
      <c r="I99" s="48"/>
      <c r="J99" s="436"/>
      <c r="K99" s="48"/>
      <c r="N99" s="75"/>
    </row>
    <row r="100" spans="2:14" ht="13.5" thickBot="1" x14ac:dyDescent="0.25">
      <c r="B100" s="74"/>
      <c r="D100" s="429" t="s">
        <v>346</v>
      </c>
      <c r="E100" s="246">
        <f>Q_ail</f>
        <v>4</v>
      </c>
      <c r="F100" s="430"/>
      <c r="G100" s="48"/>
      <c r="H100" s="48"/>
      <c r="I100" s="48"/>
      <c r="J100" s="436"/>
      <c r="K100" s="48"/>
      <c r="N100" s="75"/>
    </row>
    <row r="101" spans="2:14" ht="13.5" thickBot="1" x14ac:dyDescent="0.25">
      <c r="B101" s="74"/>
      <c r="D101" s="437" t="s">
        <v>350</v>
      </c>
      <c r="E101" s="6">
        <f ca="1">XpropuRef-Long_propu</f>
        <v>1564</v>
      </c>
      <c r="F101" s="252"/>
      <c r="G101" s="48"/>
      <c r="H101" s="48"/>
      <c r="I101" s="48"/>
      <c r="J101" s="441">
        <f>n_ail</f>
        <v>80</v>
      </c>
      <c r="K101" s="2"/>
      <c r="N101" s="75"/>
    </row>
    <row r="102" spans="2:14" x14ac:dyDescent="0.2">
      <c r="B102" s="74"/>
      <c r="D102" s="437" t="s">
        <v>347</v>
      </c>
      <c r="E102" s="6">
        <f>IF(LEFT(Forme_ogive,4)="Ogiv",1,0)</f>
        <v>0</v>
      </c>
      <c r="F102" s="252" t="s">
        <v>348</v>
      </c>
      <c r="G102" s="48"/>
      <c r="H102" s="48"/>
      <c r="I102" s="48"/>
      <c r="J102" s="436"/>
      <c r="K102" s="48"/>
      <c r="N102" s="75"/>
    </row>
    <row r="103" spans="2:14" x14ac:dyDescent="0.2">
      <c r="B103" s="74"/>
      <c r="D103" s="437"/>
      <c r="E103" s="6">
        <f>IF(LEFT(Forme_ogive,3)="Con",1,0)</f>
        <v>1</v>
      </c>
      <c r="F103" s="252" t="s">
        <v>159</v>
      </c>
      <c r="G103" s="48"/>
      <c r="H103" s="48"/>
      <c r="I103" s="48"/>
      <c r="J103" s="436"/>
      <c r="K103" s="48"/>
      <c r="N103" s="75"/>
    </row>
    <row r="104" spans="2:14" ht="13.5" thickBot="1" x14ac:dyDescent="0.25">
      <c r="B104" s="74"/>
      <c r="D104" s="431"/>
      <c r="E104" s="274">
        <f>IF(LEFT(Forme_ogive,5)="Parab",1,0)</f>
        <v>0</v>
      </c>
      <c r="F104" s="289" t="s">
        <v>349</v>
      </c>
      <c r="G104" s="48"/>
      <c r="H104" s="48"/>
      <c r="I104" s="48"/>
      <c r="J104" s="12" t="s">
        <v>345</v>
      </c>
      <c r="K104" s="48"/>
      <c r="N104" s="75"/>
    </row>
    <row r="105" spans="2:14" ht="13.5" thickBot="1" x14ac:dyDescent="0.25">
      <c r="B105" s="74"/>
      <c r="D105" s="2"/>
      <c r="E105" s="2"/>
      <c r="F105" s="2"/>
      <c r="G105" s="273"/>
      <c r="H105" s="441">
        <f>E_ail</f>
        <v>140</v>
      </c>
      <c r="I105" s="273"/>
      <c r="J105" s="441">
        <f>ep_ail</f>
        <v>3</v>
      </c>
      <c r="K105" s="48"/>
      <c r="N105" s="75"/>
    </row>
    <row r="106" spans="2:14" x14ac:dyDescent="0.2">
      <c r="B106" s="74"/>
      <c r="D106" s="429"/>
      <c r="E106" s="246" t="s">
        <v>354</v>
      </c>
      <c r="F106" s="243" t="s">
        <v>353</v>
      </c>
      <c r="N106" s="75"/>
    </row>
    <row r="107" spans="2:14" x14ac:dyDescent="0.2">
      <c r="B107" s="74"/>
      <c r="D107" s="437" t="s">
        <v>351</v>
      </c>
      <c r="E107" s="6">
        <f>MasseSans</f>
        <v>6.8</v>
      </c>
      <c r="F107" s="244">
        <f ca="1">MassePlein</f>
        <v>8.4320000000000004</v>
      </c>
      <c r="N107" s="75"/>
    </row>
    <row r="108" spans="2:14" x14ac:dyDescent="0.2">
      <c r="B108" s="74"/>
      <c r="D108" s="431" t="s">
        <v>352</v>
      </c>
      <c r="E108" s="274">
        <f>XcgSans</f>
        <v>1016</v>
      </c>
      <c r="F108" s="260">
        <f ca="1">XcgPlein</f>
        <v>1170.4516129032256</v>
      </c>
      <c r="N108" s="75"/>
    </row>
    <row r="109" spans="2:14" x14ac:dyDescent="0.2">
      <c r="B109" s="74"/>
      <c r="N109" s="75"/>
    </row>
    <row r="110" spans="2:14" x14ac:dyDescent="0.2">
      <c r="B110" s="74"/>
      <c r="D110" s="438" t="s">
        <v>355</v>
      </c>
      <c r="E110" s="439">
        <f ca="1">MasseVide</f>
        <v>7.45</v>
      </c>
      <c r="G110" s="429" t="s">
        <v>356</v>
      </c>
      <c r="H110" s="265"/>
      <c r="I110" s="265"/>
      <c r="J110" s="266"/>
      <c r="N110" s="75"/>
    </row>
    <row r="111" spans="2:14" x14ac:dyDescent="0.2">
      <c r="B111" s="74"/>
      <c r="G111" s="276" t="s">
        <v>213</v>
      </c>
      <c r="H111" s="6">
        <f>Beta_rampe</f>
        <v>80</v>
      </c>
      <c r="I111" s="6">
        <v>80</v>
      </c>
      <c r="J111" s="244">
        <v>90</v>
      </c>
      <c r="N111" s="75"/>
    </row>
    <row r="112" spans="2:14" x14ac:dyDescent="0.2">
      <c r="B112" s="74"/>
      <c r="G112" s="278" t="s">
        <v>215</v>
      </c>
      <c r="H112" s="247">
        <f ca="1">Temps_culmi</f>
        <v>15.599999999999962</v>
      </c>
      <c r="I112" s="259"/>
      <c r="J112" s="268"/>
      <c r="N112" s="75"/>
    </row>
    <row r="113" spans="2:14" ht="12.75" customHeight="1" x14ac:dyDescent="0.25">
      <c r="B113" s="74"/>
      <c r="D113" s="435" t="s">
        <v>357</v>
      </c>
      <c r="E113" s="48"/>
      <c r="G113" s="278" t="s">
        <v>216</v>
      </c>
      <c r="H113" s="242">
        <f ca="1">Altitude_culmi</f>
        <v>1378.6942585540462</v>
      </c>
      <c r="I113" s="259"/>
      <c r="J113" s="268"/>
      <c r="N113" s="75"/>
    </row>
    <row r="114" spans="2:14" ht="12.75" customHeight="1" x14ac:dyDescent="0.25">
      <c r="B114" s="74"/>
      <c r="D114" s="48"/>
      <c r="E114" s="48"/>
      <c r="F114" s="435"/>
      <c r="G114" s="278" t="s">
        <v>217</v>
      </c>
      <c r="H114" s="248">
        <f ca="1">Vit_culmi</f>
        <v>22.807953943032299</v>
      </c>
      <c r="I114" s="259"/>
      <c r="J114" s="268"/>
      <c r="N114" s="75"/>
    </row>
    <row r="115" spans="2:14" x14ac:dyDescent="0.2">
      <c r="B115" s="74"/>
      <c r="C115" s="429" t="s">
        <v>358</v>
      </c>
      <c r="D115" s="249"/>
      <c r="E115" s="446">
        <v>0.1</v>
      </c>
      <c r="G115" s="278" t="s">
        <v>133</v>
      </c>
      <c r="H115" s="242">
        <f ca="1">Portee_balistique</f>
        <v>770.52896740167785</v>
      </c>
      <c r="I115" s="259"/>
      <c r="J115" s="268"/>
      <c r="N115" s="75"/>
    </row>
    <row r="116" spans="2:14" ht="12.75" customHeight="1" x14ac:dyDescent="0.2">
      <c r="B116" s="74"/>
      <c r="C116" s="431" t="s">
        <v>359</v>
      </c>
      <c r="D116" s="255"/>
      <c r="E116" s="447">
        <f>E_ail*(m_ail+n_ail)/2</f>
        <v>18900</v>
      </c>
      <c r="G116" s="278" t="s">
        <v>137</v>
      </c>
      <c r="H116" s="248">
        <f ca="1">Vit_max</f>
        <v>219.40379934926966</v>
      </c>
      <c r="I116" s="259"/>
      <c r="J116" s="268"/>
      <c r="N116" s="75"/>
    </row>
    <row r="117" spans="2:14" ht="12.75" customHeight="1" x14ac:dyDescent="0.2">
      <c r="B117" s="74"/>
      <c r="D117" s="48"/>
      <c r="E117" s="48"/>
      <c r="F117" s="48"/>
      <c r="G117" s="278" t="s">
        <v>136</v>
      </c>
      <c r="H117" s="242">
        <f ca="1">Acc_max</f>
        <v>151.55813559109322</v>
      </c>
      <c r="I117" s="259"/>
      <c r="J117" s="268"/>
      <c r="N117" s="75"/>
    </row>
    <row r="118" spans="2:14" x14ac:dyDescent="0.2">
      <c r="B118" s="74"/>
      <c r="C118" s="429" t="s">
        <v>360</v>
      </c>
      <c r="D118" s="249"/>
      <c r="E118" s="457"/>
      <c r="F118" s="458">
        <f>J90/100</f>
        <v>18.12</v>
      </c>
      <c r="G118" s="276" t="s">
        <v>5</v>
      </c>
      <c r="H118" s="6">
        <f>Cx</f>
        <v>0.7</v>
      </c>
      <c r="I118" s="259"/>
      <c r="J118" s="268"/>
      <c r="N118" s="75"/>
    </row>
    <row r="119" spans="2:14" x14ac:dyDescent="0.2">
      <c r="B119" s="74"/>
      <c r="C119" s="437" t="s">
        <v>361</v>
      </c>
      <c r="D119" s="2"/>
      <c r="E119" s="459">
        <f ca="1">2*Acc_max*MasseSans</f>
        <v>2061.1906440388675</v>
      </c>
      <c r="F119" s="460">
        <f ca="1">E119/g</f>
        <v>210.1111767623718</v>
      </c>
      <c r="G119" s="269" t="s">
        <v>222</v>
      </c>
      <c r="H119" s="270"/>
      <c r="I119" s="270"/>
      <c r="J119" s="271"/>
      <c r="N119" s="75"/>
    </row>
    <row r="120" spans="2:14" x14ac:dyDescent="0.2">
      <c r="B120" s="74"/>
      <c r="C120" s="437" t="s">
        <v>362</v>
      </c>
      <c r="D120" s="2"/>
      <c r="E120" s="459">
        <f ca="1">2*Acc_max*E115</f>
        <v>30.311627118218645</v>
      </c>
      <c r="F120" s="460">
        <f ca="1">E120/g</f>
        <v>3.0898702465054684</v>
      </c>
      <c r="N120" s="75"/>
    </row>
    <row r="121" spans="2:14" x14ac:dyDescent="0.2">
      <c r="B121" s="74"/>
      <c r="C121" s="431" t="s">
        <v>363</v>
      </c>
      <c r="D121" s="255"/>
      <c r="E121" s="452">
        <f ca="1">0.104*E116/1000000*Vit_max^2</f>
        <v>94.620106203179191</v>
      </c>
      <c r="F121" s="453">
        <f ca="1">E121/g</f>
        <v>9.6452707648500695</v>
      </c>
      <c r="G121" s="48"/>
      <c r="H121" s="48"/>
      <c r="I121" s="48"/>
      <c r="J121" s="48"/>
      <c r="N121" s="75"/>
    </row>
    <row r="122" spans="2:14" ht="12.75" customHeight="1" x14ac:dyDescent="0.2">
      <c r="B122" s="74"/>
      <c r="H122" s="48"/>
      <c r="I122" s="48"/>
      <c r="J122" s="48"/>
      <c r="N122" s="75"/>
    </row>
    <row r="123" spans="2:14" ht="12.75" customHeight="1" x14ac:dyDescent="0.25">
      <c r="B123" s="74"/>
      <c r="G123" s="435"/>
      <c r="H123" s="435"/>
      <c r="I123" s="435"/>
      <c r="J123" s="48"/>
      <c r="N123" s="75"/>
    </row>
    <row r="124" spans="2:14" ht="12.75" customHeight="1" x14ac:dyDescent="0.25">
      <c r="B124" s="74"/>
      <c r="C124" s="48"/>
      <c r="D124" s="435" t="s">
        <v>364</v>
      </c>
      <c r="E124" s="448"/>
      <c r="J124" s="48"/>
      <c r="K124" s="48"/>
      <c r="N124" s="75"/>
    </row>
    <row r="125" spans="2:14" x14ac:dyDescent="0.2">
      <c r="B125" s="74"/>
      <c r="C125" s="445" t="s">
        <v>365</v>
      </c>
      <c r="J125" s="48"/>
      <c r="K125" s="48"/>
      <c r="N125" s="75"/>
    </row>
    <row r="126" spans="2:14" x14ac:dyDescent="0.2">
      <c r="B126" s="74"/>
      <c r="C126" s="429" t="s">
        <v>366</v>
      </c>
      <c r="D126" s="249"/>
      <c r="E126" s="449">
        <v>4</v>
      </c>
      <c r="G126" s="48"/>
      <c r="J126" s="48"/>
      <c r="N126" s="75"/>
    </row>
    <row r="127" spans="2:14" x14ac:dyDescent="0.2">
      <c r="B127" s="74"/>
      <c r="C127" s="431" t="s">
        <v>367</v>
      </c>
      <c r="D127" s="255"/>
      <c r="E127" s="456">
        <f>S_para</f>
        <v>0.48049999999999998</v>
      </c>
      <c r="G127" s="48"/>
      <c r="J127" s="48"/>
      <c r="N127" s="75"/>
    </row>
    <row r="128" spans="2:14" x14ac:dyDescent="0.2">
      <c r="B128" s="74"/>
      <c r="C128" s="670" t="s">
        <v>368</v>
      </c>
      <c r="D128" s="671"/>
      <c r="E128" s="450">
        <f ca="1">0.5*Rho_moyen*S_para*Vit_culmi^2</f>
        <v>153.09892443802929</v>
      </c>
      <c r="F128" s="451">
        <f ca="1">E128/g</f>
        <v>15.606414315803189</v>
      </c>
      <c r="H128" s="48"/>
      <c r="I128" s="48"/>
      <c r="J128" s="48"/>
      <c r="K128" s="48"/>
      <c r="N128" s="75"/>
    </row>
    <row r="129" spans="2:14" x14ac:dyDescent="0.2">
      <c r="B129" s="74"/>
      <c r="C129" s="668" t="s">
        <v>369</v>
      </c>
      <c r="D129" s="669"/>
      <c r="E129" s="452">
        <f ca="1">E128/E126*2</f>
        <v>76.549462219014643</v>
      </c>
      <c r="F129" s="453">
        <f ca="1">E129/g</f>
        <v>7.8032071579015945</v>
      </c>
      <c r="H129" s="48"/>
      <c r="I129" s="48"/>
      <c r="J129" s="48"/>
      <c r="K129" s="48"/>
      <c r="N129" s="75"/>
    </row>
    <row r="130" spans="2:14" x14ac:dyDescent="0.2">
      <c r="B130" s="74"/>
      <c r="C130" s="47"/>
      <c r="D130" s="47"/>
      <c r="E130" s="443"/>
      <c r="F130" s="444"/>
      <c r="H130" s="48"/>
      <c r="I130" s="48"/>
      <c r="J130" s="48"/>
      <c r="K130" s="48"/>
      <c r="N130" s="75"/>
    </row>
    <row r="131" spans="2:14" x14ac:dyDescent="0.2">
      <c r="B131" s="74"/>
      <c r="C131" s="445" t="s">
        <v>370</v>
      </c>
      <c r="D131" s="48"/>
      <c r="E131" s="48"/>
      <c r="F131" s="48"/>
      <c r="G131" s="48"/>
      <c r="H131" s="48"/>
      <c r="I131" s="48"/>
      <c r="J131" s="48"/>
      <c r="K131" s="48"/>
      <c r="N131" s="75"/>
    </row>
    <row r="132" spans="2:14" x14ac:dyDescent="0.2">
      <c r="B132" s="74"/>
      <c r="C132" s="670" t="s">
        <v>371</v>
      </c>
      <c r="D132" s="671"/>
      <c r="E132" s="454">
        <v>1</v>
      </c>
      <c r="F132" s="48"/>
      <c r="G132" s="48"/>
      <c r="H132" s="48"/>
      <c r="I132" s="48"/>
      <c r="J132" s="442"/>
      <c r="K132" s="48"/>
      <c r="N132" s="75"/>
    </row>
    <row r="133" spans="2:14" x14ac:dyDescent="0.2">
      <c r="B133" s="74"/>
      <c r="C133" s="668" t="s">
        <v>372</v>
      </c>
      <c r="D133" s="669"/>
      <c r="E133" s="455">
        <f ca="1">2*E132*Acc_max/g</f>
        <v>30.898702465054683</v>
      </c>
      <c r="F133" s="48"/>
      <c r="G133" s="48"/>
      <c r="H133" s="48"/>
      <c r="I133" s="48"/>
      <c r="J133" s="48"/>
      <c r="K133" s="48"/>
      <c r="N133" s="75"/>
    </row>
    <row r="134" spans="2:14" ht="13.5" thickBot="1" x14ac:dyDescent="0.25">
      <c r="B134" s="77"/>
      <c r="C134" s="461"/>
      <c r="D134" s="461"/>
      <c r="E134" s="461"/>
      <c r="F134" s="461"/>
      <c r="G134" s="461"/>
      <c r="H134" s="461"/>
      <c r="I134" s="461"/>
      <c r="J134" s="461"/>
      <c r="K134" s="461"/>
      <c r="L134" s="78"/>
      <c r="M134" s="78"/>
      <c r="N134" s="79"/>
    </row>
  </sheetData>
  <sheetProtection algorithmName="SHA-512" hashValue="hPW55fXgN2sF0rdmrUjeSRNNiQdOIANll77I7z4pOMGhgAMnv3SeC70tlG1ZvqBw5PTm8+/9RK5zYBPb8YMDZQ==" saltValue="649bwDB7J1RR5Eo9ArOefA==" spinCount="100000" sheet="1" objects="1" scenarios="1"/>
  <mergeCells count="22">
    <mergeCell ref="H11:I11"/>
    <mergeCell ref="H12:I12"/>
    <mergeCell ref="H13:I13"/>
    <mergeCell ref="H29:K29"/>
    <mergeCell ref="C29:C30"/>
    <mergeCell ref="D29:D30"/>
    <mergeCell ref="H17:I17"/>
    <mergeCell ref="H18:I18"/>
    <mergeCell ref="H19:I19"/>
    <mergeCell ref="E29:G30"/>
    <mergeCell ref="E31:G31"/>
    <mergeCell ref="M29:M30"/>
    <mergeCell ref="H30:I30"/>
    <mergeCell ref="L29:L30"/>
    <mergeCell ref="H31:I31"/>
    <mergeCell ref="C133:D133"/>
    <mergeCell ref="C128:D128"/>
    <mergeCell ref="C129:D129"/>
    <mergeCell ref="C132:D132"/>
    <mergeCell ref="H44:I44"/>
    <mergeCell ref="H45:I45"/>
    <mergeCell ref="H46:I46"/>
  </mergeCells>
  <phoneticPr fontId="8" type="noConversion"/>
  <conditionalFormatting sqref="D18:E18">
    <cfRule type="expression" dxfId="2" priority="2" stopIfTrue="1">
      <formula>IF(Propu="Cariacou",0,1)</formula>
    </cfRule>
  </conditionalFormatting>
  <conditionalFormatting sqref="F18:I19">
    <cfRule type="expression" dxfId="1" priority="1" stopIfTrue="1">
      <formula>IF(Propu="Cariacou",1,0)</formula>
    </cfRule>
  </conditionalFormatting>
  <conditionalFormatting sqref="I16 I68:I73">
    <cfRule type="expression" dxfId="0" priority="6" stopIfTrue="1">
      <formula>Nb_sat="0 satellite"</formula>
    </cfRule>
  </conditionalFormatting>
  <pageMargins left="0.39370078740157483" right="0.39370078740157483" top="0.39370078740157483" bottom="0.39370078740157483" header="0" footer="0"/>
  <pageSetup paperSize="9" scale="61" orientation="portrait" r:id="rId1"/>
  <ignoredErrors>
    <ignoredError sqref="H65 H63" unlockedFormula="1"/>
  </ignoredError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8</vt:i4>
      </vt:variant>
      <vt:variant>
        <vt:lpstr>Plages nommées</vt:lpstr>
      </vt:variant>
      <vt:variant>
        <vt:i4>216</vt:i4>
      </vt:variant>
    </vt:vector>
  </HeadingPairs>
  <TitlesOfParts>
    <vt:vector size="224" baseType="lpstr">
      <vt:lpstr>Stabilito</vt:lpstr>
      <vt:lpstr>Trajecto</vt:lpstr>
      <vt:lpstr>Courbes</vt:lpstr>
      <vt:lpstr>Propu</vt:lpstr>
      <vt:lpstr>Calculs</vt:lpstr>
      <vt:lpstr>Abaco</vt:lpstr>
      <vt:lpstr>Info</vt:lpstr>
      <vt:lpstr>Controle</vt:lpstr>
      <vt:lpstr>a_prop</vt:lpstr>
      <vt:lpstr>Acc_max</vt:lpstr>
      <vt:lpstr>acc_x</vt:lpstr>
      <vt:lpstr>acc_xz</vt:lpstr>
      <vt:lpstr>acc_z</vt:lpstr>
      <vt:lpstr>Alt_para</vt:lpstr>
      <vt:lpstr>alt_prop</vt:lpstr>
      <vt:lpstr>Alt_rampe</vt:lpstr>
      <vt:lpstr>Alt_sat</vt:lpstr>
      <vt:lpstr>Altitude_culmi</vt:lpstr>
      <vt:lpstr>b_bal</vt:lpstr>
      <vt:lpstr>b_prop</vt:lpstr>
      <vt:lpstr>Beta</vt:lpstr>
      <vt:lpstr>Beta_rampe</vt:lpstr>
      <vt:lpstr>BetaD</vt:lpstr>
      <vt:lpstr>CdP</vt:lpstr>
      <vt:lpstr>CdP_P</vt:lpstr>
      <vt:lpstr>CdP_t</vt:lpstr>
      <vt:lpstr>Club</vt:lpstr>
      <vt:lpstr>Cn</vt:lpstr>
      <vt:lpstr>Cn0</vt:lpstr>
      <vt:lpstr>Stabilito!Cnai</vt:lpstr>
      <vt:lpstr>Cnai0</vt:lpstr>
      <vt:lpstr>Stabilito!Cnail</vt:lpstr>
      <vt:lpstr>Stabilito!Cnc</vt:lpstr>
      <vt:lpstr>Stabilito!Cni</vt:lpstr>
      <vt:lpstr>Cni0</vt:lpstr>
      <vt:lpstr>Stabilito!Cnj</vt:lpstr>
      <vt:lpstr>Stabilito!Cno</vt:lpstr>
      <vt:lpstr>Stabilito!Cnr</vt:lpstr>
      <vt:lpstr>Combustion</vt:lpstr>
      <vt:lpstr>Stabilito!CritCnmax</vt:lpstr>
      <vt:lpstr>Stabilito!CritCnmin</vt:lpstr>
      <vt:lpstr>Stabilito!CritFinessemax</vt:lpstr>
      <vt:lpstr>Stabilito!CritFinessemin</vt:lpstr>
      <vt:lpstr>Stabilito!CritMsCnmax</vt:lpstr>
      <vt:lpstr>Stabilito!CritMsCnmin</vt:lpstr>
      <vt:lpstr>Stabilito!CritMsmax</vt:lpstr>
      <vt:lpstr>Stabilito!CritMsmin</vt:lpstr>
      <vt:lpstr>Cx</vt:lpstr>
      <vt:lpstr>Cx_para</vt:lpstr>
      <vt:lpstr>Cx_satellite</vt:lpstr>
      <vt:lpstr>D_ail</vt:lpstr>
      <vt:lpstr>Stabilito!D_can</vt:lpstr>
      <vt:lpstr>Stabilito!D_int</vt:lpstr>
      <vt:lpstr>D_og</vt:lpstr>
      <vt:lpstr>D_ref</vt:lpstr>
      <vt:lpstr>D_var</vt:lpstr>
      <vt:lpstr>D1j</vt:lpstr>
      <vt:lpstr>D1r</vt:lpstr>
      <vt:lpstr>D2j</vt:lpstr>
      <vt:lpstr>D2r</vt:lpstr>
      <vt:lpstr>Débit</vt:lpstr>
      <vt:lpstr>Depotage</vt:lpstr>
      <vt:lpstr>Diam_propu</vt:lpstr>
      <vt:lpstr>Dt_para</vt:lpstr>
      <vt:lpstr>Dt_satellite</vt:lpstr>
      <vt:lpstr>Dx_para</vt:lpstr>
      <vt:lpstr>Dx_sat</vt:lpstr>
      <vt:lpstr>E_ail</vt:lpstr>
      <vt:lpstr>E_can</vt:lpstr>
      <vt:lpstr>Stabilito!E_int</vt:lpstr>
      <vt:lpstr>ep_ail</vt:lpstr>
      <vt:lpstr>ep_can</vt:lpstr>
      <vt:lpstr>Stabilito!ep_int</vt:lpstr>
      <vt:lpstr>Event</vt:lpstr>
      <vt:lpstr>Event_para</vt:lpstr>
      <vt:lpstr>Event_sat</vt:lpstr>
      <vt:lpstr>Stabilito!f_ail</vt:lpstr>
      <vt:lpstr>Stabilito!f_can</vt:lpstr>
      <vt:lpstr>Stabilito!f_int</vt:lpstr>
      <vt:lpstr>Finesse</vt:lpstr>
      <vt:lpstr>Forme_ogive</vt:lpstr>
      <vt:lpstr>g</vt:lpstr>
      <vt:lpstr>i_P</vt:lpstr>
      <vt:lpstr>I_total</vt:lpstr>
      <vt:lpstr>ISP</vt:lpstr>
      <vt:lpstr>l_j</vt:lpstr>
      <vt:lpstr>l_r</vt:lpstr>
      <vt:lpstr>L_rampe</vt:lpstr>
      <vt:lpstr>Lang</vt:lpstr>
      <vt:lpstr>Liste_µfu</vt:lpstr>
      <vt:lpstr>Liste_fusex</vt:lpstr>
      <vt:lpstr>Liste_H2O</vt:lpstr>
      <vt:lpstr>Liste_minif</vt:lpstr>
      <vt:lpstr>Liste_minifT</vt:lpstr>
      <vt:lpstr>Liste_propu</vt:lpstr>
      <vt:lpstr>Liste_RC</vt:lpstr>
      <vt:lpstr>Liste_Type_para</vt:lpstr>
      <vt:lpstr>Long_ogive</vt:lpstr>
      <vt:lpstr>Long_propu</vt:lpstr>
      <vt:lpstr>Long_tot</vt:lpstr>
      <vt:lpstr>m</vt:lpstr>
      <vt:lpstr>m_ail</vt:lpstr>
      <vt:lpstr>m_bal</vt:lpstr>
      <vt:lpstr>m_can</vt:lpstr>
      <vt:lpstr>Stabilito!m_int</vt:lpstr>
      <vt:lpstr>m_poudre</vt:lpstr>
      <vt:lpstr>m_prop</vt:lpstr>
      <vt:lpstr>m_satellite</vt:lpstr>
      <vt:lpstr>m_tot</vt:lpstr>
      <vt:lpstr>m_var</vt:lpstr>
      <vt:lpstr>m_vide</vt:lpstr>
      <vt:lpstr>Masse_ail</vt:lpstr>
      <vt:lpstr>MassePlein</vt:lpstr>
      <vt:lpstr>MasseSans</vt:lpstr>
      <vt:lpstr>MasseVide</vt:lpstr>
      <vt:lpstr>Matricule</vt:lpstr>
      <vt:lpstr>Menu_Empennage</vt:lpstr>
      <vt:lpstr>Menu_Lang</vt:lpstr>
      <vt:lpstr>Menu_Ogive</vt:lpstr>
      <vt:lpstr>Menu_sat</vt:lpstr>
      <vt:lpstr>Menu_Transitions</vt:lpstr>
      <vt:lpstr>Menu_Type</vt:lpstr>
      <vt:lpstr>Menu_with_motor</vt:lpstr>
      <vt:lpstr>MpropuPlein</vt:lpstr>
      <vt:lpstr>MpropuVide</vt:lpstr>
      <vt:lpstr>MS_Cn_max</vt:lpstr>
      <vt:lpstr>MS_Cn_min</vt:lpstr>
      <vt:lpstr>MS_max</vt:lpstr>
      <vt:lpstr>MS_min</vt:lpstr>
      <vt:lpstr>n_ail</vt:lpstr>
      <vt:lpstr>n_can</vt:lpstr>
      <vt:lpstr>Stabilito!n_int</vt:lpstr>
      <vt:lpstr>Nb_diam</vt:lpstr>
      <vt:lpstr>Nb_sat</vt:lpstr>
      <vt:lpstr>Nom</vt:lpstr>
      <vt:lpstr>p_ail</vt:lpstr>
      <vt:lpstr>p_can</vt:lpstr>
      <vt:lpstr>Stabilito!p_int</vt:lpstr>
      <vt:lpstr>pas</vt:lpstr>
      <vt:lpstr>Poids</vt:lpstr>
      <vt:lpstr>Portee_balistique</vt:lpstr>
      <vt:lpstr>pos_x</vt:lpstr>
      <vt:lpstr>pos_xz</vt:lpstr>
      <vt:lpstr>pos_z</vt:lpstr>
      <vt:lpstr>pos_z_montant</vt:lpstr>
      <vt:lpstr>Poussee</vt:lpstr>
      <vt:lpstr>Propu</vt:lpstr>
      <vt:lpstr>Q_ail</vt:lpstr>
      <vt:lpstr>Q_can</vt:lpstr>
      <vt:lpstr>Stabilito!Q_int</vt:lpstr>
      <vt:lpstr>Q_var</vt:lpstr>
      <vt:lpstr>R_rampe</vt:lpstr>
      <vt:lpstr>Rho</vt:lpstr>
      <vt:lpstr>Rho_moyen</vt:lpstr>
      <vt:lpstr>S_ail</vt:lpstr>
      <vt:lpstr>S_para</vt:lpstr>
      <vt:lpstr>S_para_croix</vt:lpstr>
      <vt:lpstr>S_para_rond</vt:lpstr>
      <vt:lpstr>S_satellite</vt:lpstr>
      <vt:lpstr>Sref</vt:lpstr>
      <vt:lpstr>sS</vt:lpstr>
      <vt:lpstr>t</vt:lpstr>
      <vt:lpstr>T_balistique</vt:lpstr>
      <vt:lpstr>T_ini</vt:lpstr>
      <vt:lpstr>T_para</vt:lpstr>
      <vt:lpstr>T_satellite</vt:lpstr>
      <vt:lpstr>Temps_culmi</vt:lpstr>
      <vt:lpstr>Temps_fin_propu</vt:lpstr>
      <vt:lpstr>Trainee</vt:lpstr>
      <vt:lpstr>tT_fus</vt:lpstr>
      <vt:lpstr>tT_sat</vt:lpstr>
      <vt:lpstr>Type_fusee</vt:lpstr>
      <vt:lpstr>Abaco!Type_masquage</vt:lpstr>
      <vt:lpstr>Stabilito!Type_masquage</vt:lpstr>
      <vt:lpstr>Type_propu</vt:lpstr>
      <vt:lpstr>V_ini</vt:lpstr>
      <vt:lpstr>V_ouv_sat</vt:lpstr>
      <vt:lpstr>V_ouverture</vt:lpstr>
      <vt:lpstr>V_para</vt:lpstr>
      <vt:lpstr>V_prop</vt:lpstr>
      <vt:lpstr>V_satellite</vt:lpstr>
      <vt:lpstr>V_vent</vt:lpstr>
      <vt:lpstr>V_vent_sat</vt:lpstr>
      <vt:lpstr>Stabilito!Version</vt:lpstr>
      <vt:lpstr>Trajecto!Version</vt:lpstr>
      <vt:lpstr>Vit_culmi</vt:lpstr>
      <vt:lpstr>Vit_max</vt:lpstr>
      <vt:lpstr>vit_x</vt:lpstr>
      <vt:lpstr>vit_xz</vt:lpstr>
      <vt:lpstr>vit_z</vt:lpstr>
      <vt:lpstr>Vsortie_de_rampe</vt:lpstr>
      <vt:lpstr>X_ail</vt:lpstr>
      <vt:lpstr>X_can</vt:lpstr>
      <vt:lpstr>X_culmi</vt:lpstr>
      <vt:lpstr>X_ini</vt:lpstr>
      <vt:lpstr>Stabilito!X_int</vt:lpstr>
      <vt:lpstr>X_j</vt:lpstr>
      <vt:lpstr>X_para</vt:lpstr>
      <vt:lpstr>X_r</vt:lpstr>
      <vt:lpstr>X_satellite</vt:lpstr>
      <vt:lpstr>XcgPlein</vt:lpstr>
      <vt:lpstr>XcgSans</vt:lpstr>
      <vt:lpstr>XcgVide</vt:lpstr>
      <vt:lpstr>Stabilito!XCp</vt:lpstr>
      <vt:lpstr>XCp0</vt:lpstr>
      <vt:lpstr>Stabilito!XCpa</vt:lpstr>
      <vt:lpstr>Stabilito!XCpai</vt:lpstr>
      <vt:lpstr>XCpai0</vt:lpstr>
      <vt:lpstr>Stabilito!XCpc</vt:lpstr>
      <vt:lpstr>Stabilito!XCpi</vt:lpstr>
      <vt:lpstr>XCpi0</vt:lpstr>
      <vt:lpstr>Stabilito!XCpj</vt:lpstr>
      <vt:lpstr>Stabilito!XCpo</vt:lpstr>
      <vt:lpstr>Stabilito!XCpr</vt:lpstr>
      <vt:lpstr>XpropuPlein</vt:lpstr>
      <vt:lpstr>XpropuRef</vt:lpstr>
      <vt:lpstr>XpropuVide</vt:lpstr>
      <vt:lpstr>Z_ini</vt:lpstr>
      <vt:lpstr>Abaco!Zone_d_impression</vt:lpstr>
      <vt:lpstr>Courbes!Zone_d_impression</vt:lpstr>
      <vt:lpstr>Stabilito!Zone_d_impression</vt:lpstr>
      <vt:lpstr>Trajecto!Zone_d_impression</vt:lpstr>
      <vt:lpstr>zZ_fus</vt:lpstr>
      <vt:lpstr>zZ_sat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StabTraj</dc:title>
  <dc:creator>Léo Côme;Sylvain Besson</dc:creator>
  <cp:lastModifiedBy>Alexis Paillard</cp:lastModifiedBy>
  <cp:lastPrinted>2011-11-08T21:12:34Z</cp:lastPrinted>
  <dcterms:created xsi:type="dcterms:W3CDTF">2008-11-03T20:48:06Z</dcterms:created>
  <dcterms:modified xsi:type="dcterms:W3CDTF">2025-10-01T12:47:38Z</dcterms:modified>
</cp:coreProperties>
</file>